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P:\Projects\Harrison Village\DCA or Equivalent\Application\2022 June 18 App\"/>
    </mc:Choice>
  </mc:AlternateContent>
  <xr:revisionPtr revIDLastSave="0" documentId="13_ncr:1_{78EE8149-6DEA-4A35-8C34-BBA1C3F9826F}" xr6:coauthVersionLast="47" xr6:coauthVersionMax="47" xr10:uidLastSave="{00000000-0000-0000-0000-000000000000}"/>
  <workbookProtection workbookAlgorithmName="SHA-512" workbookHashValue="C5ScCki98g3F2IlwPUcfN9X6kp25iZIpJmOy3CVGw3HgsKIntmrBZeJTB9ESkvM5K9d75ENUZLw2/ybhksZqMQ==" workbookSaltValue="aGQTVgMp0bJdLPAE0Zta4A==" workbookSpinCount="100000" lockStructure="1"/>
  <bookViews>
    <workbookView xWindow="-120" yWindow="-120" windowWidth="29040" windowHeight="15720"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ensitivity Analysis" sheetId="100" state="hidden" r:id="rId16"/>
    <sheet name="Subsidy Layering Memo" sheetId="85" state="hidden" r:id="rId17"/>
    <sheet name="Sensitivity Analysis Reversed" sheetId="84" state="hidden" r:id="rId18"/>
    <sheet name="D&amp;E Sensitivity Analysis" sheetId="82" state="hidden" r:id="rId19"/>
    <sheet name="After-Tax Analysis" sheetId="86" state="hidden" r:id="rId20"/>
    <sheet name="Payments-Ex B" sheetId="87" state="hidden" r:id="rId21"/>
    <sheet name="Preview term" sheetId="89" state="hidden" r:id="rId22"/>
    <sheet name="Closing term sheet" sheetId="90" state="hidden" r:id="rId23"/>
    <sheet name="Part X - HOME NHTF Unit Calcs" sheetId="96" state="hidden" r:id="rId24"/>
    <sheet name="ProrationMethodCostAllocatnDCA" sheetId="93" state="hidden" r:id="rId25"/>
    <sheet name="Closing ExhA" sheetId="91" state="hidden" r:id="rId26"/>
    <sheet name="Closing ExhA New" sheetId="95" state="hidden" r:id="rId27"/>
    <sheet name="IDIS Setup" sheetId="92" state="hidden" r:id="rId28"/>
    <sheet name="Part IX - Applicant Cert Ltr" sheetId="80" r:id="rId29"/>
    <sheet name="DCA Underwriting Assumptions" sheetId="81" state="hidden" r:id="rId30"/>
    <sheet name="DCA Only SB" sheetId="99" state="hidden" r:id="rId31"/>
  </sheets>
  <definedNames>
    <definedName name="_xlnm.Print_Area" localSheetId="26">'Closing ExhA New'!$A$1:$M$69</definedName>
    <definedName name="_xlnm.Print_Area" localSheetId="22">'Closing term sheet'!$A$1:$J$210</definedName>
    <definedName name="_xlnm.Print_Area" localSheetId="18">'D&amp;E Sensitivity Analysis'!$A$2:$K$82</definedName>
    <definedName name="_xlnm.Print_Area" localSheetId="29">'DCA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8">'Part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3">'Part X - HOME NHTF Unit Calcs'!$A$1:$K$70</definedName>
    <definedName name="_xlnm.Print_Area" localSheetId="20">'Payments-Ex B'!$A$1:$K$44</definedName>
    <definedName name="_xlnm.Print_Area" localSheetId="21">'Preview term'!$A$1:$H$80</definedName>
    <definedName name="_xlnm.Print_Area" localSheetId="0">'Project Narrative'!$A$1:$A$23</definedName>
    <definedName name="_xlnm.Print_Area" localSheetId="24">ProrationMethodCostAllocatnDCA!$A$1:$K$70</definedName>
    <definedName name="_xlnm.Print_Area" localSheetId="15">'Sensitivity Analysis'!$A$1:$L$76</definedName>
    <definedName name="_xlnm.Print_Area" localSheetId="17">'Sensitivity Analysis Reversed'!$A$1:$L$76</definedName>
    <definedName name="_xlnm.Print_Area" localSheetId="16">'Subsidy Layering Memo'!$A$2:$J$122</definedName>
    <definedName name="_xlnm.Print_Titles" localSheetId="26">'Closing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3">'Part X - HOME NHTF Unit Calcs'!$1:$6</definedName>
    <definedName name="_xlnm.Print_Titles" localSheetId="24">ProrationMethodCostAllocatnDCA!$1:$6</definedName>
    <definedName name="rf"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554" i="99" l="1"/>
  <c r="P273" i="72"/>
  <c r="O273" i="72"/>
  <c r="M1895" i="99" l="1"/>
  <c r="M1868" i="99"/>
  <c r="M1832" i="99"/>
  <c r="M1824" i="99"/>
  <c r="M1808" i="99"/>
  <c r="M1800" i="99"/>
  <c r="M1751" i="99"/>
  <c r="M1742" i="99"/>
  <c r="M1732" i="99"/>
  <c r="M1715" i="99"/>
  <c r="M1680" i="99"/>
  <c r="L368" i="72"/>
  <c r="M366" i="72"/>
  <c r="M362" i="72"/>
  <c r="J362" i="72"/>
  <c r="P341" i="72"/>
  <c r="O341" i="72"/>
  <c r="P317" i="72"/>
  <c r="P130" i="72" l="1"/>
  <c r="O137" i="72"/>
  <c r="P137" i="72"/>
  <c r="O130" i="72" l="1"/>
  <c r="H62" i="72"/>
  <c r="I62" i="72"/>
  <c r="J62" i="72"/>
  <c r="K62" i="72"/>
  <c r="L62" i="72"/>
  <c r="G62" i="72"/>
  <c r="P46" i="72" l="1"/>
  <c r="P1537" i="99" s="1"/>
  <c r="P45" i="72"/>
  <c r="P1536" i="99" s="1"/>
  <c r="P44" i="72"/>
  <c r="P1535" i="99" s="1"/>
  <c r="AB56" i="72" l="1"/>
  <c r="AB57" i="72"/>
  <c r="AB58" i="72"/>
  <c r="AB59" i="72"/>
  <c r="AB60" i="72"/>
  <c r="R343" i="72" l="1"/>
  <c r="E17" i="89"/>
  <c r="D4" i="93"/>
  <c r="C30" i="100" l="1"/>
  <c r="D14" i="100"/>
  <c r="C148" i="90"/>
  <c r="C146" i="90"/>
  <c r="G132" i="90"/>
  <c r="D132" i="90"/>
  <c r="C132" i="90"/>
  <c r="E58" i="90"/>
  <c r="C58" i="90"/>
  <c r="C56" i="90"/>
  <c r="C8" i="90"/>
  <c r="E68" i="89"/>
  <c r="E29" i="89"/>
  <c r="E5" i="89"/>
  <c r="O6" i="86"/>
  <c r="C58" i="100"/>
  <c r="C68" i="100"/>
  <c r="C66" i="100"/>
  <c r="C61" i="100"/>
  <c r="C60" i="100"/>
  <c r="C59" i="100"/>
  <c r="C55" i="100"/>
  <c r="B32" i="100"/>
  <c r="C32" i="100"/>
  <c r="B33" i="100"/>
  <c r="C33" i="100"/>
  <c r="C31" i="100"/>
  <c r="B31" i="100"/>
  <c r="C25" i="100"/>
  <c r="F15" i="85" s="1"/>
  <c r="B25" i="100"/>
  <c r="D16" i="83" l="1"/>
  <c r="E16" i="100"/>
  <c r="F19" i="85" s="1"/>
  <c r="E8" i="100"/>
  <c r="C8" i="100"/>
  <c r="A47" i="100" s="1"/>
  <c r="C16" i="100"/>
  <c r="C14" i="100"/>
  <c r="F17" i="85" s="1"/>
  <c r="I68" i="100"/>
  <c r="G68" i="100"/>
  <c r="E68" i="100"/>
  <c r="K68" i="100"/>
  <c r="I66" i="100"/>
  <c r="G66" i="100"/>
  <c r="E66" i="100"/>
  <c r="I61" i="100"/>
  <c r="G61" i="100"/>
  <c r="E61" i="100"/>
  <c r="K61" i="100"/>
  <c r="I60" i="100"/>
  <c r="G60" i="100"/>
  <c r="E60" i="100"/>
  <c r="I59" i="100"/>
  <c r="G59" i="100"/>
  <c r="I58" i="100"/>
  <c r="I55" i="100"/>
  <c r="G55" i="100"/>
  <c r="E55" i="100"/>
  <c r="C34" i="100"/>
  <c r="C29" i="100"/>
  <c r="K33" i="100" s="1"/>
  <c r="I62" i="100" l="1"/>
  <c r="A2" i="100"/>
  <c r="H1" i="91"/>
  <c r="H1" i="95"/>
  <c r="C28" i="90"/>
  <c r="A1" i="87"/>
  <c r="F12" i="85"/>
  <c r="E15" i="89"/>
  <c r="C1" i="86"/>
  <c r="A2" i="83"/>
  <c r="A1" i="89"/>
  <c r="H2" i="91"/>
  <c r="A2" i="90"/>
  <c r="F13" i="85"/>
  <c r="H2" i="95"/>
  <c r="K26" i="100"/>
  <c r="K58" i="100"/>
  <c r="C62" i="100"/>
  <c r="C36" i="100"/>
  <c r="E58" i="100"/>
  <c r="K59" i="100"/>
  <c r="K29" i="100"/>
  <c r="K55" i="100"/>
  <c r="G58" i="100"/>
  <c r="G62" i="100" s="1"/>
  <c r="E59" i="100"/>
  <c r="K60" i="100"/>
  <c r="K66" i="100"/>
  <c r="E62" i="100" l="1"/>
  <c r="K37" i="100"/>
  <c r="K35" i="100"/>
  <c r="K62" i="100"/>
  <c r="O14" i="99" l="1"/>
  <c r="P1680" i="99"/>
  <c r="AD1532" i="99" s="1"/>
  <c r="P1914" i="99"/>
  <c r="AH1549" i="99" s="1"/>
  <c r="P1918" i="99"/>
  <c r="AG1550" i="99" s="1"/>
  <c r="O1918" i="99"/>
  <c r="AB1550" i="99" s="1"/>
  <c r="P1908" i="99"/>
  <c r="AH1548" i="99" s="1"/>
  <c r="O1908" i="99"/>
  <c r="AA1548" i="99" s="1"/>
  <c r="P1859" i="99"/>
  <c r="O1859" i="99"/>
  <c r="P1839" i="99"/>
  <c r="O1839" i="99"/>
  <c r="L1839" i="99" s="1"/>
  <c r="P1824" i="99"/>
  <c r="AI1543" i="99" s="1"/>
  <c r="O1824" i="99"/>
  <c r="AA1543" i="99" s="1"/>
  <c r="P1732" i="99"/>
  <c r="O1732" i="99"/>
  <c r="X1536" i="99" s="1"/>
  <c r="P1642" i="99"/>
  <c r="O1642"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O1902" i="99"/>
  <c r="O1837" i="99"/>
  <c r="O1820" i="99"/>
  <c r="O1809" i="99"/>
  <c r="O1759" i="99"/>
  <c r="O1757" i="99"/>
  <c r="O1701" i="99"/>
  <c r="Q1701" i="99" s="1"/>
  <c r="O1697" i="99"/>
  <c r="O1681" i="99"/>
  <c r="O1674" i="99"/>
  <c r="Q1674" i="99" s="1"/>
  <c r="O1689" i="99"/>
  <c r="O1688" i="99"/>
  <c r="O1718" i="99"/>
  <c r="O1717" i="99"/>
  <c r="Q1717" i="99" s="1"/>
  <c r="O1726" i="99"/>
  <c r="O1725" i="99"/>
  <c r="O1733" i="99"/>
  <c r="O1767" i="99"/>
  <c r="O1766" i="99"/>
  <c r="O1802" i="99"/>
  <c r="O1801" i="99"/>
  <c r="O1840" i="99"/>
  <c r="O1891" i="99"/>
  <c r="O1890" i="99"/>
  <c r="O1926" i="99"/>
  <c r="Q1926" i="99" s="1"/>
  <c r="O1925" i="99"/>
  <c r="Q1925" i="99" s="1"/>
  <c r="O1899" i="99"/>
  <c r="O1898" i="99"/>
  <c r="Q1898" i="99" s="1"/>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Q1745" i="99" s="1"/>
  <c r="O1744" i="99"/>
  <c r="Q1744" i="99" s="1"/>
  <c r="O1743" i="99"/>
  <c r="Q1743" i="99" s="1"/>
  <c r="I1706" i="99"/>
  <c r="I1705" i="99"/>
  <c r="I1704" i="99"/>
  <c r="O1686" i="99"/>
  <c r="O1685" i="99"/>
  <c r="O1684" i="99"/>
  <c r="O1672" i="99"/>
  <c r="O1671" i="99"/>
  <c r="Q1671" i="99" s="1"/>
  <c r="O1670" i="99"/>
  <c r="O1662" i="99"/>
  <c r="Q1662" i="99" s="1"/>
  <c r="P1643"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Q1585" i="99" s="1"/>
  <c r="O1584" i="99"/>
  <c r="Q1584" i="99" s="1"/>
  <c r="M1550" i="99"/>
  <c r="J1764" i="99" s="1"/>
  <c r="L1764" i="99" s="1"/>
  <c r="M1545" i="99"/>
  <c r="L1868" i="99" s="1"/>
  <c r="P1539" i="99"/>
  <c r="P1538" i="99"/>
  <c r="P1533" i="99"/>
  <c r="P1534" i="99"/>
  <c r="P1532" i="99"/>
  <c r="Q1899" i="99"/>
  <c r="Q1879" i="99"/>
  <c r="O1874" i="99"/>
  <c r="Q1872" i="99"/>
  <c r="L1870" i="99"/>
  <c r="J1868" i="99"/>
  <c r="L1859" i="99"/>
  <c r="M1857" i="99"/>
  <c r="M1853" i="99"/>
  <c r="Q1839" i="99"/>
  <c r="S1834" i="99"/>
  <c r="R1834" i="99"/>
  <c r="K1832" i="99"/>
  <c r="K1810" i="99"/>
  <c r="P1808" i="99"/>
  <c r="J1808" i="99"/>
  <c r="Q1802" i="99"/>
  <c r="Q1801" i="99"/>
  <c r="Q1767" i="99"/>
  <c r="Q1766" i="99"/>
  <c r="Q1718" i="99"/>
  <c r="K1716" i="99"/>
  <c r="H1715" i="99"/>
  <c r="N1704" i="99"/>
  <c r="Q1697" i="99"/>
  <c r="L1681" i="99"/>
  <c r="Q1670" i="99"/>
  <c r="V1667" i="99"/>
  <c r="Q1667" i="99"/>
  <c r="V1666" i="99"/>
  <c r="Q1666" i="99"/>
  <c r="H1642" i="99"/>
  <c r="J1588" i="99"/>
  <c r="I1581" i="99"/>
  <c r="L1579" i="99"/>
  <c r="J1579" i="99"/>
  <c r="O1565" i="99"/>
  <c r="J1565" i="99"/>
  <c r="F1565" i="99"/>
  <c r="P1557" i="99" s="1"/>
  <c r="P1562" i="99"/>
  <c r="P1558" i="99"/>
  <c r="L1553" i="99"/>
  <c r="K1553" i="99"/>
  <c r="J1553" i="99"/>
  <c r="I1553" i="99"/>
  <c r="H1553" i="99"/>
  <c r="G1553" i="99"/>
  <c r="AI1550" i="99"/>
  <c r="AH1550" i="99"/>
  <c r="AF1550" i="99"/>
  <c r="AC1549" i="99"/>
  <c r="AB1549" i="99"/>
  <c r="AA1549" i="99"/>
  <c r="Z1549" i="99"/>
  <c r="AI1548" i="99"/>
  <c r="AF1548" i="99"/>
  <c r="AG1543" i="99"/>
  <c r="AD1543" i="99"/>
  <c r="AB1543" i="99"/>
  <c r="AI1542" i="99"/>
  <c r="AH1542" i="99"/>
  <c r="AG1542" i="99"/>
  <c r="AD1542" i="99"/>
  <c r="AT1540" i="99"/>
  <c r="P1540" i="99"/>
  <c r="AT1539" i="99"/>
  <c r="AD1536" i="99"/>
  <c r="AE1530" i="99"/>
  <c r="AD1530" i="99"/>
  <c r="Y1530" i="99"/>
  <c r="X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K1446" i="99"/>
  <c r="K1443" i="99"/>
  <c r="J1449" i="99"/>
  <c r="J1446" i="99"/>
  <c r="J1443" i="99"/>
  <c r="N1443" i="99" s="1"/>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K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AG1445" i="99"/>
  <c r="AF1445" i="99"/>
  <c r="AE1445" i="99" s="1"/>
  <c r="AD1445" i="99" s="1"/>
  <c r="AC1445" i="99" s="1"/>
  <c r="AB1445" i="99" s="1"/>
  <c r="AA1445" i="99" s="1"/>
  <c r="Z1445" i="99" s="1"/>
  <c r="N1444" i="99"/>
  <c r="M1412" i="99"/>
  <c r="N1409" i="99"/>
  <c r="N1392"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78" i="99"/>
  <c r="J978" i="99"/>
  <c r="I978" i="99"/>
  <c r="H978" i="99"/>
  <c r="G978" i="99"/>
  <c r="F978" i="99"/>
  <c r="E978" i="99"/>
  <c r="D978" i="99"/>
  <c r="C978" i="99"/>
  <c r="B978" i="99"/>
  <c r="K977" i="99"/>
  <c r="J977" i="99"/>
  <c r="I977" i="99"/>
  <c r="H977" i="99"/>
  <c r="G977" i="99"/>
  <c r="F977" i="99"/>
  <c r="E977" i="99"/>
  <c r="D977" i="99"/>
  <c r="C977" i="99"/>
  <c r="B977" i="99"/>
  <c r="K971" i="99"/>
  <c r="J971" i="99"/>
  <c r="I971" i="99"/>
  <c r="H971" i="99"/>
  <c r="G971" i="99"/>
  <c r="F971" i="99"/>
  <c r="E971" i="99"/>
  <c r="D971" i="99"/>
  <c r="C971" i="99"/>
  <c r="B971"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F959" i="99"/>
  <c r="E959" i="99"/>
  <c r="D959" i="99"/>
  <c r="C959" i="99"/>
  <c r="B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46" i="99"/>
  <c r="J946" i="99"/>
  <c r="I946" i="99"/>
  <c r="H946" i="99"/>
  <c r="G946" i="99"/>
  <c r="F946" i="99"/>
  <c r="E946" i="99"/>
  <c r="D946" i="99"/>
  <c r="C946" i="99"/>
  <c r="B946" i="99"/>
  <c r="K945" i="99"/>
  <c r="J945" i="99"/>
  <c r="I945" i="99"/>
  <c r="H945" i="99"/>
  <c r="G945" i="99"/>
  <c r="F945" i="99"/>
  <c r="E945" i="99"/>
  <c r="D945" i="99"/>
  <c r="C945" i="99"/>
  <c r="B945"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C939" i="99"/>
  <c r="D939" i="99"/>
  <c r="E939" i="99"/>
  <c r="F939" i="99"/>
  <c r="G939" i="99"/>
  <c r="H939" i="99"/>
  <c r="I939" i="99"/>
  <c r="J939" i="99"/>
  <c r="K939" i="99"/>
  <c r="B939" i="99"/>
  <c r="B938" i="99"/>
  <c r="B937" i="99"/>
  <c r="B936"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C927" i="99"/>
  <c r="D927" i="99"/>
  <c r="E927" i="99"/>
  <c r="F927" i="99"/>
  <c r="G927" i="99"/>
  <c r="H927" i="99"/>
  <c r="I927" i="99"/>
  <c r="J927" i="99"/>
  <c r="K927" i="99"/>
  <c r="B925" i="99"/>
  <c r="B927" i="99"/>
  <c r="B924" i="99"/>
  <c r="B923" i="99"/>
  <c r="B922"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R926" i="99"/>
  <c r="J932" i="99"/>
  <c r="H932" i="99"/>
  <c r="F932" i="99"/>
  <c r="B932" i="99"/>
  <c r="I931" i="99"/>
  <c r="H931" i="99"/>
  <c r="D931" i="99"/>
  <c r="B931" i="99"/>
  <c r="I930" i="99"/>
  <c r="F930" i="99"/>
  <c r="E930" i="99"/>
  <c r="D930" i="99"/>
  <c r="R919" i="99"/>
  <c r="R916" i="99"/>
  <c r="C909" i="99"/>
  <c r="N907" i="99"/>
  <c r="C904"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LD669" i="99" s="1"/>
  <c r="P669" i="99"/>
  <c r="HO669" i="99" s="1"/>
  <c r="O669" i="99"/>
  <c r="N669" i="99"/>
  <c r="K669" i="99"/>
  <c r="I669" i="99"/>
  <c r="H669" i="99"/>
  <c r="G669" i="99"/>
  <c r="F669" i="99"/>
  <c r="E669" i="99"/>
  <c r="D669" i="99"/>
  <c r="C669" i="99"/>
  <c r="B669" i="99"/>
  <c r="Q668" i="99"/>
  <c r="P668" i="99"/>
  <c r="O668" i="99"/>
  <c r="MO668" i="99" s="1"/>
  <c r="N668" i="99"/>
  <c r="HQ668" i="99" s="1"/>
  <c r="K668" i="99"/>
  <c r="I668" i="99"/>
  <c r="H668" i="99"/>
  <c r="G668" i="99"/>
  <c r="F668" i="99"/>
  <c r="E668" i="99"/>
  <c r="D668" i="99"/>
  <c r="C668" i="99"/>
  <c r="B668" i="99"/>
  <c r="Q667" i="99"/>
  <c r="P667" i="99"/>
  <c r="O667" i="99"/>
  <c r="N667" i="99"/>
  <c r="K667" i="99"/>
  <c r="I667" i="99"/>
  <c r="H667" i="99"/>
  <c r="G667" i="99"/>
  <c r="F667" i="99"/>
  <c r="E667" i="99"/>
  <c r="D667" i="99"/>
  <c r="C667" i="99"/>
  <c r="B667" i="99"/>
  <c r="Q666" i="99"/>
  <c r="KV666" i="99" s="1"/>
  <c r="P666" i="99"/>
  <c r="O666" i="99"/>
  <c r="N666" i="99"/>
  <c r="K666" i="99"/>
  <c r="I666" i="99"/>
  <c r="H666" i="99"/>
  <c r="G666" i="99"/>
  <c r="F666" i="99"/>
  <c r="E666" i="99"/>
  <c r="D666" i="99"/>
  <c r="C666" i="99"/>
  <c r="B666" i="99"/>
  <c r="Q665" i="99"/>
  <c r="P665" i="99"/>
  <c r="O665" i="99"/>
  <c r="N665" i="99"/>
  <c r="K665" i="99"/>
  <c r="I665" i="99"/>
  <c r="H665" i="99"/>
  <c r="G665" i="99"/>
  <c r="F665" i="99"/>
  <c r="E665" i="99"/>
  <c r="MK665" i="99" s="1"/>
  <c r="D665" i="99"/>
  <c r="C665" i="99"/>
  <c r="B665" i="99"/>
  <c r="Q664" i="99"/>
  <c r="P664" i="99"/>
  <c r="MC664" i="99" s="1"/>
  <c r="O664" i="99"/>
  <c r="N664" i="99"/>
  <c r="K664" i="99"/>
  <c r="I664" i="99"/>
  <c r="H664" i="99"/>
  <c r="G664" i="99"/>
  <c r="F664" i="99"/>
  <c r="E664" i="99"/>
  <c r="D664" i="99"/>
  <c r="C664" i="99"/>
  <c r="B664" i="99"/>
  <c r="Q663" i="99"/>
  <c r="P663" i="99"/>
  <c r="O663" i="99"/>
  <c r="N663" i="99"/>
  <c r="K663" i="99"/>
  <c r="FY663" i="99" s="1"/>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KJ660" i="99" s="1"/>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LB658" i="99" s="1"/>
  <c r="B658" i="99"/>
  <c r="Q657" i="99"/>
  <c r="P657" i="99"/>
  <c r="O657" i="99"/>
  <c r="N657" i="99"/>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Q649" i="99"/>
  <c r="P649" i="99"/>
  <c r="O649" i="99"/>
  <c r="N649" i="99"/>
  <c r="K650" i="99"/>
  <c r="J650" i="99"/>
  <c r="I650" i="99"/>
  <c r="H650" i="99"/>
  <c r="L650" i="99" s="1"/>
  <c r="M650" i="99" s="1"/>
  <c r="G650" i="99"/>
  <c r="F650" i="99"/>
  <c r="E650" i="99"/>
  <c r="D650" i="99"/>
  <c r="C650" i="99"/>
  <c r="B650" i="99"/>
  <c r="FA650" i="99" s="1"/>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R669" i="99"/>
  <c r="LV669" i="99"/>
  <c r="JP669" i="99"/>
  <c r="IB669" i="99"/>
  <c r="GE669" i="99"/>
  <c r="GD669" i="99"/>
  <c r="GB669" i="99"/>
  <c r="FZ669" i="99"/>
  <c r="FX669" i="99"/>
  <c r="FW669" i="99"/>
  <c r="FR669" i="99"/>
  <c r="EN669" i="99"/>
  <c r="EH669" i="99"/>
  <c r="EF669" i="99"/>
  <c r="ED669" i="99"/>
  <c r="DC669" i="99"/>
  <c r="CA669" i="99"/>
  <c r="AY669" i="99"/>
  <c r="Z669" i="99"/>
  <c r="MS668" i="99"/>
  <c r="MR668" i="99"/>
  <c r="MQ668" i="99"/>
  <c r="MP668" i="99"/>
  <c r="MN668" i="99"/>
  <c r="MK668" i="99"/>
  <c r="MJ668" i="99"/>
  <c r="MI668" i="99"/>
  <c r="MH668" i="99"/>
  <c r="MF668" i="99"/>
  <c r="LN668" i="99"/>
  <c r="LE668" i="99"/>
  <c r="LD668" i="99"/>
  <c r="LC668" i="99"/>
  <c r="LB668" i="99"/>
  <c r="KZ668" i="99"/>
  <c r="KW668" i="99"/>
  <c r="KV668" i="99"/>
  <c r="KU668" i="99"/>
  <c r="KT668" i="99"/>
  <c r="KR668" i="99"/>
  <c r="KO668" i="99"/>
  <c r="KN668" i="99"/>
  <c r="KM668" i="99"/>
  <c r="KL668" i="99"/>
  <c r="KJ668" i="99"/>
  <c r="KG668" i="99"/>
  <c r="KF668" i="99"/>
  <c r="KE668" i="99"/>
  <c r="KD668" i="99"/>
  <c r="KB668" i="99"/>
  <c r="JY668" i="99"/>
  <c r="JX668" i="99"/>
  <c r="JW668" i="99"/>
  <c r="JV668" i="99"/>
  <c r="JT668" i="99"/>
  <c r="JQ668" i="99"/>
  <c r="JP668" i="99"/>
  <c r="JO668" i="99"/>
  <c r="JN668" i="99"/>
  <c r="JL668" i="99"/>
  <c r="JI668" i="99"/>
  <c r="JH668" i="99"/>
  <c r="JG668" i="99"/>
  <c r="JF668" i="99"/>
  <c r="JD668" i="99"/>
  <c r="JA668" i="99"/>
  <c r="IZ668" i="99"/>
  <c r="IY668" i="99"/>
  <c r="IX668" i="99"/>
  <c r="IV668" i="99"/>
  <c r="IS668" i="99"/>
  <c r="IR668" i="99"/>
  <c r="IQ668" i="99"/>
  <c r="IP668" i="99"/>
  <c r="IN668" i="99"/>
  <c r="IK668" i="99"/>
  <c r="IJ668" i="99"/>
  <c r="II668" i="99"/>
  <c r="IH668" i="99"/>
  <c r="IF668" i="99"/>
  <c r="IC668" i="99"/>
  <c r="IB668" i="99"/>
  <c r="IA668" i="99"/>
  <c r="HZ668" i="99"/>
  <c r="GO668" i="99"/>
  <c r="EX668" i="99"/>
  <c r="EJ668" i="99"/>
  <c r="CF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IB666" i="99"/>
  <c r="FE666" i="99"/>
  <c r="BV666" i="99"/>
  <c r="MS665" i="99"/>
  <c r="ML665" i="99"/>
  <c r="LP665" i="99"/>
  <c r="LF665" i="99"/>
  <c r="LD665" i="99"/>
  <c r="KY665" i="99"/>
  <c r="KX665" i="99"/>
  <c r="KV665" i="99"/>
  <c r="KQ665" i="99"/>
  <c r="KP665" i="99"/>
  <c r="KN665" i="99"/>
  <c r="KI665" i="99"/>
  <c r="KH665" i="99"/>
  <c r="KF665" i="99"/>
  <c r="KA665" i="99"/>
  <c r="JZ665" i="99"/>
  <c r="JX665" i="99"/>
  <c r="JS665" i="99"/>
  <c r="JR665" i="99"/>
  <c r="JP665" i="99"/>
  <c r="JK665" i="99"/>
  <c r="JJ665" i="99"/>
  <c r="JH665" i="99"/>
  <c r="JC665" i="99"/>
  <c r="JB665" i="99"/>
  <c r="IZ665" i="99"/>
  <c r="IU665" i="99"/>
  <c r="IT665" i="99"/>
  <c r="IR665" i="99"/>
  <c r="IM665" i="99"/>
  <c r="IL665" i="99"/>
  <c r="IJ665" i="99"/>
  <c r="IE665" i="99"/>
  <c r="ID665" i="99"/>
  <c r="IB665" i="99"/>
  <c r="HD665" i="99"/>
  <c r="GS665" i="99"/>
  <c r="GF665" i="99"/>
  <c r="GA665" i="99"/>
  <c r="FZ665" i="99"/>
  <c r="FX665" i="99"/>
  <c r="EL665" i="99"/>
  <c r="EH665" i="99"/>
  <c r="EF665" i="99"/>
  <c r="DF665" i="99"/>
  <c r="CW665" i="99"/>
  <c r="CH665" i="99"/>
  <c r="BG665" i="99"/>
  <c r="BA665" i="99"/>
  <c r="AQ665" i="99"/>
  <c r="MS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KJ663" i="99"/>
  <c r="GF663" i="99"/>
  <c r="GE663" i="99"/>
  <c r="GC663" i="99"/>
  <c r="GB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P661" i="99"/>
  <c r="MO661" i="99"/>
  <c r="MN661" i="99"/>
  <c r="MM661" i="99"/>
  <c r="ML661" i="99"/>
  <c r="MK661" i="99"/>
  <c r="MH661" i="99"/>
  <c r="LA661" i="99"/>
  <c r="KS661" i="99"/>
  <c r="KK661" i="99"/>
  <c r="KC661" i="99"/>
  <c r="JU661" i="99"/>
  <c r="JM661" i="99"/>
  <c r="JE661" i="99"/>
  <c r="IW661" i="99"/>
  <c r="IO661" i="99"/>
  <c r="IG661" i="99"/>
  <c r="ID661" i="99"/>
  <c r="IC661" i="99"/>
  <c r="IB661" i="99"/>
  <c r="IA661" i="99"/>
  <c r="HZ661" i="99"/>
  <c r="GF661" i="99"/>
  <c r="GE661" i="99"/>
  <c r="GD661" i="99"/>
  <c r="GC661" i="99"/>
  <c r="GB661" i="99"/>
  <c r="GA661" i="99"/>
  <c r="FZ661" i="99"/>
  <c r="FX661" i="99"/>
  <c r="FW661" i="99"/>
  <c r="EH661" i="99"/>
  <c r="EG661" i="99"/>
  <c r="EF661" i="99"/>
  <c r="EE661" i="99"/>
  <c r="ED661" i="99"/>
  <c r="CE661" i="99"/>
  <c r="MF660" i="99"/>
  <c r="IV660" i="99"/>
  <c r="MT659" i="99"/>
  <c r="ML659" i="99"/>
  <c r="LI659" i="99"/>
  <c r="KY659" i="99"/>
  <c r="KQ659" i="99"/>
  <c r="KI659" i="99"/>
  <c r="KA659" i="99"/>
  <c r="JS659" i="99"/>
  <c r="JK659" i="99"/>
  <c r="JC659" i="99"/>
  <c r="IU659" i="99"/>
  <c r="IM659" i="99"/>
  <c r="IE659" i="99"/>
  <c r="GK659" i="99"/>
  <c r="EF659" i="99"/>
  <c r="AW659" i="99"/>
  <c r="LC658" i="99"/>
  <c r="KU658" i="99"/>
  <c r="KM658" i="99"/>
  <c r="KE658" i="99"/>
  <c r="JW658" i="99"/>
  <c r="JO658" i="99"/>
  <c r="JG658" i="99"/>
  <c r="IY658" i="99"/>
  <c r="IQ658" i="99"/>
  <c r="II658" i="99"/>
  <c r="HZ658" i="99"/>
  <c r="MT657" i="99"/>
  <c r="MS657" i="99"/>
  <c r="MR657" i="99"/>
  <c r="MQ657" i="99"/>
  <c r="MP657" i="99"/>
  <c r="MO657" i="99"/>
  <c r="MN657" i="99"/>
  <c r="MM657" i="99"/>
  <c r="ML657" i="99"/>
  <c r="MK657" i="99"/>
  <c r="MJ657" i="99"/>
  <c r="MI657" i="99"/>
  <c r="MH657" i="99"/>
  <c r="MG657" i="99"/>
  <c r="MF657"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FY657" i="99"/>
  <c r="FS657" i="99"/>
  <c r="FO657" i="99"/>
  <c r="FK657" i="99"/>
  <c r="FG657" i="99"/>
  <c r="FC657" i="99"/>
  <c r="EY657" i="99"/>
  <c r="EU657" i="99"/>
  <c r="EQ657" i="99"/>
  <c r="EM657" i="99"/>
  <c r="EI657" i="99"/>
  <c r="EH657" i="99"/>
  <c r="EG657" i="99"/>
  <c r="EF657" i="99"/>
  <c r="EE657" i="99"/>
  <c r="ED657" i="99"/>
  <c r="DC657" i="99"/>
  <c r="BW657" i="99"/>
  <c r="BK657" i="99"/>
  <c r="BG657" i="99"/>
  <c r="BC657" i="99"/>
  <c r="AY657" i="99"/>
  <c r="AU657" i="99"/>
  <c r="AQ657" i="99"/>
  <c r="AM657" i="99"/>
  <c r="AI657" i="99"/>
  <c r="AE657" i="99"/>
  <c r="AA657" i="99"/>
  <c r="LF656" i="99"/>
  <c r="LE656" i="99"/>
  <c r="KX656" i="99"/>
  <c r="KW656" i="99"/>
  <c r="KP656" i="99"/>
  <c r="KO656" i="99"/>
  <c r="KH656" i="99"/>
  <c r="KG656" i="99"/>
  <c r="JZ656" i="99"/>
  <c r="JY656" i="99"/>
  <c r="JR656" i="99"/>
  <c r="JQ656" i="99"/>
  <c r="JJ656" i="99"/>
  <c r="JI656" i="99"/>
  <c r="JB656" i="99"/>
  <c r="JA656" i="99"/>
  <c r="IT656" i="99"/>
  <c r="IS656" i="99"/>
  <c r="IL656" i="99"/>
  <c r="IK656" i="99"/>
  <c r="ID656" i="99"/>
  <c r="IC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L613" i="99" s="1"/>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Q492" i="99"/>
  <c r="N492" i="99"/>
  <c r="P479" i="99"/>
  <c r="M479" i="99"/>
  <c r="J479" i="99"/>
  <c r="P475" i="99"/>
  <c r="J475" i="99"/>
  <c r="P468" i="99"/>
  <c r="P467" i="99"/>
  <c r="P466" i="99"/>
  <c r="P465" i="99"/>
  <c r="P464" i="99"/>
  <c r="P463" i="99"/>
  <c r="J468" i="99"/>
  <c r="J467" i="99"/>
  <c r="J466" i="99"/>
  <c r="J465" i="99"/>
  <c r="J464" i="99"/>
  <c r="J463" i="99"/>
  <c r="S453" i="99"/>
  <c r="S452" i="99"/>
  <c r="P453" i="99"/>
  <c r="P452" i="99"/>
  <c r="M453" i="99"/>
  <c r="M452" i="99"/>
  <c r="J453" i="99"/>
  <c r="J452" i="99"/>
  <c r="G453" i="99"/>
  <c r="G452" i="99"/>
  <c r="P444" i="99"/>
  <c r="P443" i="99"/>
  <c r="M444" i="99"/>
  <c r="M443" i="99"/>
  <c r="J444" i="99"/>
  <c r="S444" i="99"/>
  <c r="S443" i="99"/>
  <c r="S442" i="99"/>
  <c r="S441" i="99"/>
  <c r="S440" i="99"/>
  <c r="S439" i="99"/>
  <c r="G440" i="99"/>
  <c r="J440" i="99" s="1"/>
  <c r="G441" i="99"/>
  <c r="J441" i="99" s="1"/>
  <c r="G442" i="99"/>
  <c r="G443" i="99"/>
  <c r="G444" i="99"/>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J350" i="99"/>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8" i="99" s="1"/>
  <c r="S336" i="99"/>
  <c r="M333" i="99"/>
  <c r="M332" i="99"/>
  <c r="M334" i="99" s="1"/>
  <c r="J337" i="99"/>
  <c r="J336" i="99"/>
  <c r="G337" i="99"/>
  <c r="G331" i="99"/>
  <c r="G332" i="99"/>
  <c r="G333" i="99"/>
  <c r="J443" i="99"/>
  <c r="G439" i="99"/>
  <c r="G426" i="99"/>
  <c r="G434" i="99"/>
  <c r="S432" i="99"/>
  <c r="P432" i="99"/>
  <c r="M432" i="99"/>
  <c r="J432" i="99"/>
  <c r="G432" i="99"/>
  <c r="S365" i="99"/>
  <c r="P365" i="99"/>
  <c r="M365" i="99"/>
  <c r="J365" i="99"/>
  <c r="G365" i="99"/>
  <c r="S356" i="99"/>
  <c r="P356" i="99"/>
  <c r="M356" i="99"/>
  <c r="J356" i="99"/>
  <c r="G356" i="99"/>
  <c r="G348" i="99"/>
  <c r="G340" i="99"/>
  <c r="P336" i="99"/>
  <c r="P338" i="99" s="1"/>
  <c r="M336" i="99"/>
  <c r="G336" i="99"/>
  <c r="F336" i="99" s="1"/>
  <c r="S330" i="99"/>
  <c r="G330" i="99"/>
  <c r="T489" i="99"/>
  <c r="R475" i="99"/>
  <c r="H475" i="99"/>
  <c r="E401" i="99"/>
  <c r="E400" i="99"/>
  <c r="C468" i="99"/>
  <c r="C453" i="99"/>
  <c r="C444" i="99"/>
  <c r="C429" i="99"/>
  <c r="C423" i="99"/>
  <c r="C422" i="99"/>
  <c r="U422" i="99" s="1"/>
  <c r="C412" i="99"/>
  <c r="C395" i="99"/>
  <c r="C382" i="99"/>
  <c r="C381" i="99"/>
  <c r="C356" i="99"/>
  <c r="C326" i="99"/>
  <c r="C327" i="99"/>
  <c r="C325" i="99"/>
  <c r="U325" i="99" s="1"/>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A327" i="99" s="1"/>
  <c r="G319" i="99"/>
  <c r="S501" i="99"/>
  <c r="S499" i="99"/>
  <c r="S497" i="99"/>
  <c r="U497" i="99" s="1"/>
  <c r="Z493" i="99"/>
  <c r="Z492" i="99"/>
  <c r="N489" i="99"/>
  <c r="J489" i="99"/>
  <c r="W485" i="99"/>
  <c r="W471" i="99"/>
  <c r="V469" i="99"/>
  <c r="W461" i="99"/>
  <c r="W460" i="99"/>
  <c r="V454" i="99"/>
  <c r="W451" i="99"/>
  <c r="O451" i="99"/>
  <c r="V449" i="99"/>
  <c r="V445" i="99"/>
  <c r="A444"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W425" i="99"/>
  <c r="O425" i="99"/>
  <c r="V424" i="99"/>
  <c r="U423" i="99"/>
  <c r="F421" i="99"/>
  <c r="AD418" i="99"/>
  <c r="B416" i="99"/>
  <c r="AD415" i="99"/>
  <c r="B415" i="99"/>
  <c r="AD414" i="99"/>
  <c r="W414" i="99"/>
  <c r="O414" i="99"/>
  <c r="V413" i="99"/>
  <c r="W406" i="99"/>
  <c r="O406" i="99"/>
  <c r="V404" i="99"/>
  <c r="V402" i="99"/>
  <c r="W397" i="99"/>
  <c r="O397" i="99"/>
  <c r="V396" i="99"/>
  <c r="W384" i="99"/>
  <c r="O384" i="99"/>
  <c r="V383" i="99"/>
  <c r="A382" i="99"/>
  <c r="W370" i="99"/>
  <c r="O370" i="99"/>
  <c r="W364" i="99"/>
  <c r="O364" i="99"/>
  <c r="W361" i="99"/>
  <c r="W355" i="99"/>
  <c r="O355" i="99"/>
  <c r="V351" i="99"/>
  <c r="F350" i="99"/>
  <c r="D350" i="99"/>
  <c r="F349" i="99"/>
  <c r="D349" i="99"/>
  <c r="F348" i="99"/>
  <c r="D348" i="99"/>
  <c r="D351" i="99" s="1"/>
  <c r="W347" i="99"/>
  <c r="O347" i="99"/>
  <c r="V346" i="99"/>
  <c r="W339" i="99"/>
  <c r="O339" i="99"/>
  <c r="V338" i="99"/>
  <c r="M338" i="99"/>
  <c r="W335" i="99"/>
  <c r="O335" i="99"/>
  <c r="V334" i="99"/>
  <c r="F330" i="99"/>
  <c r="W329" i="99"/>
  <c r="O329" i="99"/>
  <c r="V328" i="99"/>
  <c r="V456" i="99" s="1"/>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P287"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L294" i="99" s="1"/>
  <c r="N412" i="73"/>
  <c r="N411" i="73"/>
  <c r="N409" i="73"/>
  <c r="N408" i="73"/>
  <c r="N406" i="73"/>
  <c r="N405" i="73"/>
  <c r="P409" i="72"/>
  <c r="P1900" i="99" s="1"/>
  <c r="O409" i="72"/>
  <c r="O404" i="72" s="1"/>
  <c r="O1895" i="99" s="1"/>
  <c r="O396" i="72"/>
  <c r="O377" i="72"/>
  <c r="O1868" i="99" s="1"/>
  <c r="R1868" i="99" s="1"/>
  <c r="O1832" i="99"/>
  <c r="O309" i="72"/>
  <c r="O1800" i="99" s="1"/>
  <c r="O284" i="72"/>
  <c r="O1775" i="99" s="1"/>
  <c r="O265" i="72"/>
  <c r="O1756" i="99" s="1"/>
  <c r="L1756" i="99" s="1"/>
  <c r="O261" i="72"/>
  <c r="O267" i="72" s="1"/>
  <c r="O1758" i="99" s="1"/>
  <c r="O251" i="72"/>
  <c r="O1742" i="99" s="1"/>
  <c r="O224" i="72"/>
  <c r="O1715" i="99" s="1"/>
  <c r="R1715" i="99" s="1"/>
  <c r="N1449" i="99" l="1"/>
  <c r="M499" i="99"/>
  <c r="JX669" i="99"/>
  <c r="IR666" i="99"/>
  <c r="LD666" i="99"/>
  <c r="IZ669" i="99"/>
  <c r="MQ666" i="99"/>
  <c r="MQ669" i="99"/>
  <c r="JH669" i="99"/>
  <c r="MJ669" i="99"/>
  <c r="KF666" i="99"/>
  <c r="IJ666" i="99"/>
  <c r="KF669" i="99"/>
  <c r="KN669" i="99"/>
  <c r="KN666" i="99"/>
  <c r="IJ669" i="99"/>
  <c r="KV669" i="99"/>
  <c r="IR669" i="99"/>
  <c r="MJ664" i="99"/>
  <c r="HT664" i="99"/>
  <c r="MH664" i="99"/>
  <c r="GM669" i="99"/>
  <c r="JQ669" i="99"/>
  <c r="MS669" i="99"/>
  <c r="IC669" i="99"/>
  <c r="IS669" i="99"/>
  <c r="JY669" i="99"/>
  <c r="KO669" i="99"/>
  <c r="MK669" i="99"/>
  <c r="ID669" i="99"/>
  <c r="JJ669" i="99"/>
  <c r="KH669" i="99"/>
  <c r="KX669" i="99"/>
  <c r="ML669" i="99"/>
  <c r="IZ666" i="99"/>
  <c r="MR666" i="99"/>
  <c r="IE669" i="99"/>
  <c r="IM669" i="99"/>
  <c r="IU669" i="99"/>
  <c r="JC669" i="99"/>
  <c r="JK669" i="99"/>
  <c r="JS669" i="99"/>
  <c r="KA669" i="99"/>
  <c r="KI669" i="99"/>
  <c r="KQ669" i="99"/>
  <c r="KY669" i="99"/>
  <c r="MM669" i="99"/>
  <c r="IL669" i="99"/>
  <c r="JB669" i="99"/>
  <c r="JR669" i="99"/>
  <c r="KP669" i="99"/>
  <c r="LF669" i="99"/>
  <c r="MT669" i="99"/>
  <c r="JH666" i="99"/>
  <c r="ID668" i="99"/>
  <c r="IL668" i="99"/>
  <c r="IT668" i="99"/>
  <c r="JB668" i="99"/>
  <c r="JJ668" i="99"/>
  <c r="JR668" i="99"/>
  <c r="JZ668" i="99"/>
  <c r="KH668" i="99"/>
  <c r="KP668" i="99"/>
  <c r="KX668" i="99"/>
  <c r="LF668" i="99"/>
  <c r="ML668" i="99"/>
  <c r="MT668" i="99"/>
  <c r="IF669" i="99"/>
  <c r="IN669" i="99"/>
  <c r="IV669" i="99"/>
  <c r="JD669" i="99"/>
  <c r="JL669" i="99"/>
  <c r="JT669" i="99"/>
  <c r="KB669" i="99"/>
  <c r="KJ669" i="99"/>
  <c r="KR669" i="99"/>
  <c r="KZ669" i="99"/>
  <c r="MF669" i="99"/>
  <c r="MN669" i="99"/>
  <c r="IT669" i="99"/>
  <c r="JZ669" i="99"/>
  <c r="MJ666" i="99"/>
  <c r="JP666" i="99"/>
  <c r="IE668" i="99"/>
  <c r="IM668" i="99"/>
  <c r="IU668" i="99"/>
  <c r="JC668" i="99"/>
  <c r="JK668" i="99"/>
  <c r="JS668" i="99"/>
  <c r="KA668" i="99"/>
  <c r="KI668" i="99"/>
  <c r="KQ668" i="99"/>
  <c r="KY668" i="99"/>
  <c r="MM668" i="99"/>
  <c r="IG669" i="99"/>
  <c r="IO669" i="99"/>
  <c r="IW669" i="99"/>
  <c r="JE669" i="99"/>
  <c r="JM669" i="99"/>
  <c r="JU669" i="99"/>
  <c r="KC669" i="99"/>
  <c r="KK669" i="99"/>
  <c r="KS669" i="99"/>
  <c r="LA669" i="99"/>
  <c r="MG669" i="99"/>
  <c r="MO669" i="99"/>
  <c r="JA669" i="99"/>
  <c r="IK669" i="99"/>
  <c r="JI669" i="99"/>
  <c r="KG669" i="99"/>
  <c r="KW669" i="99"/>
  <c r="LE669" i="99"/>
  <c r="JX666" i="99"/>
  <c r="HZ669" i="99"/>
  <c r="IH669" i="99"/>
  <c r="IP669" i="99"/>
  <c r="IX669" i="99"/>
  <c r="JF669" i="99"/>
  <c r="JN669" i="99"/>
  <c r="JV669" i="99"/>
  <c r="KD669" i="99"/>
  <c r="KL669" i="99"/>
  <c r="KT669" i="99"/>
  <c r="LB669" i="99"/>
  <c r="MH669" i="99"/>
  <c r="MP669" i="99"/>
  <c r="IG668" i="99"/>
  <c r="IO668" i="99"/>
  <c r="IW668" i="99"/>
  <c r="JE668" i="99"/>
  <c r="JM668" i="99"/>
  <c r="JU668" i="99"/>
  <c r="KC668" i="99"/>
  <c r="KK668" i="99"/>
  <c r="KS668" i="99"/>
  <c r="LA668" i="99"/>
  <c r="MG668" i="99"/>
  <c r="IA669" i="99"/>
  <c r="II669" i="99"/>
  <c r="IQ669" i="99"/>
  <c r="IY669" i="99"/>
  <c r="JG669" i="99"/>
  <c r="JO669" i="99"/>
  <c r="JW669" i="99"/>
  <c r="KE669" i="99"/>
  <c r="KM669" i="99"/>
  <c r="KU669" i="99"/>
  <c r="LC669" i="99"/>
  <c r="MI669" i="99"/>
  <c r="DV668" i="99"/>
  <c r="BB668" i="99"/>
  <c r="FM668" i="99"/>
  <c r="BQ668" i="99"/>
  <c r="FZ668" i="99"/>
  <c r="CS668" i="99"/>
  <c r="HD668" i="99"/>
  <c r="DH668" i="99"/>
  <c r="GA663" i="99"/>
  <c r="FY661" i="99"/>
  <c r="MQ665" i="99"/>
  <c r="MT665" i="99"/>
  <c r="MP665" i="99"/>
  <c r="MI665" i="99"/>
  <c r="ML664" i="99"/>
  <c r="MO664" i="99"/>
  <c r="MR664" i="99"/>
  <c r="LX667" i="99"/>
  <c r="GE667" i="99"/>
  <c r="LW668" i="99"/>
  <c r="CG666" i="99"/>
  <c r="FT666" i="99"/>
  <c r="IC666" i="99"/>
  <c r="IK666" i="99"/>
  <c r="IS666" i="99"/>
  <c r="JA666" i="99"/>
  <c r="JI666" i="99"/>
  <c r="JI687" i="99" s="1"/>
  <c r="K776" i="99" s="1"/>
  <c r="JQ666" i="99"/>
  <c r="JY666" i="99"/>
  <c r="KG666" i="99"/>
  <c r="KO666" i="99"/>
  <c r="KW666" i="99"/>
  <c r="LE666" i="99"/>
  <c r="MK666" i="99"/>
  <c r="MS666" i="99"/>
  <c r="CR666" i="99"/>
  <c r="GH666" i="99"/>
  <c r="ID666" i="99"/>
  <c r="IL666" i="99"/>
  <c r="IT666" i="99"/>
  <c r="JB666" i="99"/>
  <c r="JJ666" i="99"/>
  <c r="JR666" i="99"/>
  <c r="JZ666" i="99"/>
  <c r="KH666" i="99"/>
  <c r="KP666" i="99"/>
  <c r="KX666" i="99"/>
  <c r="LF666" i="99"/>
  <c r="ML666" i="99"/>
  <c r="MT666" i="99"/>
  <c r="DB666" i="99"/>
  <c r="GV666" i="99"/>
  <c r="IE666" i="99"/>
  <c r="IM666" i="99"/>
  <c r="IU666" i="99"/>
  <c r="JC666" i="99"/>
  <c r="JK666" i="99"/>
  <c r="JS666" i="99"/>
  <c r="KA666" i="99"/>
  <c r="KI666" i="99"/>
  <c r="KQ666" i="99"/>
  <c r="KY666" i="99"/>
  <c r="LQ666" i="99"/>
  <c r="MM666" i="99"/>
  <c r="AF666" i="99"/>
  <c r="DM666" i="99"/>
  <c r="HJ666" i="99"/>
  <c r="IF666" i="99"/>
  <c r="IN666" i="99"/>
  <c r="IV666" i="99"/>
  <c r="JD666" i="99"/>
  <c r="JL666" i="99"/>
  <c r="JT666" i="99"/>
  <c r="KB666" i="99"/>
  <c r="KJ666" i="99"/>
  <c r="KR666" i="99"/>
  <c r="KZ666" i="99"/>
  <c r="MF666" i="99"/>
  <c r="MN666" i="99"/>
  <c r="AP666" i="99"/>
  <c r="DX666" i="99"/>
  <c r="HY666" i="99"/>
  <c r="IG666" i="99"/>
  <c r="IO666" i="99"/>
  <c r="IW666" i="99"/>
  <c r="JE666" i="99"/>
  <c r="JM666" i="99"/>
  <c r="JU666" i="99"/>
  <c r="KC666" i="99"/>
  <c r="KK666" i="99"/>
  <c r="KS666" i="99"/>
  <c r="LA666" i="99"/>
  <c r="MG666" i="99"/>
  <c r="MO666" i="99"/>
  <c r="BA666" i="99"/>
  <c r="EH666" i="99"/>
  <c r="HZ666" i="99"/>
  <c r="IH666" i="99"/>
  <c r="IP666" i="99"/>
  <c r="IX666" i="99"/>
  <c r="JF666" i="99"/>
  <c r="JN666" i="99"/>
  <c r="JV666" i="99"/>
  <c r="KD666" i="99"/>
  <c r="KL666" i="99"/>
  <c r="KT666" i="99"/>
  <c r="LB666" i="99"/>
  <c r="MH666" i="99"/>
  <c r="MP666" i="99"/>
  <c r="BL666" i="99"/>
  <c r="ES666" i="99"/>
  <c r="IA666" i="99"/>
  <c r="II666" i="99"/>
  <c r="IQ666" i="99"/>
  <c r="IY666" i="99"/>
  <c r="JG666" i="99"/>
  <c r="JO666" i="99"/>
  <c r="JW666" i="99"/>
  <c r="KE666" i="99"/>
  <c r="KM666" i="99"/>
  <c r="KU666" i="99"/>
  <c r="LC666" i="99"/>
  <c r="MI666" i="99"/>
  <c r="LR666" i="99"/>
  <c r="AV665" i="99"/>
  <c r="CP665" i="99"/>
  <c r="EG665" i="99"/>
  <c r="FY665" i="99"/>
  <c r="GH665" i="99"/>
  <c r="IC665" i="99"/>
  <c r="IK665" i="99"/>
  <c r="IS665" i="99"/>
  <c r="JA665" i="99"/>
  <c r="JI665" i="99"/>
  <c r="JQ665" i="99"/>
  <c r="JY665" i="99"/>
  <c r="KG665" i="99"/>
  <c r="KO665" i="99"/>
  <c r="KW665" i="99"/>
  <c r="LE665" i="99"/>
  <c r="MJ665" i="99"/>
  <c r="MR665" i="99"/>
  <c r="BL665" i="99"/>
  <c r="DQ665" i="99"/>
  <c r="EW665" i="99"/>
  <c r="GB665" i="99"/>
  <c r="HN665" i="99"/>
  <c r="IF665" i="99"/>
  <c r="IN665" i="99"/>
  <c r="IV665" i="99"/>
  <c r="JD665" i="99"/>
  <c r="JL665" i="99"/>
  <c r="JT665" i="99"/>
  <c r="KB665" i="99"/>
  <c r="KJ665" i="99"/>
  <c r="KR665" i="99"/>
  <c r="KZ665" i="99"/>
  <c r="LZ665" i="99"/>
  <c r="MM665" i="99"/>
  <c r="AA665" i="99"/>
  <c r="BQ665" i="99"/>
  <c r="EB665" i="99"/>
  <c r="FH665" i="99"/>
  <c r="GC665" i="99"/>
  <c r="HY665" i="99"/>
  <c r="IG665" i="99"/>
  <c r="IO665" i="99"/>
  <c r="IW665" i="99"/>
  <c r="JE665" i="99"/>
  <c r="JM665" i="99"/>
  <c r="JU665" i="99"/>
  <c r="KC665" i="99"/>
  <c r="KK665" i="99"/>
  <c r="KS665" i="99"/>
  <c r="LA665" i="99"/>
  <c r="MF665" i="99"/>
  <c r="MN665" i="99"/>
  <c r="AF665" i="99"/>
  <c r="BW665" i="99"/>
  <c r="ED665" i="99"/>
  <c r="FR665" i="99"/>
  <c r="GD665" i="99"/>
  <c r="HZ665" i="99"/>
  <c r="IH665" i="99"/>
  <c r="IP665" i="99"/>
  <c r="IX665" i="99"/>
  <c r="JF665" i="99"/>
  <c r="JN665" i="99"/>
  <c r="JV665" i="99"/>
  <c r="KD665" i="99"/>
  <c r="KL665" i="99"/>
  <c r="KT665" i="99"/>
  <c r="LB665" i="99"/>
  <c r="MG665" i="99"/>
  <c r="MO665" i="99"/>
  <c r="AK665" i="99"/>
  <c r="CB665" i="99"/>
  <c r="EE665" i="99"/>
  <c r="FW665" i="99"/>
  <c r="GE665" i="99"/>
  <c r="IA665" i="99"/>
  <c r="II665" i="99"/>
  <c r="IQ665" i="99"/>
  <c r="IY665" i="99"/>
  <c r="JG665" i="99"/>
  <c r="JO665" i="99"/>
  <c r="JW665" i="99"/>
  <c r="KE665" i="99"/>
  <c r="KM665" i="99"/>
  <c r="KU665" i="99"/>
  <c r="LC665" i="99"/>
  <c r="MH665" i="99"/>
  <c r="IF660" i="99"/>
  <c r="KR660" i="99"/>
  <c r="IN660" i="99"/>
  <c r="KZ660" i="99"/>
  <c r="JD660" i="99"/>
  <c r="MN660" i="99"/>
  <c r="JL660" i="99"/>
  <c r="JT660" i="99"/>
  <c r="DN660" i="99"/>
  <c r="KB660" i="99"/>
  <c r="FZ660" i="99"/>
  <c r="CH660" i="99"/>
  <c r="FY659" i="99"/>
  <c r="IA658" i="99"/>
  <c r="IJ658" i="99"/>
  <c r="IR658" i="99"/>
  <c r="IZ658" i="99"/>
  <c r="JH658" i="99"/>
  <c r="JP658" i="99"/>
  <c r="JX658" i="99"/>
  <c r="KF658" i="99"/>
  <c r="KN658" i="99"/>
  <c r="KV658" i="99"/>
  <c r="LD658" i="99"/>
  <c r="IC658" i="99"/>
  <c r="IK658" i="99"/>
  <c r="IS658" i="99"/>
  <c r="JA658" i="99"/>
  <c r="JI658" i="99"/>
  <c r="JQ658" i="99"/>
  <c r="JY658" i="99"/>
  <c r="KG658" i="99"/>
  <c r="KO658" i="99"/>
  <c r="KW658" i="99"/>
  <c r="LE658" i="99"/>
  <c r="ID658" i="99"/>
  <c r="IL658" i="99"/>
  <c r="IT658" i="99"/>
  <c r="JB658" i="99"/>
  <c r="JJ658" i="99"/>
  <c r="JR658" i="99"/>
  <c r="JZ658" i="99"/>
  <c r="KH658" i="99"/>
  <c r="KP658" i="99"/>
  <c r="KX658" i="99"/>
  <c r="LF658" i="99"/>
  <c r="IE658" i="99"/>
  <c r="IM658" i="99"/>
  <c r="IU658" i="99"/>
  <c r="JC658" i="99"/>
  <c r="JK658" i="99"/>
  <c r="JS658" i="99"/>
  <c r="KA658" i="99"/>
  <c r="KI658" i="99"/>
  <c r="KQ658" i="99"/>
  <c r="KY658" i="99"/>
  <c r="MJ658" i="99"/>
  <c r="IF658" i="99"/>
  <c r="IN658" i="99"/>
  <c r="IV658" i="99"/>
  <c r="JD658" i="99"/>
  <c r="JL658" i="99"/>
  <c r="JT658" i="99"/>
  <c r="KB658" i="99"/>
  <c r="KJ658" i="99"/>
  <c r="KR658" i="99"/>
  <c r="KZ658" i="99"/>
  <c r="MR658" i="99"/>
  <c r="IG658" i="99"/>
  <c r="IO658" i="99"/>
  <c r="IW658" i="99"/>
  <c r="JE658" i="99"/>
  <c r="JM658" i="99"/>
  <c r="JU658" i="99"/>
  <c r="KC658" i="99"/>
  <c r="KK658" i="99"/>
  <c r="KS658" i="99"/>
  <c r="LA658" i="99"/>
  <c r="IH658" i="99"/>
  <c r="IP658" i="99"/>
  <c r="IX658" i="99"/>
  <c r="JF658" i="99"/>
  <c r="JN658" i="99"/>
  <c r="JV658" i="99"/>
  <c r="KD658" i="99"/>
  <c r="KL658" i="99"/>
  <c r="KT658" i="99"/>
  <c r="DE658" i="99"/>
  <c r="G338" i="99"/>
  <c r="I17" i="99"/>
  <c r="M1725" i="99"/>
  <c r="Q1377" i="99"/>
  <c r="I1171" i="99"/>
  <c r="F1171" i="99"/>
  <c r="H1171" i="99"/>
  <c r="J1171" i="99"/>
  <c r="F885" i="99"/>
  <c r="L869" i="99"/>
  <c r="L879" i="99"/>
  <c r="L885" i="99"/>
  <c r="F865" i="99"/>
  <c r="N294" i="99"/>
  <c r="U326" i="99"/>
  <c r="L293" i="99"/>
  <c r="N293" i="99" s="1"/>
  <c r="G454" i="99"/>
  <c r="U395" i="99"/>
  <c r="M445" i="99"/>
  <c r="U382" i="99"/>
  <c r="G430" i="99"/>
  <c r="P437" i="99"/>
  <c r="U444" i="99"/>
  <c r="P469" i="99"/>
  <c r="P473" i="99" s="1"/>
  <c r="MT660" i="99"/>
  <c r="FW663" i="99"/>
  <c r="FX663" i="99"/>
  <c r="MN663" i="99"/>
  <c r="MG661" i="99"/>
  <c r="A657" i="99"/>
  <c r="MT656" i="99"/>
  <c r="ML656" i="99"/>
  <c r="MM656" i="99"/>
  <c r="ET660" i="99"/>
  <c r="HF660" i="99"/>
  <c r="AO660" i="99"/>
  <c r="BJ660" i="99"/>
  <c r="LK660" i="99"/>
  <c r="FX657" i="99"/>
  <c r="FA656" i="99"/>
  <c r="G402" i="99"/>
  <c r="F347" i="99"/>
  <c r="J351" i="99"/>
  <c r="L275" i="99"/>
  <c r="AB1548" i="99"/>
  <c r="AA1550" i="99"/>
  <c r="IH661" i="99"/>
  <c r="IP661" i="99"/>
  <c r="IX661" i="99"/>
  <c r="JF661" i="99"/>
  <c r="JN661" i="99"/>
  <c r="JV661" i="99"/>
  <c r="KD661" i="99"/>
  <c r="KL661" i="99"/>
  <c r="KT661" i="99"/>
  <c r="LB661" i="99"/>
  <c r="MI661" i="99"/>
  <c r="MQ661" i="99"/>
  <c r="II661" i="99"/>
  <c r="IQ661" i="99"/>
  <c r="IY661" i="99"/>
  <c r="JG661" i="99"/>
  <c r="JO661" i="99"/>
  <c r="JW661" i="99"/>
  <c r="KE661" i="99"/>
  <c r="KM661" i="99"/>
  <c r="KU661" i="99"/>
  <c r="LC661" i="99"/>
  <c r="MJ661" i="99"/>
  <c r="MR661" i="99"/>
  <c r="IJ661" i="99"/>
  <c r="IR661" i="99"/>
  <c r="IZ661" i="99"/>
  <c r="JH661" i="99"/>
  <c r="JP661" i="99"/>
  <c r="JX661" i="99"/>
  <c r="KF661" i="99"/>
  <c r="KN661" i="99"/>
  <c r="KV661" i="99"/>
  <c r="LD661" i="99"/>
  <c r="MS661" i="99"/>
  <c r="IK661" i="99"/>
  <c r="IS661" i="99"/>
  <c r="JA661" i="99"/>
  <c r="JI661" i="99"/>
  <c r="JQ661" i="99"/>
  <c r="JY661" i="99"/>
  <c r="KG661" i="99"/>
  <c r="KO661" i="99"/>
  <c r="KW661" i="99"/>
  <c r="LE661" i="99"/>
  <c r="MT661" i="99"/>
  <c r="IL661" i="99"/>
  <c r="IT661" i="99"/>
  <c r="JB661" i="99"/>
  <c r="JJ661" i="99"/>
  <c r="JR661" i="99"/>
  <c r="JZ661" i="99"/>
  <c r="KH661" i="99"/>
  <c r="KP661" i="99"/>
  <c r="KX661" i="99"/>
  <c r="LF661" i="99"/>
  <c r="IE661" i="99"/>
  <c r="IM661" i="99"/>
  <c r="IU661" i="99"/>
  <c r="JC661" i="99"/>
  <c r="JK661" i="99"/>
  <c r="JS661" i="99"/>
  <c r="KA661" i="99"/>
  <c r="KI661" i="99"/>
  <c r="KQ661" i="99"/>
  <c r="KY661" i="99"/>
  <c r="MF661" i="99"/>
  <c r="IF661" i="99"/>
  <c r="IN661" i="99"/>
  <c r="IV661" i="99"/>
  <c r="JD661" i="99"/>
  <c r="JL661" i="99"/>
  <c r="JT661" i="99"/>
  <c r="KB661" i="99"/>
  <c r="KJ661" i="99"/>
  <c r="KR661" i="99"/>
  <c r="KZ661" i="99"/>
  <c r="LU658" i="99"/>
  <c r="KU663" i="99"/>
  <c r="LE663" i="99"/>
  <c r="II663" i="99"/>
  <c r="MO663" i="99"/>
  <c r="IS663" i="99"/>
  <c r="JD663" i="99"/>
  <c r="JO663" i="99"/>
  <c r="JY663" i="99"/>
  <c r="IJ663" i="99"/>
  <c r="IU663" i="99"/>
  <c r="JE663" i="99"/>
  <c r="JP663" i="99"/>
  <c r="KA663" i="99"/>
  <c r="KK663" i="99"/>
  <c r="KV663" i="99"/>
  <c r="MF663" i="99"/>
  <c r="MQ663" i="99"/>
  <c r="IA663" i="99"/>
  <c r="IK663" i="99"/>
  <c r="IV663" i="99"/>
  <c r="JG663" i="99"/>
  <c r="JQ663" i="99"/>
  <c r="KB663" i="99"/>
  <c r="KM663" i="99"/>
  <c r="KW663" i="99"/>
  <c r="MG663" i="99"/>
  <c r="MR663" i="99"/>
  <c r="IB663" i="99"/>
  <c r="IM663" i="99"/>
  <c r="IW663" i="99"/>
  <c r="JH663" i="99"/>
  <c r="JS663" i="99"/>
  <c r="KC663" i="99"/>
  <c r="KN663" i="99"/>
  <c r="KY663" i="99"/>
  <c r="MI663" i="99"/>
  <c r="MS663" i="99"/>
  <c r="IC663" i="99"/>
  <c r="IN663" i="99"/>
  <c r="IY663" i="99"/>
  <c r="JI663" i="99"/>
  <c r="JT663" i="99"/>
  <c r="KE663" i="99"/>
  <c r="KO663" i="99"/>
  <c r="KZ663" i="99"/>
  <c r="MJ663" i="99"/>
  <c r="IE663" i="99"/>
  <c r="IO663" i="99"/>
  <c r="IZ663" i="99"/>
  <c r="JK663" i="99"/>
  <c r="JU663" i="99"/>
  <c r="KF663" i="99"/>
  <c r="KQ663" i="99"/>
  <c r="LA663" i="99"/>
  <c r="MK663" i="99"/>
  <c r="IF663" i="99"/>
  <c r="IQ663" i="99"/>
  <c r="JA663" i="99"/>
  <c r="JL663" i="99"/>
  <c r="JW663" i="99"/>
  <c r="KG663" i="99"/>
  <c r="KR663" i="99"/>
  <c r="LC663" i="99"/>
  <c r="MM663" i="99"/>
  <c r="IG663" i="99"/>
  <c r="IR663" i="99"/>
  <c r="JC663" i="99"/>
  <c r="JM663" i="99"/>
  <c r="JX663" i="99"/>
  <c r="KI663" i="99"/>
  <c r="KS663" i="99"/>
  <c r="LD663" i="99"/>
  <c r="IE660" i="99"/>
  <c r="IM660" i="99"/>
  <c r="IU660" i="99"/>
  <c r="JC660" i="99"/>
  <c r="JK660" i="99"/>
  <c r="JS660" i="99"/>
  <c r="KA660" i="99"/>
  <c r="KI660" i="99"/>
  <c r="KQ660" i="99"/>
  <c r="KY660" i="99"/>
  <c r="MM660" i="99"/>
  <c r="IG660" i="99"/>
  <c r="IO660" i="99"/>
  <c r="IW660" i="99"/>
  <c r="JE660" i="99"/>
  <c r="JM660" i="99"/>
  <c r="JU660" i="99"/>
  <c r="KC660" i="99"/>
  <c r="KK660" i="99"/>
  <c r="KS660" i="99"/>
  <c r="LA660" i="99"/>
  <c r="MG660" i="99"/>
  <c r="MO660" i="99"/>
  <c r="HZ660" i="99"/>
  <c r="IH660" i="99"/>
  <c r="IP660" i="99"/>
  <c r="IX660" i="99"/>
  <c r="JF660" i="99"/>
  <c r="JN660" i="99"/>
  <c r="JV660" i="99"/>
  <c r="KD660" i="99"/>
  <c r="KL660" i="99"/>
  <c r="KT660" i="99"/>
  <c r="LB660" i="99"/>
  <c r="MH660" i="99"/>
  <c r="MP660" i="99"/>
  <c r="IA660" i="99"/>
  <c r="II660" i="99"/>
  <c r="IQ660" i="99"/>
  <c r="IY660" i="99"/>
  <c r="JG660" i="99"/>
  <c r="JO660" i="99"/>
  <c r="JW660" i="99"/>
  <c r="KE660" i="99"/>
  <c r="KM660" i="99"/>
  <c r="KU660" i="99"/>
  <c r="LC660" i="99"/>
  <c r="MI660" i="99"/>
  <c r="MQ660" i="99"/>
  <c r="IB660" i="99"/>
  <c r="IJ660" i="99"/>
  <c r="IR660" i="99"/>
  <c r="IZ660" i="99"/>
  <c r="JH660" i="99"/>
  <c r="JP660" i="99"/>
  <c r="JX660" i="99"/>
  <c r="KF660" i="99"/>
  <c r="KN660" i="99"/>
  <c r="KV660" i="99"/>
  <c r="LD660" i="99"/>
  <c r="MJ660" i="99"/>
  <c r="MR660" i="99"/>
  <c r="IC660" i="99"/>
  <c r="IK660" i="99"/>
  <c r="IS660" i="99"/>
  <c r="JA660" i="99"/>
  <c r="JI660" i="99"/>
  <c r="JQ660" i="99"/>
  <c r="JY660" i="99"/>
  <c r="KG660" i="99"/>
  <c r="KO660" i="99"/>
  <c r="KW660" i="99"/>
  <c r="LE660" i="99"/>
  <c r="MK660" i="99"/>
  <c r="MS660" i="99"/>
  <c r="ID660" i="99"/>
  <c r="IL660" i="99"/>
  <c r="IT660" i="99"/>
  <c r="JB660" i="99"/>
  <c r="JJ660" i="99"/>
  <c r="JR660" i="99"/>
  <c r="JZ660" i="99"/>
  <c r="KH660" i="99"/>
  <c r="KP660" i="99"/>
  <c r="KX660" i="99"/>
  <c r="LF660" i="99"/>
  <c r="ML660" i="99"/>
  <c r="MQ658" i="99"/>
  <c r="MS656" i="99"/>
  <c r="DG657" i="99"/>
  <c r="CE657" i="99"/>
  <c r="DK657" i="99"/>
  <c r="GA657" i="99"/>
  <c r="CA657" i="99"/>
  <c r="FZ657" i="99"/>
  <c r="CI657" i="99"/>
  <c r="DO657" i="99"/>
  <c r="CQ657" i="99"/>
  <c r="DW657" i="99"/>
  <c r="CM657" i="99"/>
  <c r="DS657" i="99"/>
  <c r="BO657" i="99"/>
  <c r="CU657" i="99"/>
  <c r="EA657" i="99"/>
  <c r="FW657" i="99"/>
  <c r="BS657" i="99"/>
  <c r="CY657" i="99"/>
  <c r="MS659" i="99"/>
  <c r="IB658" i="99"/>
  <c r="MK658" i="99"/>
  <c r="MS658" i="99"/>
  <c r="ML658" i="99"/>
  <c r="MT658" i="99"/>
  <c r="MM658" i="99"/>
  <c r="MF658" i="99"/>
  <c r="MN658" i="99"/>
  <c r="MG658" i="99"/>
  <c r="MO658" i="99"/>
  <c r="MH658" i="99"/>
  <c r="MP658" i="99"/>
  <c r="E687" i="99"/>
  <c r="MI658" i="99"/>
  <c r="E688" i="99"/>
  <c r="B688" i="99"/>
  <c r="BM659" i="99"/>
  <c r="EG659" i="99"/>
  <c r="FZ659" i="99"/>
  <c r="HA659" i="99"/>
  <c r="IF659" i="99"/>
  <c r="IN659" i="99"/>
  <c r="IV659" i="99"/>
  <c r="JD659" i="99"/>
  <c r="JL659" i="99"/>
  <c r="JT659" i="99"/>
  <c r="KB659" i="99"/>
  <c r="KJ659" i="99"/>
  <c r="KR659" i="99"/>
  <c r="KZ659" i="99"/>
  <c r="LY659" i="99"/>
  <c r="MM659" i="99"/>
  <c r="CC659" i="99"/>
  <c r="EH659" i="99"/>
  <c r="GA659" i="99"/>
  <c r="HQ659" i="99"/>
  <c r="IG659" i="99"/>
  <c r="IO659" i="99"/>
  <c r="IW659" i="99"/>
  <c r="JE659" i="99"/>
  <c r="JM659" i="99"/>
  <c r="JU659" i="99"/>
  <c r="KC659" i="99"/>
  <c r="KK659" i="99"/>
  <c r="KS659" i="99"/>
  <c r="LA659" i="99"/>
  <c r="MF659" i="99"/>
  <c r="MN659" i="99"/>
  <c r="CS659" i="99"/>
  <c r="EO659" i="99"/>
  <c r="GB659" i="99"/>
  <c r="HZ659" i="99"/>
  <c r="IH659" i="99"/>
  <c r="IP659" i="99"/>
  <c r="IX659" i="99"/>
  <c r="JF659" i="99"/>
  <c r="JN659" i="99"/>
  <c r="JV659" i="99"/>
  <c r="KD659" i="99"/>
  <c r="KL659" i="99"/>
  <c r="KT659" i="99"/>
  <c r="LB659" i="99"/>
  <c r="MG659" i="99"/>
  <c r="MO659" i="99"/>
  <c r="DI659" i="99"/>
  <c r="FE659" i="99"/>
  <c r="GC659" i="99"/>
  <c r="IA659" i="99"/>
  <c r="II659" i="99"/>
  <c r="IQ659" i="99"/>
  <c r="IY659" i="99"/>
  <c r="JG659" i="99"/>
  <c r="JO659" i="99"/>
  <c r="JW659" i="99"/>
  <c r="KE659" i="99"/>
  <c r="KM659" i="99"/>
  <c r="KU659" i="99"/>
  <c r="LC659" i="99"/>
  <c r="MH659" i="99"/>
  <c r="MP659" i="99"/>
  <c r="DY659" i="99"/>
  <c r="FU659" i="99"/>
  <c r="GD659" i="99"/>
  <c r="IB659" i="99"/>
  <c r="IJ659" i="99"/>
  <c r="IR659" i="99"/>
  <c r="IZ659" i="99"/>
  <c r="JH659" i="99"/>
  <c r="JP659" i="99"/>
  <c r="JX659" i="99"/>
  <c r="KF659" i="99"/>
  <c r="KN659" i="99"/>
  <c r="KV659" i="99"/>
  <c r="LD659" i="99"/>
  <c r="MI659" i="99"/>
  <c r="MQ659" i="99"/>
  <c r="ED659" i="99"/>
  <c r="FW659" i="99"/>
  <c r="GE659" i="99"/>
  <c r="IC659" i="99"/>
  <c r="IK659" i="99"/>
  <c r="IS659" i="99"/>
  <c r="JA659" i="99"/>
  <c r="JI659" i="99"/>
  <c r="JQ659" i="99"/>
  <c r="JY659" i="99"/>
  <c r="KG659" i="99"/>
  <c r="KO659" i="99"/>
  <c r="KW659" i="99"/>
  <c r="LE659" i="99"/>
  <c r="MJ659" i="99"/>
  <c r="MR659" i="99"/>
  <c r="AG659" i="99"/>
  <c r="EE659" i="99"/>
  <c r="FX659" i="99"/>
  <c r="GF659" i="99"/>
  <c r="ID659" i="99"/>
  <c r="IL659" i="99"/>
  <c r="IT659" i="99"/>
  <c r="JB659" i="99"/>
  <c r="JJ659" i="99"/>
  <c r="JR659" i="99"/>
  <c r="JZ659" i="99"/>
  <c r="KH659" i="99"/>
  <c r="KP659" i="99"/>
  <c r="KX659" i="99"/>
  <c r="LF659" i="99"/>
  <c r="MK659" i="99"/>
  <c r="IE656" i="99"/>
  <c r="IM656" i="99"/>
  <c r="IU656" i="99"/>
  <c r="JC656" i="99"/>
  <c r="JK656" i="99"/>
  <c r="JS656" i="99"/>
  <c r="KA656" i="99"/>
  <c r="KI656" i="99"/>
  <c r="KQ656" i="99"/>
  <c r="KY656" i="99"/>
  <c r="MF656" i="99"/>
  <c r="MN656" i="99"/>
  <c r="IF656" i="99"/>
  <c r="IN656" i="99"/>
  <c r="IV656" i="99"/>
  <c r="JD656" i="99"/>
  <c r="JL656" i="99"/>
  <c r="JT656" i="99"/>
  <c r="KB656" i="99"/>
  <c r="KJ656" i="99"/>
  <c r="KR656" i="99"/>
  <c r="KZ656" i="99"/>
  <c r="MG656" i="99"/>
  <c r="MO656" i="99"/>
  <c r="IG656" i="99"/>
  <c r="IO656" i="99"/>
  <c r="IW656" i="99"/>
  <c r="JE656" i="99"/>
  <c r="JM656" i="99"/>
  <c r="JU656" i="99"/>
  <c r="KC656" i="99"/>
  <c r="KK656" i="99"/>
  <c r="KS656" i="99"/>
  <c r="LA656" i="99"/>
  <c r="MH656" i="99"/>
  <c r="MP656" i="99"/>
  <c r="HZ656" i="99"/>
  <c r="IH656" i="99"/>
  <c r="IP656" i="99"/>
  <c r="IX656" i="99"/>
  <c r="JF656" i="99"/>
  <c r="JN656" i="99"/>
  <c r="JV656" i="99"/>
  <c r="KD656" i="99"/>
  <c r="KL656" i="99"/>
  <c r="KT656" i="99"/>
  <c r="LB656" i="99"/>
  <c r="MI656" i="99"/>
  <c r="MQ656" i="99"/>
  <c r="IA656" i="99"/>
  <c r="II656" i="99"/>
  <c r="IQ656" i="99"/>
  <c r="IY656" i="99"/>
  <c r="JG656" i="99"/>
  <c r="JO656" i="99"/>
  <c r="JW656" i="99"/>
  <c r="KE656" i="99"/>
  <c r="KM656" i="99"/>
  <c r="KU656" i="99"/>
  <c r="LC656" i="99"/>
  <c r="MJ656" i="99"/>
  <c r="MR656" i="99"/>
  <c r="IB656" i="99"/>
  <c r="IJ656" i="99"/>
  <c r="IR656" i="99"/>
  <c r="IZ656" i="99"/>
  <c r="JH656" i="99"/>
  <c r="JP656" i="99"/>
  <c r="JX656" i="99"/>
  <c r="KF656" i="99"/>
  <c r="KN656" i="99"/>
  <c r="KV656" i="99"/>
  <c r="LD656" i="99"/>
  <c r="MK656" i="99"/>
  <c r="BY658" i="99"/>
  <c r="GW658" i="99"/>
  <c r="CO658" i="99"/>
  <c r="HM658" i="99"/>
  <c r="DU658" i="99"/>
  <c r="AA658" i="99"/>
  <c r="EK658" i="99"/>
  <c r="AI658" i="99"/>
  <c r="FA658" i="99"/>
  <c r="AS658" i="99"/>
  <c r="FQ658" i="99"/>
  <c r="BI658" i="99"/>
  <c r="GG658" i="99"/>
  <c r="AS650" i="99"/>
  <c r="FQ650" i="99"/>
  <c r="BI650" i="99"/>
  <c r="GG650" i="99"/>
  <c r="LU650" i="99"/>
  <c r="BY650" i="99"/>
  <c r="GW650" i="99"/>
  <c r="CO650" i="99"/>
  <c r="HM650" i="99"/>
  <c r="DE650" i="99"/>
  <c r="DU650" i="99"/>
  <c r="EK650" i="99"/>
  <c r="AD650" i="99"/>
  <c r="MC650" i="99"/>
  <c r="K613" i="99"/>
  <c r="L1834" i="99"/>
  <c r="L1732" i="99"/>
  <c r="X1543" i="99"/>
  <c r="L1584" i="99"/>
  <c r="L1775" i="99"/>
  <c r="AI1549" i="99"/>
  <c r="E1732" i="99"/>
  <c r="AF1549" i="99"/>
  <c r="M1932" i="99"/>
  <c r="AG1548" i="99"/>
  <c r="AG1549" i="99"/>
  <c r="L1674" i="99"/>
  <c r="O1887" i="99"/>
  <c r="L1887" i="99" s="1"/>
  <c r="Z55" i="72"/>
  <c r="M1625" i="99"/>
  <c r="J1603" i="99"/>
  <c r="AB1544" i="99"/>
  <c r="AC1544" i="99"/>
  <c r="AA1544" i="99"/>
  <c r="Z1544" i="99"/>
  <c r="X1544" i="99"/>
  <c r="AB1540" i="99"/>
  <c r="X1540" i="99"/>
  <c r="AA1540" i="99"/>
  <c r="X1537" i="99"/>
  <c r="L1742" i="99"/>
  <c r="AA1541" i="99"/>
  <c r="AB1541" i="99"/>
  <c r="Q1672" i="99"/>
  <c r="K1715" i="99"/>
  <c r="O1752" i="99"/>
  <c r="Q1758" i="99" s="1"/>
  <c r="O1900" i="99"/>
  <c r="Q1900" i="99" s="1"/>
  <c r="S328" i="99"/>
  <c r="U381" i="99"/>
  <c r="J338" i="99"/>
  <c r="J501" i="99"/>
  <c r="E418" i="99" s="1"/>
  <c r="J418" i="99" s="1"/>
  <c r="S334" i="99"/>
  <c r="A395" i="99"/>
  <c r="G334" i="99"/>
  <c r="G346" i="99"/>
  <c r="E348" i="99" s="1"/>
  <c r="M351" i="99"/>
  <c r="P402" i="99"/>
  <c r="A412" i="99"/>
  <c r="S424" i="99"/>
  <c r="U429" i="99"/>
  <c r="G437" i="99"/>
  <c r="A437" i="99" s="1"/>
  <c r="F1522" i="99" s="1"/>
  <c r="J445" i="99"/>
  <c r="P454" i="99"/>
  <c r="J469" i="99"/>
  <c r="J473" i="99" s="1"/>
  <c r="A326" i="99"/>
  <c r="G328" i="99"/>
  <c r="J328" i="99"/>
  <c r="S351" i="99"/>
  <c r="A381" i="99"/>
  <c r="M396" i="99"/>
  <c r="J396" i="99"/>
  <c r="P396" i="99"/>
  <c r="G413" i="99"/>
  <c r="M437" i="99"/>
  <c r="M454" i="99"/>
  <c r="S454" i="99"/>
  <c r="J492" i="99"/>
  <c r="A429" i="99"/>
  <c r="M328" i="99"/>
  <c r="G351" i="99"/>
  <c r="P351" i="99"/>
  <c r="S402" i="99"/>
  <c r="M402" i="99"/>
  <c r="J402" i="99"/>
  <c r="G445" i="99"/>
  <c r="S445" i="99"/>
  <c r="A325" i="99"/>
  <c r="P328" i="99"/>
  <c r="U412" i="99"/>
  <c r="J346" i="99"/>
  <c r="M346" i="99"/>
  <c r="P346" i="99"/>
  <c r="S346" i="99"/>
  <c r="S413" i="99"/>
  <c r="S430" i="99"/>
  <c r="J437" i="99"/>
  <c r="S437" i="99"/>
  <c r="P445" i="99"/>
  <c r="J454" i="99"/>
  <c r="Z1550" i="99"/>
  <c r="AC1550" i="99"/>
  <c r="AC1548" i="99"/>
  <c r="Z1548" i="99"/>
  <c r="AH1543" i="99"/>
  <c r="J1853" i="99"/>
  <c r="X1545" i="99"/>
  <c r="Y1544" i="99"/>
  <c r="AC1543" i="99"/>
  <c r="Q1756" i="99"/>
  <c r="X1534" i="99"/>
  <c r="AC1541" i="99"/>
  <c r="X1541" i="99"/>
  <c r="Z1547" i="99"/>
  <c r="Y1540" i="99"/>
  <c r="AC1540" i="99"/>
  <c r="Z1540" i="99"/>
  <c r="L1593" i="99"/>
  <c r="L1603" i="99"/>
  <c r="P1556" i="99"/>
  <c r="Y1547" i="99"/>
  <c r="M1329" i="99"/>
  <c r="L1329" i="99" s="1"/>
  <c r="R982" i="99"/>
  <c r="S982" i="99" s="1"/>
  <c r="R935" i="99"/>
  <c r="C930" i="99"/>
  <c r="R928" i="99"/>
  <c r="R934" i="99"/>
  <c r="R918" i="99"/>
  <c r="D909" i="99"/>
  <c r="R920" i="99"/>
  <c r="R921" i="99"/>
  <c r="R922" i="99"/>
  <c r="R923" i="99"/>
  <c r="R924" i="99"/>
  <c r="R929" i="99"/>
  <c r="R931" i="99"/>
  <c r="R932" i="99"/>
  <c r="R950" i="99"/>
  <c r="S950" i="99" s="1"/>
  <c r="R917" i="99"/>
  <c r="R925" i="99"/>
  <c r="R927" i="99"/>
  <c r="R930" i="99"/>
  <c r="R933" i="99"/>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I664" i="99"/>
  <c r="JD664" i="99"/>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JW664" i="99"/>
  <c r="JS664" i="99"/>
  <c r="JO664" i="99"/>
  <c r="JK664" i="99"/>
  <c r="JG664" i="99"/>
  <c r="JC664" i="99"/>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J613" i="99"/>
  <c r="M613" i="99"/>
  <c r="U453" i="99"/>
  <c r="G424" i="99"/>
  <c r="A423" i="99"/>
  <c r="G396" i="99"/>
  <c r="S396" i="99"/>
  <c r="M383" i="99"/>
  <c r="J383" i="99"/>
  <c r="G383" i="99"/>
  <c r="S383" i="99"/>
  <c r="P383" i="99"/>
  <c r="A453" i="99"/>
  <c r="A422" i="99"/>
  <c r="U327" i="99"/>
  <c r="AD437" i="99"/>
  <c r="AF418" i="99"/>
  <c r="I302" i="99"/>
  <c r="JR687" i="99" l="1"/>
  <c r="O777" i="99" s="1"/>
  <c r="O788" i="99" s="1"/>
  <c r="IA687" i="99"/>
  <c r="JW687" i="99"/>
  <c r="O766" i="99" s="1"/>
  <c r="KJ687" i="99"/>
  <c r="M769" i="99" s="1"/>
  <c r="KQ687" i="99"/>
  <c r="O770" i="99" s="1"/>
  <c r="JU687" i="99"/>
  <c r="M766" i="99" s="1"/>
  <c r="E349" i="99"/>
  <c r="E350" i="99"/>
  <c r="S456" i="99"/>
  <c r="C359" i="99"/>
  <c r="B368" i="99" s="1"/>
  <c r="P456" i="99"/>
  <c r="P472" i="99" s="1"/>
  <c r="P474" i="99" s="1"/>
  <c r="P476" i="99" s="1"/>
  <c r="KY687" i="99"/>
  <c r="M771" i="99" s="1"/>
  <c r="IM687" i="99"/>
  <c r="N775" i="99" s="1"/>
  <c r="KG687" i="99"/>
  <c r="O767" i="99" s="1"/>
  <c r="IE687" i="99"/>
  <c r="K774" i="99" s="1"/>
  <c r="KH687" i="99"/>
  <c r="K769" i="99" s="1"/>
  <c r="IC687" i="99"/>
  <c r="IS687" i="99"/>
  <c r="O780" i="99" s="1"/>
  <c r="II687" i="99"/>
  <c r="O774" i="99" s="1"/>
  <c r="KR687" i="99"/>
  <c r="K772" i="99" s="1"/>
  <c r="KS687" i="99"/>
  <c r="L772" i="99" s="1"/>
  <c r="ID687" i="99"/>
  <c r="KK687" i="99"/>
  <c r="N769" i="99" s="1"/>
  <c r="IB687" i="99"/>
  <c r="KO687" i="99"/>
  <c r="M770" i="99" s="1"/>
  <c r="LE687" i="99"/>
  <c r="N773" i="99" s="1"/>
  <c r="JT687" i="99"/>
  <c r="L766" i="99" s="1"/>
  <c r="KM687" i="99"/>
  <c r="K770" i="99" s="1"/>
  <c r="LA687" i="99"/>
  <c r="O771" i="99" s="1"/>
  <c r="G353" i="99"/>
  <c r="KU687" i="99"/>
  <c r="N772" i="99" s="1"/>
  <c r="IG687" i="99"/>
  <c r="M774" i="99" s="1"/>
  <c r="IV687" i="99"/>
  <c r="M781" i="99" s="1"/>
  <c r="KN687" i="99"/>
  <c r="L770" i="99" s="1"/>
  <c r="IU687" i="99"/>
  <c r="L781" i="99" s="1"/>
  <c r="IL687" i="99"/>
  <c r="M775" i="99" s="1"/>
  <c r="JK687" i="99"/>
  <c r="M776" i="99" s="1"/>
  <c r="M787" i="99" s="1"/>
  <c r="JQ687" i="99"/>
  <c r="N777" i="99" s="1"/>
  <c r="N788" i="99" s="1"/>
  <c r="KA687" i="99"/>
  <c r="N768" i="99" s="1"/>
  <c r="KW687" i="99"/>
  <c r="K771" i="99" s="1"/>
  <c r="IK687" i="99"/>
  <c r="L775" i="99" s="1"/>
  <c r="KE687" i="99"/>
  <c r="M767" i="99" s="1"/>
  <c r="KB687" i="99"/>
  <c r="O768" i="99" s="1"/>
  <c r="JV687" i="99"/>
  <c r="N766" i="99" s="1"/>
  <c r="JL687" i="99"/>
  <c r="N776" i="99" s="1"/>
  <c r="N787" i="99" s="1"/>
  <c r="JX687" i="99"/>
  <c r="K768" i="99" s="1"/>
  <c r="JM687" i="99"/>
  <c r="O776" i="99" s="1"/>
  <c r="O787" i="99" s="1"/>
  <c r="IF687" i="99"/>
  <c r="L774" i="99" s="1"/>
  <c r="IY687" i="99"/>
  <c r="K778" i="99" s="1"/>
  <c r="ML687" i="99"/>
  <c r="JO687" i="99"/>
  <c r="L777" i="99" s="1"/>
  <c r="L788" i="99" s="1"/>
  <c r="KV687" i="99"/>
  <c r="O772" i="99" s="1"/>
  <c r="JY687" i="99"/>
  <c r="L768" i="99" s="1"/>
  <c r="MT687" i="99"/>
  <c r="JS687" i="99"/>
  <c r="K766" i="99" s="1"/>
  <c r="JJ687" i="99"/>
  <c r="L776" i="99" s="1"/>
  <c r="L787" i="99" s="1"/>
  <c r="HZ687" i="99"/>
  <c r="KC687" i="99"/>
  <c r="K767" i="99" s="1"/>
  <c r="JA687" i="99"/>
  <c r="M778" i="99" s="1"/>
  <c r="IJ687" i="99"/>
  <c r="K775" i="99" s="1"/>
  <c r="MS687" i="99"/>
  <c r="JP687" i="99"/>
  <c r="M777" i="99" s="1"/>
  <c r="M788" i="99" s="1"/>
  <c r="KF687" i="99"/>
  <c r="N767" i="99" s="1"/>
  <c r="JZ687" i="99"/>
  <c r="M768" i="99" s="1"/>
  <c r="KD687" i="99"/>
  <c r="L767" i="99" s="1"/>
  <c r="JC687" i="99"/>
  <c r="O778" i="99" s="1"/>
  <c r="MJ687" i="99"/>
  <c r="IZ687" i="99"/>
  <c r="L778" i="99" s="1"/>
  <c r="MG687" i="99"/>
  <c r="MF687" i="99"/>
  <c r="IW687" i="99"/>
  <c r="N781" i="99" s="1"/>
  <c r="LD687" i="99"/>
  <c r="M773" i="99" s="1"/>
  <c r="IR687" i="99"/>
  <c r="N780" i="99" s="1"/>
  <c r="IO687" i="99"/>
  <c r="K780" i="99" s="1"/>
  <c r="KZ687" i="99"/>
  <c r="N771" i="99" s="1"/>
  <c r="MH687" i="99"/>
  <c r="IP687" i="99"/>
  <c r="L780" i="99" s="1"/>
  <c r="JN687" i="99"/>
  <c r="K777" i="99" s="1"/>
  <c r="K788" i="99" s="1"/>
  <c r="MP687" i="99"/>
  <c r="KX687" i="99"/>
  <c r="L771" i="99" s="1"/>
  <c r="LB687" i="99"/>
  <c r="K773" i="99" s="1"/>
  <c r="KP687" i="99"/>
  <c r="N770" i="99" s="1"/>
  <c r="IN687" i="99"/>
  <c r="O775" i="99" s="1"/>
  <c r="IT687" i="99"/>
  <c r="K781" i="99" s="1"/>
  <c r="LC687" i="99"/>
  <c r="L773" i="99" s="1"/>
  <c r="IQ687" i="99"/>
  <c r="M780" i="99" s="1"/>
  <c r="MI687" i="99"/>
  <c r="KT687" i="99"/>
  <c r="M772" i="99" s="1"/>
  <c r="MK687" i="99"/>
  <c r="MR687" i="99"/>
  <c r="MQ687" i="99"/>
  <c r="JH687" i="99"/>
  <c r="O779" i="99" s="1"/>
  <c r="JG687" i="99"/>
  <c r="N779" i="99" s="1"/>
  <c r="JE687" i="99"/>
  <c r="L779" i="99" s="1"/>
  <c r="IH687" i="99"/>
  <c r="N774" i="99" s="1"/>
  <c r="KL687" i="99"/>
  <c r="O769" i="99" s="1"/>
  <c r="IX687" i="99"/>
  <c r="O781" i="99" s="1"/>
  <c r="JB687" i="99"/>
  <c r="N778" i="99" s="1"/>
  <c r="JF687" i="99"/>
  <c r="M779" i="99" s="1"/>
  <c r="LF687" i="99"/>
  <c r="O773" i="99" s="1"/>
  <c r="GA687" i="99"/>
  <c r="MO687" i="99"/>
  <c r="MM687" i="99"/>
  <c r="MN687" i="99"/>
  <c r="EJ687" i="99"/>
  <c r="L795" i="99" s="1"/>
  <c r="KI687" i="99"/>
  <c r="L769" i="99" s="1"/>
  <c r="JD687" i="99"/>
  <c r="K779" i="99" s="1"/>
  <c r="LM687" i="99"/>
  <c r="A687" i="99"/>
  <c r="A644" i="99" s="1"/>
  <c r="HR687" i="99"/>
  <c r="M758" i="99" s="1"/>
  <c r="MA687" i="99"/>
  <c r="HV687" i="99"/>
  <c r="GC687" i="99"/>
  <c r="L805" i="99" s="1"/>
  <c r="FB687" i="99"/>
  <c r="O798" i="99" s="1"/>
  <c r="BF687" i="99"/>
  <c r="O700" i="99" s="1"/>
  <c r="AI687" i="99"/>
  <c r="L696" i="99" s="1"/>
  <c r="BA687" i="99"/>
  <c r="O699" i="99" s="1"/>
  <c r="CG687" i="99"/>
  <c r="L733" i="99" s="1"/>
  <c r="AA1546" i="99"/>
  <c r="AB1546" i="99"/>
  <c r="AC1546" i="99"/>
  <c r="Y1546" i="99"/>
  <c r="Z1546" i="99"/>
  <c r="X1546" i="99"/>
  <c r="J456" i="99"/>
  <c r="J472" i="99" s="1"/>
  <c r="J474" i="99" s="1"/>
  <c r="J476" i="99" s="1"/>
  <c r="M456" i="99"/>
  <c r="M472" i="99" s="1"/>
  <c r="M474" i="99" s="1"/>
  <c r="M476" i="99" s="1"/>
  <c r="G456" i="99"/>
  <c r="J486" i="99" s="1"/>
  <c r="F1521" i="99"/>
  <c r="Q1509" i="99"/>
  <c r="AC1547"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K787" i="99"/>
  <c r="O789" i="99"/>
  <c r="E351" i="99"/>
  <c r="G347" i="99" s="1"/>
  <c r="K32" i="66"/>
  <c r="N791" i="99" l="1"/>
  <c r="M789" i="99"/>
  <c r="M792" i="99"/>
  <c r="K792" i="99"/>
  <c r="O790" i="99"/>
  <c r="M790" i="99"/>
  <c r="F365" i="99"/>
  <c r="L791" i="99"/>
  <c r="K791" i="99"/>
  <c r="O785" i="99"/>
  <c r="N792" i="99"/>
  <c r="L789" i="99"/>
  <c r="K789" i="99"/>
  <c r="L786" i="99"/>
  <c r="O791" i="99"/>
  <c r="N789" i="99"/>
  <c r="P772" i="99"/>
  <c r="K790" i="99"/>
  <c r="M785" i="99"/>
  <c r="P788" i="99"/>
  <c r="P777" i="99"/>
  <c r="M763" i="99"/>
  <c r="P768" i="99"/>
  <c r="P766" i="99"/>
  <c r="P774" i="99"/>
  <c r="M791" i="99"/>
  <c r="K785" i="99"/>
  <c r="M765" i="99"/>
  <c r="P776" i="99"/>
  <c r="P787" i="99"/>
  <c r="L763" i="99"/>
  <c r="L790" i="99"/>
  <c r="P767" i="99"/>
  <c r="N786" i="99"/>
  <c r="P775" i="99"/>
  <c r="N790" i="99"/>
  <c r="P771" i="99"/>
  <c r="N765" i="99"/>
  <c r="N763" i="99"/>
  <c r="L785" i="99"/>
  <c r="P770" i="99"/>
  <c r="P778" i="99"/>
  <c r="Q877" i="99"/>
  <c r="P780" i="99"/>
  <c r="P769" i="99"/>
  <c r="K765" i="99"/>
  <c r="M786" i="99"/>
  <c r="P879" i="99"/>
  <c r="O765" i="99"/>
  <c r="O792" i="99"/>
  <c r="P781" i="99"/>
  <c r="P773" i="99"/>
  <c r="P877" i="99"/>
  <c r="Q879" i="99"/>
  <c r="O763" i="99"/>
  <c r="L765" i="99"/>
  <c r="Q878" i="99"/>
  <c r="L792" i="99"/>
  <c r="O786" i="99"/>
  <c r="P779" i="99"/>
  <c r="P878" i="99"/>
  <c r="N785" i="99"/>
  <c r="K763" i="99"/>
  <c r="K786" i="99"/>
  <c r="N756" i="99"/>
  <c r="P795" i="99"/>
  <c r="M753" i="99"/>
  <c r="N753" i="99"/>
  <c r="L753" i="99"/>
  <c r="P744" i="99"/>
  <c r="P751" i="99"/>
  <c r="N759" i="99"/>
  <c r="P736" i="99"/>
  <c r="P696" i="99"/>
  <c r="P700" i="99"/>
  <c r="Q801" i="99" s="1"/>
  <c r="K759" i="99"/>
  <c r="L701" i="99"/>
  <c r="L703" i="99" s="1"/>
  <c r="L705" i="99" s="1"/>
  <c r="L717" i="99" s="1"/>
  <c r="M738" i="99"/>
  <c r="K753" i="99"/>
  <c r="O738" i="99"/>
  <c r="O759" i="99"/>
  <c r="O756" i="99"/>
  <c r="P735" i="99"/>
  <c r="P731" i="99"/>
  <c r="P805" i="99"/>
  <c r="P803" i="99"/>
  <c r="P797" i="99"/>
  <c r="P699" i="99"/>
  <c r="P702" i="99"/>
  <c r="Q803" i="99" s="1"/>
  <c r="O802" i="99"/>
  <c r="O804" i="99" s="1"/>
  <c r="O806" i="99" s="1"/>
  <c r="P758" i="99"/>
  <c r="P798" i="99"/>
  <c r="P698" i="99"/>
  <c r="Q799" i="99" s="1"/>
  <c r="M759" i="99"/>
  <c r="O749" i="99"/>
  <c r="P752" i="99"/>
  <c r="P745" i="99"/>
  <c r="H15" i="100"/>
  <c r="F18" i="85" s="1"/>
  <c r="H1094" i="99"/>
  <c r="F909" i="99"/>
  <c r="L738" i="99"/>
  <c r="P694" i="99"/>
  <c r="L759" i="99"/>
  <c r="P746" i="99"/>
  <c r="P732" i="99"/>
  <c r="P695" i="99"/>
  <c r="Q796" i="99" s="1"/>
  <c r="P796" i="99"/>
  <c r="P704" i="99"/>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P801" i="99"/>
  <c r="M756" i="99"/>
  <c r="P757" i="99"/>
  <c r="N802" i="99"/>
  <c r="N804" i="99" s="1"/>
  <c r="N806" i="99" s="1"/>
  <c r="K802" i="99"/>
  <c r="K804" i="99" s="1"/>
  <c r="P799" i="99"/>
  <c r="P800" i="99"/>
  <c r="M701" i="99"/>
  <c r="M703" i="99" s="1"/>
  <c r="M705" i="99" s="1"/>
  <c r="M714" i="99" s="1"/>
  <c r="P697" i="99"/>
  <c r="Q798" i="99" s="1"/>
  <c r="P747" i="99"/>
  <c r="P734" i="99"/>
  <c r="E241" i="72"/>
  <c r="Q795" i="99" l="1"/>
  <c r="Q800" i="99"/>
  <c r="P789" i="99"/>
  <c r="P792" i="99"/>
  <c r="P791" i="99"/>
  <c r="Q805" i="99"/>
  <c r="P786" i="99"/>
  <c r="P763" i="99"/>
  <c r="Q880" i="99" s="1"/>
  <c r="Q881" i="99" s="1"/>
  <c r="P790" i="99"/>
  <c r="P785" i="99"/>
  <c r="P765" i="99"/>
  <c r="N809" i="99"/>
  <c r="L714" i="99"/>
  <c r="L711" i="99"/>
  <c r="Q797" i="99"/>
  <c r="O809" i="99"/>
  <c r="O717" i="99"/>
  <c r="P753" i="99"/>
  <c r="O714" i="99"/>
  <c r="P759" i="99"/>
  <c r="O723" i="99"/>
  <c r="O711" i="99"/>
  <c r="O720" i="99"/>
  <c r="N723" i="99"/>
  <c r="N717" i="99"/>
  <c r="O726" i="99"/>
  <c r="L720" i="99"/>
  <c r="L723" i="99"/>
  <c r="L708" i="99"/>
  <c r="L809" i="99"/>
  <c r="L726" i="99"/>
  <c r="P738" i="99"/>
  <c r="N714" i="99"/>
  <c r="P701" i="99"/>
  <c r="M708" i="99"/>
  <c r="P756" i="99"/>
  <c r="M726" i="99"/>
  <c r="K703" i="99"/>
  <c r="P703" i="99" s="1"/>
  <c r="M720" i="99"/>
  <c r="M717" i="99"/>
  <c r="M809" i="99"/>
  <c r="M723" i="99"/>
  <c r="P749" i="99"/>
  <c r="M711" i="99"/>
  <c r="N711" i="99"/>
  <c r="G909" i="99"/>
  <c r="N708" i="99"/>
  <c r="P802" i="99"/>
  <c r="N720" i="99"/>
  <c r="N726" i="99"/>
  <c r="K806" i="99"/>
  <c r="P806" i="99" s="1"/>
  <c r="K813" i="99" s="1"/>
  <c r="P804" i="99"/>
  <c r="Q294" i="72"/>
  <c r="Q297" i="72"/>
  <c r="Q93" i="72"/>
  <c r="Q311" i="72"/>
  <c r="Q310" i="72"/>
  <c r="P880" i="99" l="1"/>
  <c r="P881" i="99"/>
  <c r="K705" i="99"/>
  <c r="K717" i="99" s="1"/>
  <c r="H909" i="99"/>
  <c r="AD104" i="78"/>
  <c r="AD105" i="78"/>
  <c r="I90" i="72"/>
  <c r="K726" i="99" l="1"/>
  <c r="K723" i="99"/>
  <c r="K711" i="99"/>
  <c r="P705" i="99"/>
  <c r="J687" i="99" s="1"/>
  <c r="K714" i="99"/>
  <c r="K809" i="99"/>
  <c r="K708" i="99"/>
  <c r="K720" i="99"/>
  <c r="I909" i="99"/>
  <c r="L284" i="72"/>
  <c r="P720" i="99" l="1"/>
  <c r="N721" i="99" s="1"/>
  <c r="N722" i="99" s="1"/>
  <c r="P717" i="99"/>
  <c r="K718" i="99" s="1"/>
  <c r="K719" i="99" s="1"/>
  <c r="K877" i="99"/>
  <c r="J688" i="99"/>
  <c r="K873" i="99"/>
  <c r="K874" i="99"/>
  <c r="K875" i="99"/>
  <c r="P723" i="99"/>
  <c r="O724" i="99" s="1"/>
  <c r="O725" i="99" s="1"/>
  <c r="K876" i="99"/>
  <c r="P708" i="99"/>
  <c r="N709" i="99" s="1"/>
  <c r="N710" i="99" s="1"/>
  <c r="P714" i="99"/>
  <c r="O715" i="99" s="1"/>
  <c r="O716" i="99" s="1"/>
  <c r="K878" i="99"/>
  <c r="P726" i="99"/>
  <c r="M727" i="99" s="1"/>
  <c r="M728" i="99" s="1"/>
  <c r="P711" i="99"/>
  <c r="N712" i="99" s="1"/>
  <c r="N713" i="99" s="1"/>
  <c r="J909" i="99"/>
  <c r="Q339" i="73"/>
  <c r="H151" i="72"/>
  <c r="M721" i="99" l="1"/>
  <c r="M722" i="99" s="1"/>
  <c r="K721" i="99"/>
  <c r="K722" i="99" s="1"/>
  <c r="O721" i="99"/>
  <c r="O722" i="99" s="1"/>
  <c r="P721" i="99"/>
  <c r="P722" i="99" s="1"/>
  <c r="M718" i="99"/>
  <c r="M719" i="99" s="1"/>
  <c r="L721" i="99"/>
  <c r="L722" i="99" s="1"/>
  <c r="P724" i="99"/>
  <c r="P725" i="99" s="1"/>
  <c r="M724" i="99"/>
  <c r="M725" i="99" s="1"/>
  <c r="O718" i="99"/>
  <c r="O719" i="99" s="1"/>
  <c r="L718" i="99"/>
  <c r="L719" i="99" s="1"/>
  <c r="P718" i="99"/>
  <c r="P719" i="99" s="1"/>
  <c r="N718" i="99"/>
  <c r="N719" i="99" s="1"/>
  <c r="N724" i="99"/>
  <c r="N725" i="99" s="1"/>
  <c r="L724" i="99"/>
  <c r="L725" i="99" s="1"/>
  <c r="O727" i="99"/>
  <c r="O728" i="99" s="1"/>
  <c r="K727" i="99"/>
  <c r="K728" i="99" s="1"/>
  <c r="K724" i="99"/>
  <c r="K725" i="99" s="1"/>
  <c r="L715" i="99"/>
  <c r="L716" i="99" s="1"/>
  <c r="P715" i="99"/>
  <c r="P716" i="99" s="1"/>
  <c r="N715" i="99"/>
  <c r="N716" i="99" s="1"/>
  <c r="O712" i="99"/>
  <c r="O713" i="99" s="1"/>
  <c r="M709" i="99"/>
  <c r="M710" i="99" s="1"/>
  <c r="K709" i="99"/>
  <c r="K710" i="99" s="1"/>
  <c r="N727" i="99"/>
  <c r="N728" i="99" s="1"/>
  <c r="P727" i="99"/>
  <c r="P728" i="99" s="1"/>
  <c r="K715" i="99"/>
  <c r="K716" i="99" s="1"/>
  <c r="O709" i="99"/>
  <c r="O710" i="99" s="1"/>
  <c r="L727" i="99"/>
  <c r="L728" i="99" s="1"/>
  <c r="M715" i="99"/>
  <c r="M716" i="99" s="1"/>
  <c r="P709" i="99"/>
  <c r="P710" i="99" s="1"/>
  <c r="P712" i="99"/>
  <c r="P713" i="99" s="1"/>
  <c r="L709" i="99"/>
  <c r="L710" i="99" s="1"/>
  <c r="K712" i="99"/>
  <c r="K713" i="99" s="1"/>
  <c r="M712" i="99"/>
  <c r="M713" i="99" s="1"/>
  <c r="L712" i="99"/>
  <c r="L713" i="99" s="1"/>
  <c r="N1376" i="99"/>
  <c r="K909" i="99"/>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G1541" i="99"/>
  <c r="AD1541" i="99"/>
  <c r="AI1541" i="99"/>
  <c r="D941" i="99"/>
  <c r="O1764" i="99"/>
  <c r="O1628" i="99"/>
  <c r="O1621" i="99"/>
  <c r="P1621" i="99"/>
  <c r="P1764" i="99"/>
  <c r="P1628" i="99"/>
  <c r="AI59" i="72"/>
  <c r="AH59" i="72"/>
  <c r="AG59" i="72"/>
  <c r="AF59" i="72"/>
  <c r="AC59" i="72"/>
  <c r="AA59" i="72"/>
  <c r="Z59" i="72"/>
  <c r="AI58" i="72"/>
  <c r="AH58" i="72"/>
  <c r="AG58" i="72"/>
  <c r="AF58" i="72"/>
  <c r="AC58" i="72"/>
  <c r="AA58" i="72"/>
  <c r="Z58" i="72"/>
  <c r="AI57" i="72"/>
  <c r="AH57" i="72"/>
  <c r="AG57" i="72"/>
  <c r="AF57" i="72"/>
  <c r="AC57" i="72"/>
  <c r="AA57" i="72"/>
  <c r="Z57" i="72"/>
  <c r="AI52" i="72"/>
  <c r="AH52" i="72"/>
  <c r="AG52" i="72"/>
  <c r="AD52" i="72"/>
  <c r="AC52" i="72"/>
  <c r="AB52" i="72"/>
  <c r="AA52" i="72"/>
  <c r="X52" i="72"/>
  <c r="AI50" i="72"/>
  <c r="AH50" i="72"/>
  <c r="AG50" i="72"/>
  <c r="AD50" i="72"/>
  <c r="AC50" i="72"/>
  <c r="AB50" i="72"/>
  <c r="AA50" i="72"/>
  <c r="X50" i="72"/>
  <c r="A3" i="73"/>
  <c r="H3" i="73" s="1"/>
  <c r="AF1539" i="99" l="1"/>
  <c r="AI1539" i="99"/>
  <c r="AD1539" i="99"/>
  <c r="AH1539" i="99"/>
  <c r="AG1539" i="99"/>
  <c r="AE1539" i="99"/>
  <c r="AB1539" i="99"/>
  <c r="X1539" i="99"/>
  <c r="Z1539" i="99"/>
  <c r="AC1539" i="99"/>
  <c r="AA1539" i="99"/>
  <c r="Y1539" i="99"/>
  <c r="K1619" i="99"/>
  <c r="I1619" i="99"/>
  <c r="E941" i="99"/>
  <c r="Q435" i="72"/>
  <c r="Q434" i="72"/>
  <c r="Q409" i="72"/>
  <c r="Q408" i="72"/>
  <c r="Q407" i="72"/>
  <c r="Q406" i="72"/>
  <c r="P404" i="72"/>
  <c r="P1895" i="99" s="1"/>
  <c r="E28" i="72"/>
  <c r="AD1547" i="99" l="1"/>
  <c r="AE1547" i="99"/>
  <c r="AG1547" i="99"/>
  <c r="AI1547" i="99"/>
  <c r="AH1547" i="99"/>
  <c r="AF1547" i="99"/>
  <c r="F941" i="99"/>
  <c r="AF56" i="72"/>
  <c r="AI56" i="72"/>
  <c r="AE56" i="72"/>
  <c r="AH56" i="72"/>
  <c r="AD56" i="72"/>
  <c r="AG56" i="72"/>
  <c r="X56" i="72"/>
  <c r="AA56" i="72"/>
  <c r="Z56" i="72"/>
  <c r="AC56" i="72"/>
  <c r="Y56" i="72"/>
  <c r="P284" i="72"/>
  <c r="P1775" i="99" s="1"/>
  <c r="E23" i="72"/>
  <c r="AI1540" i="99" l="1"/>
  <c r="AH1540" i="99"/>
  <c r="AG1540" i="99"/>
  <c r="AF1540" i="99"/>
  <c r="AD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G973" i="99" l="1"/>
  <c r="N75" i="98"/>
  <c r="I75" i="98"/>
  <c r="AD46" i="72"/>
  <c r="X46" i="72"/>
  <c r="O170" i="72"/>
  <c r="O1661" i="99" l="1"/>
  <c r="L1661" i="99" s="1"/>
  <c r="H973" i="99"/>
  <c r="Q1661" i="99" l="1"/>
  <c r="I973" i="99"/>
  <c r="Q171" i="72"/>
  <c r="P170" i="72"/>
  <c r="L170" i="72"/>
  <c r="P1661" i="99" l="1"/>
  <c r="J973" i="99"/>
  <c r="Q170" i="72"/>
  <c r="K973" i="99" l="1"/>
  <c r="S187" i="78" l="1"/>
  <c r="U187" i="78" s="1"/>
  <c r="S191" i="78"/>
  <c r="P49" i="72" l="1"/>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M105" i="72" l="1"/>
  <c r="M102" i="72"/>
  <c r="M1593" i="99" s="1"/>
  <c r="M427" i="72"/>
  <c r="M1918" i="99" s="1"/>
  <c r="L1918" i="99" s="1"/>
  <c r="M204" i="72"/>
  <c r="M232" i="72"/>
  <c r="M1723" i="99" s="1"/>
  <c r="M423" i="72"/>
  <c r="M168" i="72"/>
  <c r="M88" i="72"/>
  <c r="M1579" i="99" s="1"/>
  <c r="M417" i="72"/>
  <c r="M1908" i="99" s="1"/>
  <c r="M151" i="72"/>
  <c r="M441" i="72"/>
  <c r="M433" i="72"/>
  <c r="M112" i="72"/>
  <c r="P92" i="72"/>
  <c r="P1583" i="99" s="1"/>
  <c r="O102" i="72" l="1"/>
  <c r="O1593" i="99" s="1"/>
  <c r="Y1528" i="99" s="1"/>
  <c r="M1596" i="99"/>
  <c r="M1924" i="99"/>
  <c r="O433" i="72"/>
  <c r="P433" i="72"/>
  <c r="M1695" i="99"/>
  <c r="O204" i="72"/>
  <c r="P204" i="72"/>
  <c r="M1659" i="99"/>
  <c r="O168" i="72"/>
  <c r="P168" i="72"/>
  <c r="M1642" i="99"/>
  <c r="Q1642" i="99" s="1"/>
  <c r="Q151" i="72"/>
  <c r="M1914" i="99"/>
  <c r="L1914" i="99" s="1"/>
  <c r="L423" i="72"/>
  <c r="M1603" i="99"/>
  <c r="P112" i="72"/>
  <c r="P1603" i="99" s="1"/>
  <c r="O112" i="72"/>
  <c r="O1603" i="99" s="1"/>
  <c r="L217" i="73"/>
  <c r="X1528" i="99" l="1"/>
  <c r="P1594" i="99"/>
  <c r="O1659" i="99"/>
  <c r="O232" i="72"/>
  <c r="O1723" i="99" s="1"/>
  <c r="L168" i="72"/>
  <c r="X40" i="72"/>
  <c r="Y40" i="72"/>
  <c r="R168" i="72"/>
  <c r="L113" i="72"/>
  <c r="P1924" i="99"/>
  <c r="AF60" i="72"/>
  <c r="AI60" i="72"/>
  <c r="AH60" i="72"/>
  <c r="AG60" i="72"/>
  <c r="Y1529" i="99"/>
  <c r="L1604" i="99"/>
  <c r="X1529" i="99"/>
  <c r="P1695" i="99"/>
  <c r="AE42" i="72"/>
  <c r="AD42" i="72"/>
  <c r="O1924" i="99"/>
  <c r="E31" i="72"/>
  <c r="AA60" i="72"/>
  <c r="L433" i="72"/>
  <c r="Z60" i="72"/>
  <c r="AC60" i="72"/>
  <c r="AD1529" i="99"/>
  <c r="AE1529" i="99"/>
  <c r="P1659" i="99"/>
  <c r="AD40" i="72"/>
  <c r="AE40" i="72"/>
  <c r="O1695" i="99"/>
  <c r="L204" i="72"/>
  <c r="Y42" i="72"/>
  <c r="X42" i="72"/>
  <c r="P66" i="98"/>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AD1533" i="99" l="1"/>
  <c r="AE1533" i="99"/>
  <c r="AH1551" i="99"/>
  <c r="AF1551" i="99"/>
  <c r="AI1551" i="99"/>
  <c r="AG1551" i="99"/>
  <c r="AD1531" i="99"/>
  <c r="AE1531" i="99"/>
  <c r="AA1551" i="99"/>
  <c r="AC1551" i="99"/>
  <c r="L1924" i="99"/>
  <c r="AB1551" i="99"/>
  <c r="Z1551" i="99"/>
  <c r="X1533" i="99"/>
  <c r="L1695" i="99"/>
  <c r="Y1533" i="99"/>
  <c r="X1535" i="99"/>
  <c r="Y1535" i="99"/>
  <c r="L1723" i="99"/>
  <c r="R1659" i="99"/>
  <c r="Y1531" i="99"/>
  <c r="L1659" i="99"/>
  <c r="X1531" i="99"/>
  <c r="G43" i="78"/>
  <c r="C49" i="78"/>
  <c r="H18" i="100" s="1"/>
  <c r="J18" i="100" l="1"/>
  <c r="C40" i="100"/>
  <c r="B58" i="78"/>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E18" i="89" l="1"/>
  <c r="H8" i="100"/>
  <c r="F14" i="85" s="1"/>
  <c r="I594" i="99"/>
  <c r="J37" i="99"/>
  <c r="A244" i="99"/>
  <c r="A3" i="99"/>
  <c r="A508" i="99"/>
  <c r="P50" i="98"/>
  <c r="A2" i="75"/>
  <c r="A2" i="68"/>
  <c r="S2" i="68" s="1"/>
  <c r="A2" i="78"/>
  <c r="W2" i="78" s="1"/>
  <c r="A1" i="77"/>
  <c r="A1" i="72"/>
  <c r="A1" i="76"/>
  <c r="A1" i="73"/>
  <c r="A2" i="74"/>
  <c r="N2" i="74" s="1"/>
  <c r="D4" i="96"/>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J93" i="72" s="1"/>
  <c r="J1584" i="99" s="1"/>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1832" i="99"/>
  <c r="E26" i="72"/>
  <c r="Q388" i="72"/>
  <c r="Q381" i="72"/>
  <c r="Q138" i="72"/>
  <c r="Q18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A3" i="83" s="1"/>
  <c r="C59" i="74"/>
  <c r="G28" i="74"/>
  <c r="D60" i="74"/>
  <c r="B41" i="74"/>
  <c r="C121" i="74"/>
  <c r="K91" i="74"/>
  <c r="F61" i="74"/>
  <c r="O32" i="66"/>
  <c r="A2" i="66"/>
  <c r="N32" i="66"/>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B44" i="74"/>
  <c r="C44" i="74"/>
  <c r="D44" i="74"/>
  <c r="E44" i="74"/>
  <c r="F44" i="74"/>
  <c r="G44" i="74"/>
  <c r="H44" i="74"/>
  <c r="I44" i="74"/>
  <c r="J44" i="74"/>
  <c r="K44" i="74"/>
  <c r="B76" i="74"/>
  <c r="C76" i="74"/>
  <c r="D76" i="74"/>
  <c r="E76" i="74"/>
  <c r="F76" i="74"/>
  <c r="G76" i="74"/>
  <c r="H76" i="74"/>
  <c r="I76" i="74"/>
  <c r="J76" i="74"/>
  <c r="K76" i="74"/>
  <c r="B26" i="74" l="1"/>
  <c r="H26" i="74"/>
  <c r="H921" i="99" s="1"/>
  <c r="B120" i="74"/>
  <c r="B1015" i="99" s="1"/>
  <c r="J58" i="74"/>
  <c r="J953" i="99" s="1"/>
  <c r="I26" i="74"/>
  <c r="I921" i="99" s="1"/>
  <c r="D120" i="74"/>
  <c r="D1015" i="99" s="1"/>
  <c r="C75" i="100"/>
  <c r="B921" i="99"/>
  <c r="P642" i="99"/>
  <c r="O39" i="99"/>
  <c r="Q868" i="99"/>
  <c r="N39" i="99"/>
  <c r="P1593" i="99"/>
  <c r="AE1528" i="99" s="1"/>
  <c r="AD54" i="72"/>
  <c r="P1868" i="99"/>
  <c r="AD1545" i="99" s="1"/>
  <c r="AH1546" i="99"/>
  <c r="AF1546" i="99"/>
  <c r="AE1546" i="99"/>
  <c r="AI1546" i="99"/>
  <c r="AG1546" i="99"/>
  <c r="AD1546" i="99"/>
  <c r="AG1544" i="99"/>
  <c r="AI1544" i="99"/>
  <c r="AD1544" i="99"/>
  <c r="AH1544" i="99"/>
  <c r="AF1544" i="99"/>
  <c r="AE1544" i="99"/>
  <c r="X54" i="72"/>
  <c r="E27" i="72"/>
  <c r="K90" i="74"/>
  <c r="K985" i="99" s="1"/>
  <c r="K58" i="74"/>
  <c r="K953" i="99" s="1"/>
  <c r="J90" i="74"/>
  <c r="B38" i="87" s="1"/>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J20" i="75"/>
  <c r="J658" i="99" s="1"/>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I69" i="74"/>
  <c r="J99" i="74"/>
  <c r="B16" i="87"/>
  <c r="F99" i="74"/>
  <c r="B14" i="87"/>
  <c r="B34" i="87"/>
  <c r="C128" i="74"/>
  <c r="E41" i="87"/>
  <c r="E21" i="87"/>
  <c r="F84" i="92"/>
  <c r="B20" i="87"/>
  <c r="G36" i="74"/>
  <c r="H68" i="74"/>
  <c r="I36" i="74"/>
  <c r="D36" i="74"/>
  <c r="C68" i="74"/>
  <c r="E130" i="74"/>
  <c r="B10" i="87"/>
  <c r="D99" i="74"/>
  <c r="B68" i="74"/>
  <c r="H36" i="74"/>
  <c r="G68" i="74"/>
  <c r="B44" i="87"/>
  <c r="B13" i="87"/>
  <c r="H99" i="74"/>
  <c r="E39" i="87"/>
  <c r="B41" i="87"/>
  <c r="B40" i="87"/>
  <c r="B28" i="87"/>
  <c r="B129" i="74"/>
  <c r="J68" i="74"/>
  <c r="E99" i="74"/>
  <c r="F69" i="74"/>
  <c r="D68" i="74"/>
  <c r="E16" i="87"/>
  <c r="B22" i="87"/>
  <c r="L265" i="72"/>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C64" i="74"/>
  <c r="F55" i="78"/>
  <c r="B5" i="92"/>
  <c r="J21" i="75"/>
  <c r="J659" i="99" s="1"/>
  <c r="L659" i="99" s="1"/>
  <c r="M659" i="99" s="1"/>
  <c r="F40" i="78"/>
  <c r="D32" i="74"/>
  <c r="F38" i="78"/>
  <c r="J23" i="75"/>
  <c r="J661" i="99" s="1"/>
  <c r="L661" i="99" s="1"/>
  <c r="M661" i="99"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47" i="84"/>
  <c r="G5" i="9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926" i="99" s="1"/>
  <c r="H16" i="86"/>
  <c r="I16" i="86"/>
  <c r="D14" i="86"/>
  <c r="D64" i="74"/>
  <c r="F32" i="74"/>
  <c r="G51" i="86"/>
  <c r="C52" i="86"/>
  <c r="I31" i="86"/>
  <c r="G52" i="86"/>
  <c r="D51" i="86"/>
  <c r="H51" i="86"/>
  <c r="F64" i="74"/>
  <c r="B32"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C919" i="99"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6" i="72"/>
  <c r="L52" i="68"/>
  <c r="M67" i="85"/>
  <c r="E13" i="72"/>
  <c r="P267" i="72"/>
  <c r="P1758" i="99" s="1"/>
  <c r="B23" i="87" l="1"/>
  <c r="B39" i="87"/>
  <c r="B42" i="87"/>
  <c r="B33" i="87"/>
  <c r="B36" i="87"/>
  <c r="B17" i="87"/>
  <c r="B35" i="87"/>
  <c r="B31" i="87"/>
  <c r="B12" i="87"/>
  <c r="B25" i="87"/>
  <c r="B32" i="87"/>
  <c r="K65" i="82"/>
  <c r="B27" i="87"/>
  <c r="B37" i="87"/>
  <c r="B29" i="87"/>
  <c r="B11" i="87"/>
  <c r="B30" i="87"/>
  <c r="B43" i="87"/>
  <c r="B26" i="87"/>
  <c r="J985" i="99"/>
  <c r="C40" i="74"/>
  <c r="C935" i="99" s="1"/>
  <c r="K921" i="99"/>
  <c r="G75" i="100"/>
  <c r="G77" i="100" s="1"/>
  <c r="I75" i="100"/>
  <c r="I77" i="100" s="1"/>
  <c r="C77" i="100"/>
  <c r="K75" i="100"/>
  <c r="K77" i="100" s="1"/>
  <c r="E75" i="100"/>
  <c r="E77" i="100" s="1"/>
  <c r="M687" i="99"/>
  <c r="M688" i="99" s="1"/>
  <c r="AD1528" i="99"/>
  <c r="L34" i="68"/>
  <c r="L276" i="99" s="1"/>
  <c r="L277" i="99" s="1"/>
  <c r="C18" i="100"/>
  <c r="I303"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926" i="99" s="1"/>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919" i="99" s="1"/>
  <c r="E14" i="74"/>
  <c r="P138" i="75"/>
  <c r="M147" i="75"/>
  <c r="P136" i="75"/>
  <c r="R31" i="74"/>
  <c r="O164" i="75"/>
  <c r="O166" i="75" s="1"/>
  <c r="O168" i="75" s="1"/>
  <c r="P108" i="75"/>
  <c r="P93" i="75"/>
  <c r="J164" i="78"/>
  <c r="J166" i="78" s="1"/>
  <c r="E3" i="86"/>
  <c r="B4" i="82"/>
  <c r="C18" i="84"/>
  <c r="I61" i="68"/>
  <c r="P139" i="75"/>
  <c r="P114" i="75"/>
  <c r="G14" i="86"/>
  <c r="D40" i="74" l="1"/>
  <c r="D935" i="99" s="1"/>
  <c r="L35" i="68"/>
  <c r="C81" i="100"/>
  <c r="C80" i="100"/>
  <c r="D10" i="86"/>
  <c r="AC47" i="72"/>
  <c r="AC62" i="72" s="1"/>
  <c r="AD109" i="78"/>
  <c r="AF109" i="78" s="1"/>
  <c r="AD419" i="99"/>
  <c r="AD420" i="99"/>
  <c r="AF420" i="99" s="1"/>
  <c r="AD424" i="99"/>
  <c r="AF424" i="99" s="1"/>
  <c r="P1554" i="99"/>
  <c r="AF1526" i="99" s="1"/>
  <c r="AI47" i="72"/>
  <c r="P1751" i="99"/>
  <c r="AE1526" i="99"/>
  <c r="AD1526" i="99"/>
  <c r="Y1538" i="99"/>
  <c r="Z1538" i="99"/>
  <c r="AB1538" i="99"/>
  <c r="AA1538" i="99"/>
  <c r="AA1553" i="99" s="1"/>
  <c r="X1538" i="99"/>
  <c r="AC1538" i="99"/>
  <c r="P293" i="99"/>
  <c r="P294" i="99"/>
  <c r="I304" i="99"/>
  <c r="K40" i="100"/>
  <c r="D18" i="100"/>
  <c r="C38" i="100"/>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G62" i="72" s="1"/>
  <c r="AI35" i="72"/>
  <c r="AI62" i="72" s="1"/>
  <c r="AD35" i="72"/>
  <c r="AF35" i="72"/>
  <c r="AE35" i="72"/>
  <c r="AE38" i="72"/>
  <c r="AD38" i="72"/>
  <c r="AA47" i="72"/>
  <c r="AA62" i="72" s="1"/>
  <c r="Z47" i="72"/>
  <c r="Z62" i="72" s="1"/>
  <c r="AB47" i="72"/>
  <c r="AB62" i="72" s="1"/>
  <c r="Y47" i="72"/>
  <c r="X47" i="72"/>
  <c r="AD47" i="72"/>
  <c r="AF47" i="72"/>
  <c r="AG47" i="72"/>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I47" i="68"/>
  <c r="I289" i="99" s="1"/>
  <c r="P149" i="75"/>
  <c r="P147" i="75"/>
  <c r="P150" i="75"/>
  <c r="F14" i="74"/>
  <c r="E24" i="74"/>
  <c r="E919" i="99"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P295" i="99" l="1"/>
  <c r="G1386" i="99"/>
  <c r="G1381" i="99"/>
  <c r="E13" i="100"/>
  <c r="H16" i="85" s="1"/>
  <c r="L348" i="73"/>
  <c r="L1381" i="99"/>
  <c r="L1386" i="99"/>
  <c r="AF419" i="99"/>
  <c r="AF421" i="99" s="1"/>
  <c r="AD421" i="99"/>
  <c r="H7" i="100"/>
  <c r="E27" i="89" s="1"/>
  <c r="AF62" i="72"/>
  <c r="AH62" i="72"/>
  <c r="AG1526" i="99"/>
  <c r="AH1526" i="99"/>
  <c r="AI1526" i="99"/>
  <c r="AG1553" i="99"/>
  <c r="AD1538" i="99"/>
  <c r="AI1538" i="99"/>
  <c r="AG1538" i="99"/>
  <c r="AE1538" i="99"/>
  <c r="AF1538" i="99"/>
  <c r="AH1538"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H65" i="98"/>
  <c r="N66" i="98"/>
  <c r="M66" i="98"/>
  <c r="H50" i="98"/>
  <c r="I50" i="98"/>
  <c r="F64" i="98"/>
  <c r="F68" i="98" s="1"/>
  <c r="N51" i="98"/>
  <c r="M51" i="98"/>
  <c r="I51" i="98"/>
  <c r="H51" i="98"/>
  <c r="G348" i="73"/>
  <c r="G343" i="73"/>
  <c r="N63" i="98"/>
  <c r="M63" i="98"/>
  <c r="H66" i="98"/>
  <c r="H67" i="98"/>
  <c r="F54" i="98"/>
  <c r="H49" i="98"/>
  <c r="I49" i="98"/>
  <c r="I61" i="98"/>
  <c r="F10" i="86"/>
  <c r="P152" i="75"/>
  <c r="P151" i="75"/>
  <c r="L343" i="73"/>
  <c r="C81" i="84"/>
  <c r="P127" i="75"/>
  <c r="P125" i="75"/>
  <c r="E53" i="82"/>
  <c r="AT49" i="72"/>
  <c r="J32" i="95"/>
  <c r="F40" i="74"/>
  <c r="F935" i="99" s="1"/>
  <c r="AT48" i="72"/>
  <c r="F31" i="74"/>
  <c r="F926" i="99" s="1"/>
  <c r="B15" i="74"/>
  <c r="H179" i="75"/>
  <c r="H817" i="99" s="1"/>
  <c r="P817" i="99" s="1"/>
  <c r="L67" i="75"/>
  <c r="O67" i="75"/>
  <c r="M67" i="75"/>
  <c r="N67" i="75"/>
  <c r="P53" i="68"/>
  <c r="P65" i="75"/>
  <c r="E13" i="84"/>
  <c r="G14" i="74"/>
  <c r="F24" i="74"/>
  <c r="F919" i="99" s="1"/>
  <c r="K168" i="75"/>
  <c r="P168" i="75" s="1"/>
  <c r="P166" i="75"/>
  <c r="O19" i="86"/>
  <c r="O23" i="86" s="1"/>
  <c r="O25" i="86" s="1"/>
  <c r="O31" i="86" s="1"/>
  <c r="G21" i="86"/>
  <c r="F22" i="86"/>
  <c r="J477" i="99" l="1"/>
  <c r="J478" i="99" s="1"/>
  <c r="J480" i="99" s="1"/>
  <c r="M477" i="99"/>
  <c r="M478" i="99" s="1"/>
  <c r="M480" i="99" s="1"/>
  <c r="P477" i="99"/>
  <c r="P478" i="99" s="1"/>
  <c r="P480" i="99" s="1"/>
  <c r="H1881" i="99"/>
  <c r="Q242" i="75"/>
  <c r="P242" i="75"/>
  <c r="J97" i="72"/>
  <c r="L1588" i="99"/>
  <c r="P1588" i="99" s="1"/>
  <c r="K1588" i="99"/>
  <c r="O1588" i="99" s="1"/>
  <c r="F358" i="99"/>
  <c r="F367" i="99"/>
  <c r="AD113" i="78"/>
  <c r="AF113" i="78" s="1"/>
  <c r="AF115" i="78" s="1"/>
  <c r="E109" i="78" s="1"/>
  <c r="I109" i="78" s="1"/>
  <c r="AD423" i="99"/>
  <c r="F368" i="99"/>
  <c r="F359" i="99"/>
  <c r="K175" i="75"/>
  <c r="J368" i="99"/>
  <c r="J359" i="99"/>
  <c r="C52" i="100"/>
  <c r="B910" i="99"/>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M67" i="98"/>
  <c r="N67" i="98"/>
  <c r="N68" i="98" s="1"/>
  <c r="G10" i="86"/>
  <c r="F15" i="74"/>
  <c r="P243" i="75"/>
  <c r="Q243" i="75"/>
  <c r="Q234" i="75" s="1"/>
  <c r="Q872" i="99" s="1"/>
  <c r="F48" i="78"/>
  <c r="F49" i="78"/>
  <c r="J49" i="78"/>
  <c r="J58" i="78"/>
  <c r="F57" i="78"/>
  <c r="F58" i="78"/>
  <c r="G31" i="74"/>
  <c r="G926" i="99" s="1"/>
  <c r="F53" i="82"/>
  <c r="G40" i="74"/>
  <c r="G935" i="99" s="1"/>
  <c r="C15" i="74"/>
  <c r="C52" i="84"/>
  <c r="G52" i="84" s="1"/>
  <c r="D15" i="74"/>
  <c r="E15" i="74"/>
  <c r="B16" i="74"/>
  <c r="K171" i="75"/>
  <c r="L171" i="75"/>
  <c r="O171" i="75"/>
  <c r="N171" i="75"/>
  <c r="M171" i="75"/>
  <c r="P67" i="75"/>
  <c r="H7" i="84"/>
  <c r="E47" i="92" s="1"/>
  <c r="L97" i="72"/>
  <c r="K97" i="72"/>
  <c r="D33" i="90"/>
  <c r="D55" i="92" s="1"/>
  <c r="M167" i="78"/>
  <c r="M168" i="78" s="1"/>
  <c r="M170" i="78" s="1"/>
  <c r="J167" i="78"/>
  <c r="J168" i="78" s="1"/>
  <c r="H14" i="74"/>
  <c r="G24" i="74"/>
  <c r="G919" i="99" s="1"/>
  <c r="G15" i="74"/>
  <c r="P167" i="78"/>
  <c r="P168" i="78" s="1"/>
  <c r="P170" i="78" s="1"/>
  <c r="H21" i="86"/>
  <c r="G22" i="86"/>
  <c r="F910" i="99" l="1"/>
  <c r="E910" i="99"/>
  <c r="C910" i="99"/>
  <c r="G910" i="99"/>
  <c r="D910" i="99"/>
  <c r="AD115" i="78"/>
  <c r="J481" i="99"/>
  <c r="AF423" i="99"/>
  <c r="AF425" i="99" s="1"/>
  <c r="E419" i="99" s="1"/>
  <c r="I419" i="99" s="1"/>
  <c r="AD425" i="99"/>
  <c r="AD106" i="78"/>
  <c r="C13" i="100"/>
  <c r="H1716" i="99"/>
  <c r="E1386" i="99"/>
  <c r="N1386" i="99" s="1"/>
  <c r="M1328" i="99"/>
  <c r="L1328" i="99" s="1"/>
  <c r="O1875" i="99"/>
  <c r="O1876" i="99" s="1"/>
  <c r="J1855" i="99"/>
  <c r="E1383" i="99"/>
  <c r="N1383" i="99" s="1"/>
  <c r="M1331" i="99"/>
  <c r="L1331" i="99" s="1"/>
  <c r="E365" i="99"/>
  <c r="G364" i="99" s="1"/>
  <c r="AE435" i="99"/>
  <c r="AE432" i="99"/>
  <c r="O1235" i="99"/>
  <c r="AD416" i="99"/>
  <c r="J1881" i="99"/>
  <c r="L1881" i="99" s="1"/>
  <c r="E1381" i="99"/>
  <c r="N1381" i="99" s="1"/>
  <c r="F443" i="99"/>
  <c r="D458" i="99"/>
  <c r="E397" i="99"/>
  <c r="AE436" i="99"/>
  <c r="AE434" i="99"/>
  <c r="AE433" i="99"/>
  <c r="J358" i="99"/>
  <c r="AE437" i="99"/>
  <c r="J367" i="99"/>
  <c r="M293" i="73"/>
  <c r="L293" i="73" s="1"/>
  <c r="M290" i="73"/>
  <c r="L290" i="73" s="1"/>
  <c r="Q230" i="75"/>
  <c r="N873" i="99"/>
  <c r="K13" i="100"/>
  <c r="G458" i="99"/>
  <c r="P358" i="99"/>
  <c r="P367" i="99"/>
  <c r="C53" i="100"/>
  <c r="B911" i="99"/>
  <c r="I52" i="100"/>
  <c r="E52" i="100"/>
  <c r="G52" i="100"/>
  <c r="K52" i="100"/>
  <c r="M77" i="98"/>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57" i="78"/>
  <c r="H31" i="74"/>
  <c r="J364" i="72"/>
  <c r="S189" i="78"/>
  <c r="E343" i="73"/>
  <c r="N343" i="73" s="1"/>
  <c r="H40" i="74"/>
  <c r="H935" i="99" s="1"/>
  <c r="L88" i="72"/>
  <c r="K52" i="84"/>
  <c r="I52" i="84"/>
  <c r="E52" i="84"/>
  <c r="B17" i="74"/>
  <c r="B22" i="74"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5" i="90"/>
  <c r="I64" i="92" s="1"/>
  <c r="AE126" i="78"/>
  <c r="J170" i="78"/>
  <c r="J171" i="78" s="1"/>
  <c r="G15" i="82"/>
  <c r="G19" i="82" s="1"/>
  <c r="G20" i="82" s="1"/>
  <c r="H24" i="74"/>
  <c r="H919" i="99" s="1"/>
  <c r="I14" i="74"/>
  <c r="H16" i="74"/>
  <c r="H911" i="99" s="1"/>
  <c r="H15" i="74"/>
  <c r="I21" i="86"/>
  <c r="I22" i="86" s="1"/>
  <c r="H22" i="86"/>
  <c r="B917" i="99" l="1"/>
  <c r="Q220" i="75"/>
  <c r="H910" i="99"/>
  <c r="H53" i="82"/>
  <c r="H926" i="99"/>
  <c r="AF432" i="99"/>
  <c r="AH432" i="99" s="1"/>
  <c r="F16" i="85"/>
  <c r="D17" i="83"/>
  <c r="F53" i="89"/>
  <c r="H19" i="100"/>
  <c r="A9" i="83"/>
  <c r="C19" i="100"/>
  <c r="F23" i="74"/>
  <c r="F918" i="99" s="1"/>
  <c r="B918" i="99"/>
  <c r="J365" i="72"/>
  <c r="J366" i="72" s="1"/>
  <c r="M365" i="72"/>
  <c r="AF435" i="99"/>
  <c r="AH435" i="99" s="1"/>
  <c r="H20" i="100"/>
  <c r="C20" i="100"/>
  <c r="M1856" i="99"/>
  <c r="J1856" i="99"/>
  <c r="J1857" i="99" s="1"/>
  <c r="B912" i="99"/>
  <c r="B915" i="99" s="1"/>
  <c r="C54" i="100"/>
  <c r="C56" i="100" s="1"/>
  <c r="C64" i="100" s="1"/>
  <c r="C70" i="100" s="1"/>
  <c r="I53" i="100"/>
  <c r="I54" i="100" s="1"/>
  <c r="K53" i="100"/>
  <c r="K54" i="100" s="1"/>
  <c r="E53" i="100"/>
  <c r="E54" i="100" s="1"/>
  <c r="G53" i="100"/>
  <c r="G54" i="100" s="1"/>
  <c r="O92" i="72"/>
  <c r="O1583" i="99" s="1"/>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I10" i="86"/>
  <c r="E23" i="74"/>
  <c r="E918" i="99" s="1"/>
  <c r="B20" i="74"/>
  <c r="G66" i="84"/>
  <c r="K66" i="84"/>
  <c r="H23" i="74"/>
  <c r="H918" i="99" s="1"/>
  <c r="I23" i="74"/>
  <c r="I918" i="99" s="1"/>
  <c r="C23" i="74"/>
  <c r="C918" i="99" s="1"/>
  <c r="C13" i="86"/>
  <c r="D23" i="74"/>
  <c r="D918" i="99" s="1"/>
  <c r="G23" i="74"/>
  <c r="G918" i="99" s="1"/>
  <c r="P57" i="78"/>
  <c r="G148" i="78"/>
  <c r="K13" i="84"/>
  <c r="G54" i="78"/>
  <c r="I56" i="84"/>
  <c r="I64" i="84" s="1"/>
  <c r="I40" i="74"/>
  <c r="I935" i="99" s="1"/>
  <c r="C17" i="74"/>
  <c r="C912" i="99" s="1"/>
  <c r="C915" i="99" s="1"/>
  <c r="C54" i="84"/>
  <c r="C56" i="84" s="1"/>
  <c r="C64" i="84" s="1"/>
  <c r="K6" i="74"/>
  <c r="L4" i="95"/>
  <c r="K8" i="74"/>
  <c r="J4" i="91"/>
  <c r="D17" i="74"/>
  <c r="D912" i="99" s="1"/>
  <c r="D915" i="99" s="1"/>
  <c r="K53" i="84"/>
  <c r="K54" i="84" s="1"/>
  <c r="K56" i="84" s="1"/>
  <c r="K64" i="84" s="1"/>
  <c r="G53" i="84"/>
  <c r="G54" i="84" s="1"/>
  <c r="E17" i="74"/>
  <c r="E912" i="99" s="1"/>
  <c r="E915" i="99" s="1"/>
  <c r="E53" i="84"/>
  <c r="E54" i="84" s="1"/>
  <c r="E56" i="84" s="1"/>
  <c r="E64" i="84" s="1"/>
  <c r="F17" i="74"/>
  <c r="F912" i="99" s="1"/>
  <c r="F915" i="99" s="1"/>
  <c r="P96" i="72"/>
  <c r="P1587" i="99" s="1"/>
  <c r="AF125" i="78"/>
  <c r="AH125" i="78" s="1"/>
  <c r="H19" i="84"/>
  <c r="AF122" i="78"/>
  <c r="C19" i="84"/>
  <c r="H17" i="74"/>
  <c r="H912" i="99" s="1"/>
  <c r="H915" i="99" s="1"/>
  <c r="I53" i="82"/>
  <c r="J31" i="74"/>
  <c r="J926" i="99" s="1"/>
  <c r="I24" i="74"/>
  <c r="I919" i="99" s="1"/>
  <c r="J14" i="74"/>
  <c r="I16" i="74"/>
  <c r="I911" i="99" s="1"/>
  <c r="I15" i="74"/>
  <c r="G22" i="74" l="1"/>
  <c r="G917" i="99" s="1"/>
  <c r="E22" i="74"/>
  <c r="E917" i="99" s="1"/>
  <c r="I910" i="99"/>
  <c r="H22" i="74"/>
  <c r="C22" i="74"/>
  <c r="F22" i="74"/>
  <c r="Q858" i="99"/>
  <c r="C68" i="84"/>
  <c r="C70" i="84" s="1"/>
  <c r="Q228" i="75"/>
  <c r="O222" i="75"/>
  <c r="O221" i="75"/>
  <c r="D22" i="74"/>
  <c r="G13" i="86"/>
  <c r="E127" i="78"/>
  <c r="A127" i="78" s="1"/>
  <c r="AH122" i="78"/>
  <c r="G20" i="74"/>
  <c r="C76" i="100"/>
  <c r="C73" i="100" s="1"/>
  <c r="C72" i="100"/>
  <c r="I56" i="100"/>
  <c r="I64" i="100" s="1"/>
  <c r="I70" i="100" s="1"/>
  <c r="K56" i="100"/>
  <c r="K64" i="100" s="1"/>
  <c r="K70" i="100" s="1"/>
  <c r="E56" i="100"/>
  <c r="E64" i="100" s="1"/>
  <c r="E70" i="100" s="1"/>
  <c r="G56" i="100"/>
  <c r="G64" i="100" s="1"/>
  <c r="G70" i="100" s="1"/>
  <c r="P88" i="72"/>
  <c r="O88" i="72"/>
  <c r="O1579" i="99" s="1"/>
  <c r="D13" i="86"/>
  <c r="F13" i="86"/>
  <c r="E13" i="86"/>
  <c r="C30" i="86"/>
  <c r="I13" i="86"/>
  <c r="C20" i="74"/>
  <c r="H13" i="86"/>
  <c r="C33" i="86"/>
  <c r="C20" i="84"/>
  <c r="H20" i="84"/>
  <c r="J40" i="74"/>
  <c r="J935" i="99" s="1"/>
  <c r="E20" i="74"/>
  <c r="D20" i="74"/>
  <c r="G56" i="84"/>
  <c r="G64" i="84" s="1"/>
  <c r="F20" i="74"/>
  <c r="K31" i="74"/>
  <c r="K926" i="99" s="1"/>
  <c r="J53" i="82"/>
  <c r="K14" i="74"/>
  <c r="J24" i="74"/>
  <c r="J919" i="99" s="1"/>
  <c r="J15" i="74"/>
  <c r="J16" i="74"/>
  <c r="J911" i="99" s="1"/>
  <c r="J23" i="74"/>
  <c r="J918" i="99" s="1"/>
  <c r="I17" i="74"/>
  <c r="I912" i="99" s="1"/>
  <c r="H20" i="74"/>
  <c r="I915" i="99" l="1"/>
  <c r="I22" i="74"/>
  <c r="I917" i="99" s="1"/>
  <c r="C72" i="84"/>
  <c r="C76" i="84"/>
  <c r="C73" i="84" s="1"/>
  <c r="H917" i="99"/>
  <c r="F130" i="78"/>
  <c r="F441" i="99"/>
  <c r="F131" i="78"/>
  <c r="B21" i="74"/>
  <c r="K21" i="74" s="1"/>
  <c r="F440" i="99"/>
  <c r="Q247" i="75"/>
  <c r="P229" i="75"/>
  <c r="N228" i="75"/>
  <c r="K68" i="84"/>
  <c r="K70" i="84" s="1"/>
  <c r="K72" i="84" s="1"/>
  <c r="G68" i="84"/>
  <c r="G70" i="84" s="1"/>
  <c r="G76" i="84" s="1"/>
  <c r="G73" i="84" s="1"/>
  <c r="I68" i="84"/>
  <c r="I70" i="84" s="1"/>
  <c r="I76" i="84" s="1"/>
  <c r="I73" i="84" s="1"/>
  <c r="E68" i="84"/>
  <c r="E70" i="84" s="1"/>
  <c r="J910" i="99"/>
  <c r="Q866" i="99"/>
  <c r="O859" i="99"/>
  <c r="O860" i="99"/>
  <c r="D917" i="99"/>
  <c r="F917" i="99"/>
  <c r="C917" i="99"/>
  <c r="G72" i="100"/>
  <c r="G76" i="100"/>
  <c r="G73" i="100" s="1"/>
  <c r="E72" i="100"/>
  <c r="E76" i="100"/>
  <c r="E73" i="100" s="1"/>
  <c r="K72" i="100"/>
  <c r="K76" i="100"/>
  <c r="K73" i="100" s="1"/>
  <c r="I72" i="100"/>
  <c r="I76" i="100"/>
  <c r="I73" i="100" s="1"/>
  <c r="P1579" i="99"/>
  <c r="AI1527" i="99" s="1"/>
  <c r="AI1553" i="99" s="1"/>
  <c r="Z1527" i="99"/>
  <c r="Z1553" i="99" s="1"/>
  <c r="AB1527" i="99"/>
  <c r="AB1553" i="99" s="1"/>
  <c r="Y1527" i="99"/>
  <c r="Y1553" i="99" s="1"/>
  <c r="X1527" i="99"/>
  <c r="X1553" i="99" s="1"/>
  <c r="AC1527" i="99"/>
  <c r="AC1553" i="99" s="1"/>
  <c r="P1581" i="99"/>
  <c r="O1932" i="99"/>
  <c r="O1497" i="99" s="1"/>
  <c r="P90" i="72"/>
  <c r="O441" i="72"/>
  <c r="D30" i="86"/>
  <c r="Y36" i="72"/>
  <c r="X36" i="72"/>
  <c r="AD36" i="72"/>
  <c r="AE36" i="72"/>
  <c r="K40" i="74"/>
  <c r="K935" i="99" s="1"/>
  <c r="J178" i="78"/>
  <c r="J180" i="78" s="1"/>
  <c r="I20" i="74"/>
  <c r="K24" i="74"/>
  <c r="K919" i="99" s="1"/>
  <c r="B46" i="74"/>
  <c r="K15" i="74"/>
  <c r="K16" i="74"/>
  <c r="K911" i="99" s="1"/>
  <c r="K23" i="74"/>
  <c r="K918" i="99" s="1"/>
  <c r="D33" i="86"/>
  <c r="B63" i="74"/>
  <c r="B958" i="99" s="1"/>
  <c r="K53" i="82"/>
  <c r="J17" i="74"/>
  <c r="J912" i="99" s="1"/>
  <c r="J915" i="99" l="1"/>
  <c r="G72" i="84"/>
  <c r="K76" i="84"/>
  <c r="K73" i="84" s="1"/>
  <c r="B916" i="99"/>
  <c r="B920" i="99" s="1"/>
  <c r="E21" i="74"/>
  <c r="D21" i="74"/>
  <c r="C21" i="74"/>
  <c r="F21" i="74"/>
  <c r="G21" i="74"/>
  <c r="H21" i="74"/>
  <c r="B39" i="74"/>
  <c r="B934" i="99" s="1"/>
  <c r="I21" i="74"/>
  <c r="I25" i="74" s="1"/>
  <c r="J21" i="74"/>
  <c r="J916" i="99" s="1"/>
  <c r="B25" i="74"/>
  <c r="K910" i="99"/>
  <c r="I72" i="84"/>
  <c r="N866" i="99"/>
  <c r="P867" i="99"/>
  <c r="Q885" i="99"/>
  <c r="J22" i="74"/>
  <c r="E76" i="84"/>
  <c r="E73" i="84" s="1"/>
  <c r="E72" i="84"/>
  <c r="K916" i="99"/>
  <c r="AH1527" i="99"/>
  <c r="AH1553" i="99" s="1"/>
  <c r="AF1527" i="99"/>
  <c r="AF1553" i="99" s="1"/>
  <c r="AD1527" i="99"/>
  <c r="AE1527" i="99"/>
  <c r="E30" i="86"/>
  <c r="B15" i="82"/>
  <c r="J183" i="78"/>
  <c r="M189" i="78" s="1"/>
  <c r="B72" i="74"/>
  <c r="B967" i="99" s="1"/>
  <c r="J20" i="74"/>
  <c r="K17" i="74"/>
  <c r="K912" i="99" s="1"/>
  <c r="C46" i="74"/>
  <c r="B56" i="74"/>
  <c r="B951" i="99" s="1"/>
  <c r="B48" i="74"/>
  <c r="B943" i="99" s="1"/>
  <c r="B47" i="74"/>
  <c r="B53" i="74"/>
  <c r="B55" i="74"/>
  <c r="B950" i="99" s="1"/>
  <c r="C63" i="74"/>
  <c r="C958" i="99" s="1"/>
  <c r="B73" i="82"/>
  <c r="E33" i="86"/>
  <c r="K915" i="99" l="1"/>
  <c r="H916" i="99"/>
  <c r="H920" i="99" s="1"/>
  <c r="H25" i="74"/>
  <c r="H39" i="74"/>
  <c r="H934" i="99" s="1"/>
  <c r="G916" i="99"/>
  <c r="G920" i="99" s="1"/>
  <c r="G39" i="74"/>
  <c r="G934" i="99" s="1"/>
  <c r="G25" i="74"/>
  <c r="K22" i="74"/>
  <c r="F916" i="99"/>
  <c r="F920" i="99" s="1"/>
  <c r="F25" i="74"/>
  <c r="F39" i="74"/>
  <c r="F934" i="99" s="1"/>
  <c r="B942" i="99"/>
  <c r="C916" i="99"/>
  <c r="C920" i="99" s="1"/>
  <c r="C25" i="74"/>
  <c r="C39" i="74"/>
  <c r="C934" i="99" s="1"/>
  <c r="B44" i="82"/>
  <c r="B33" i="74"/>
  <c r="B34" i="74"/>
  <c r="B38" i="74"/>
  <c r="D916" i="99"/>
  <c r="D920" i="99" s="1"/>
  <c r="D39" i="74"/>
  <c r="D934" i="99" s="1"/>
  <c r="D25" i="74"/>
  <c r="J917" i="99"/>
  <c r="J920" i="99" s="1"/>
  <c r="J39" i="74"/>
  <c r="J934" i="99" s="1"/>
  <c r="E916" i="99"/>
  <c r="E920" i="99" s="1"/>
  <c r="E39" i="74"/>
  <c r="E934" i="99" s="1"/>
  <c r="E25" i="74"/>
  <c r="I916" i="99"/>
  <c r="I920" i="99" s="1"/>
  <c r="I39" i="74"/>
  <c r="I934" i="99" s="1"/>
  <c r="B933" i="99"/>
  <c r="B929" i="99"/>
  <c r="B928" i="99"/>
  <c r="B948" i="99"/>
  <c r="I34" i="74"/>
  <c r="I38" i="74"/>
  <c r="F30" i="86"/>
  <c r="C72" i="74"/>
  <c r="C967" i="99" s="1"/>
  <c r="I44" i="82"/>
  <c r="I51" i="82" s="1"/>
  <c r="J25" i="74"/>
  <c r="I33" i="74"/>
  <c r="C73" i="82"/>
  <c r="D63" i="74"/>
  <c r="D958" i="99" s="1"/>
  <c r="C48" i="74"/>
  <c r="C943" i="99" s="1"/>
  <c r="C56" i="74"/>
  <c r="C951" i="99" s="1"/>
  <c r="D46" i="74"/>
  <c r="C47" i="74"/>
  <c r="C53" i="74"/>
  <c r="C55" i="74"/>
  <c r="C950" i="99" s="1"/>
  <c r="B49" i="74"/>
  <c r="B944" i="99" s="1"/>
  <c r="F33" i="86"/>
  <c r="K20" i="74"/>
  <c r="B54" i="74" l="1"/>
  <c r="B949" i="99" s="1"/>
  <c r="B947" i="99"/>
  <c r="B51" i="82"/>
  <c r="B46" i="82"/>
  <c r="F933" i="99"/>
  <c r="F928" i="99"/>
  <c r="F929" i="99"/>
  <c r="J933" i="99"/>
  <c r="J928" i="99"/>
  <c r="K917" i="99"/>
  <c r="K920" i="99" s="1"/>
  <c r="K39" i="74"/>
  <c r="K934" i="99" s="1"/>
  <c r="C942" i="99"/>
  <c r="C44" i="82"/>
  <c r="C34" i="74"/>
  <c r="C38" i="74"/>
  <c r="C33" i="74"/>
  <c r="D928" i="99"/>
  <c r="D929" i="99"/>
  <c r="D933" i="99"/>
  <c r="G928" i="99"/>
  <c r="G933" i="99"/>
  <c r="G929" i="99"/>
  <c r="G33" i="74"/>
  <c r="H9" i="86" s="1"/>
  <c r="H17" i="86" s="1"/>
  <c r="H18" i="86" s="1"/>
  <c r="H20" i="86" s="1"/>
  <c r="H24" i="86" s="1"/>
  <c r="K11" i="86" s="1"/>
  <c r="G34" i="74"/>
  <c r="G38" i="74"/>
  <c r="G44" i="82"/>
  <c r="C928" i="99"/>
  <c r="S917" i="99" s="1"/>
  <c r="C933" i="99"/>
  <c r="C929" i="99"/>
  <c r="E38" i="74"/>
  <c r="E44" i="82"/>
  <c r="E33" i="74"/>
  <c r="F9" i="86" s="1"/>
  <c r="F17" i="86" s="1"/>
  <c r="F18" i="86" s="1"/>
  <c r="F20" i="86" s="1"/>
  <c r="F24" i="86" s="1"/>
  <c r="K9" i="86" s="1"/>
  <c r="E34" i="74"/>
  <c r="I929" i="99"/>
  <c r="I928" i="99"/>
  <c r="I933" i="99"/>
  <c r="J929" i="99"/>
  <c r="H38" i="74"/>
  <c r="H44" i="82"/>
  <c r="H34" i="74"/>
  <c r="H33" i="74"/>
  <c r="I9" i="86" s="1"/>
  <c r="I17" i="86" s="1"/>
  <c r="I18" i="86" s="1"/>
  <c r="I20" i="86" s="1"/>
  <c r="I24" i="86" s="1"/>
  <c r="K12" i="86" s="1"/>
  <c r="D38" i="74"/>
  <c r="D34" i="74"/>
  <c r="D33" i="74"/>
  <c r="E9" i="86" s="1"/>
  <c r="E17" i="86" s="1"/>
  <c r="E18" i="86" s="1"/>
  <c r="E20" i="86" s="1"/>
  <c r="E24" i="86" s="1"/>
  <c r="K8" i="86" s="1"/>
  <c r="D44" i="82"/>
  <c r="S916" i="99"/>
  <c r="E928" i="99"/>
  <c r="E933" i="99"/>
  <c r="E929" i="99"/>
  <c r="S21" i="74"/>
  <c r="C9" i="86"/>
  <c r="C17" i="86" s="1"/>
  <c r="C18" i="86" s="1"/>
  <c r="C20" i="86" s="1"/>
  <c r="C24" i="86" s="1"/>
  <c r="K6" i="86" s="1"/>
  <c r="G66" i="86" s="1"/>
  <c r="N92" i="85" s="1"/>
  <c r="F33" i="74"/>
  <c r="G9" i="86" s="1"/>
  <c r="G17" i="86" s="1"/>
  <c r="G18" i="86" s="1"/>
  <c r="G20" i="86" s="1"/>
  <c r="G24" i="86" s="1"/>
  <c r="K10" i="86" s="1"/>
  <c r="F34" i="74"/>
  <c r="F38" i="74"/>
  <c r="F44" i="82"/>
  <c r="H928" i="99"/>
  <c r="H929" i="99"/>
  <c r="H933" i="99"/>
  <c r="C948" i="99"/>
  <c r="J34" i="74"/>
  <c r="J38" i="74"/>
  <c r="G30" i="86"/>
  <c r="D72" i="74"/>
  <c r="D967" i="99" s="1"/>
  <c r="I46" i="82"/>
  <c r="J33" i="74"/>
  <c r="J44" i="82"/>
  <c r="J46" i="82" s="1"/>
  <c r="C29" i="86"/>
  <c r="C37" i="86" s="1"/>
  <c r="C38" i="86" s="1"/>
  <c r="C40" i="86" s="1"/>
  <c r="C44" i="86" s="1"/>
  <c r="K13" i="86" s="1"/>
  <c r="E46" i="74"/>
  <c r="D56" i="74"/>
  <c r="D951" i="99" s="1"/>
  <c r="D48" i="74"/>
  <c r="D943" i="99" s="1"/>
  <c r="D47" i="74"/>
  <c r="D53" i="74"/>
  <c r="D55" i="74"/>
  <c r="D950" i="99" s="1"/>
  <c r="E63" i="74"/>
  <c r="E958" i="99" s="1"/>
  <c r="D73" i="82"/>
  <c r="G33" i="86"/>
  <c r="K25" i="74"/>
  <c r="B52" i="74"/>
  <c r="C49" i="74"/>
  <c r="C944" i="99" s="1"/>
  <c r="B952" i="99" l="1"/>
  <c r="B965" i="99" s="1"/>
  <c r="C947" i="99"/>
  <c r="B71" i="74"/>
  <c r="B966" i="99" s="1"/>
  <c r="S918" i="99"/>
  <c r="S919" i="99"/>
  <c r="S923" i="99"/>
  <c r="S924" i="99"/>
  <c r="S28" i="74"/>
  <c r="C54" i="74"/>
  <c r="C949" i="99" s="1"/>
  <c r="C952" i="99" s="1"/>
  <c r="S920" i="99"/>
  <c r="K933" i="99"/>
  <c r="K928" i="99"/>
  <c r="S925" i="99" s="1"/>
  <c r="K929" i="99"/>
  <c r="D9" i="86"/>
  <c r="D17" i="86" s="1"/>
  <c r="D18" i="86" s="1"/>
  <c r="D20" i="86" s="1"/>
  <c r="D24" i="86" s="1"/>
  <c r="K7" i="86" s="1"/>
  <c r="S27" i="74"/>
  <c r="S23" i="74"/>
  <c r="S25" i="74"/>
  <c r="S24" i="74"/>
  <c r="S26" i="74"/>
  <c r="F46" i="82"/>
  <c r="F51" i="82"/>
  <c r="H51" i="82"/>
  <c r="H46" i="82"/>
  <c r="E46" i="82"/>
  <c r="E51" i="82"/>
  <c r="D942" i="99"/>
  <c r="S922" i="99"/>
  <c r="D46" i="82"/>
  <c r="D51" i="82"/>
  <c r="C46" i="82"/>
  <c r="C51" i="82"/>
  <c r="S22" i="74"/>
  <c r="S921" i="99"/>
  <c r="G51" i="82"/>
  <c r="G46" i="82"/>
  <c r="D948" i="99"/>
  <c r="K34" i="74"/>
  <c r="K38" i="74"/>
  <c r="H30" i="86"/>
  <c r="E72" i="74"/>
  <c r="E967" i="99" s="1"/>
  <c r="J51" i="82"/>
  <c r="S29" i="74"/>
  <c r="D29" i="86"/>
  <c r="D37" i="86" s="1"/>
  <c r="D38" i="86" s="1"/>
  <c r="D40" i="86" s="1"/>
  <c r="D44" i="86" s="1"/>
  <c r="K14" i="86" s="1"/>
  <c r="C52" i="74"/>
  <c r="E73" i="82"/>
  <c r="F63" i="74"/>
  <c r="F958" i="99" s="1"/>
  <c r="D49" i="74"/>
  <c r="D944" i="99" s="1"/>
  <c r="B57" i="74"/>
  <c r="K44" i="82"/>
  <c r="K33" i="74"/>
  <c r="E47" i="74"/>
  <c r="E56" i="74"/>
  <c r="E951" i="99" s="1"/>
  <c r="F46" i="74"/>
  <c r="E48" i="74"/>
  <c r="E943" i="99" s="1"/>
  <c r="E53" i="74"/>
  <c r="E55" i="74"/>
  <c r="E950" i="99" s="1"/>
  <c r="H33" i="86"/>
  <c r="B960" i="99" l="1"/>
  <c r="S926" i="99" s="1"/>
  <c r="B961" i="99"/>
  <c r="D947" i="99"/>
  <c r="C71" i="74"/>
  <c r="C966" i="99" s="1"/>
  <c r="C960" i="99"/>
  <c r="C965" i="99"/>
  <c r="C961" i="99"/>
  <c r="D54" i="74"/>
  <c r="E942" i="99"/>
  <c r="E948" i="99"/>
  <c r="B66" i="74"/>
  <c r="B70" i="74"/>
  <c r="I30" i="86"/>
  <c r="F72" i="74"/>
  <c r="F967" i="99" s="1"/>
  <c r="C57" i="74"/>
  <c r="D52" i="74"/>
  <c r="F56" i="74"/>
  <c r="F951" i="99" s="1"/>
  <c r="F48" i="74"/>
  <c r="F943" i="99" s="1"/>
  <c r="F47" i="74"/>
  <c r="G46" i="74"/>
  <c r="F53" i="74"/>
  <c r="F55" i="74"/>
  <c r="F950" i="99" s="1"/>
  <c r="E49" i="74"/>
  <c r="E944" i="99" s="1"/>
  <c r="E29" i="86"/>
  <c r="S30" i="74"/>
  <c r="F73" i="82"/>
  <c r="G63" i="74"/>
  <c r="G958" i="99" s="1"/>
  <c r="K51" i="82"/>
  <c r="K46" i="82"/>
  <c r="B25" i="82" s="1"/>
  <c r="I33" i="86"/>
  <c r="B64" i="82"/>
  <c r="B65" i="74"/>
  <c r="S927" i="99" l="1"/>
  <c r="E947" i="99"/>
  <c r="F942" i="99"/>
  <c r="E54" i="74"/>
  <c r="D949" i="99"/>
  <c r="D952" i="99" s="1"/>
  <c r="D960" i="99" s="1"/>
  <c r="S928" i="99" s="1"/>
  <c r="D71" i="74"/>
  <c r="D966" i="99" s="1"/>
  <c r="F948" i="99"/>
  <c r="C70" i="74"/>
  <c r="C66" i="74"/>
  <c r="C50" i="86"/>
  <c r="G72" i="74"/>
  <c r="G967" i="99" s="1"/>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944" i="99" s="1"/>
  <c r="S31" i="74"/>
  <c r="F29" i="86"/>
  <c r="H63" i="74"/>
  <c r="H958" i="99" s="1"/>
  <c r="G73" i="82"/>
  <c r="B66" i="82"/>
  <c r="B71" i="82"/>
  <c r="C53" i="86"/>
  <c r="D57" i="74"/>
  <c r="G56" i="74"/>
  <c r="G951" i="99" s="1"/>
  <c r="G48" i="74"/>
  <c r="G943" i="99" s="1"/>
  <c r="H46" i="74"/>
  <c r="G47" i="74"/>
  <c r="G53" i="74"/>
  <c r="G55" i="74"/>
  <c r="G950" i="99" s="1"/>
  <c r="F947" i="99" l="1"/>
  <c r="D965" i="99"/>
  <c r="D961" i="99"/>
  <c r="G942" i="99"/>
  <c r="E949" i="99"/>
  <c r="E952" i="99" s="1"/>
  <c r="E71" i="74"/>
  <c r="E966" i="99" s="1"/>
  <c r="F54" i="74"/>
  <c r="G948" i="99"/>
  <c r="D66" i="74"/>
  <c r="D70" i="74"/>
  <c r="D50" i="86"/>
  <c r="H72" i="74"/>
  <c r="H967" i="99"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958" i="99" s="1"/>
  <c r="K55" i="82"/>
  <c r="K56" i="82" s="1"/>
  <c r="I55" i="82"/>
  <c r="I56" i="82" s="1"/>
  <c r="G55" i="82"/>
  <c r="G56" i="82" s="1"/>
  <c r="H56" i="74"/>
  <c r="H951" i="99" s="1"/>
  <c r="H47" i="74"/>
  <c r="H48" i="74"/>
  <c r="H943" i="99" s="1"/>
  <c r="I46" i="74"/>
  <c r="H53" i="74"/>
  <c r="H55" i="74"/>
  <c r="H950" i="99" s="1"/>
  <c r="D53" i="86"/>
  <c r="F52" i="74"/>
  <c r="F55" i="82"/>
  <c r="F56" i="82" s="1"/>
  <c r="D55" i="82"/>
  <c r="D56" i="82" s="1"/>
  <c r="H55" i="82"/>
  <c r="H56" i="82" s="1"/>
  <c r="C55" i="82"/>
  <c r="C56" i="82" s="1"/>
  <c r="F37" i="86"/>
  <c r="F38" i="86" s="1"/>
  <c r="F40" i="86" s="1"/>
  <c r="F44" i="86" s="1"/>
  <c r="K16" i="86" s="1"/>
  <c r="E55" i="82"/>
  <c r="E56" i="82" s="1"/>
  <c r="G49" i="74"/>
  <c r="G944" i="99" s="1"/>
  <c r="D65" i="74"/>
  <c r="D64" i="82"/>
  <c r="G947" i="99" l="1"/>
  <c r="H942" i="99"/>
  <c r="F949" i="99"/>
  <c r="F952" i="99" s="1"/>
  <c r="F71" i="74"/>
  <c r="F966" i="99" s="1"/>
  <c r="E960" i="99"/>
  <c r="S929" i="99" s="1"/>
  <c r="E961" i="99"/>
  <c r="E965" i="99"/>
  <c r="G54" i="74"/>
  <c r="H948" i="99"/>
  <c r="E66" i="74"/>
  <c r="E70" i="74"/>
  <c r="D57" i="86"/>
  <c r="D58" i="86" s="1"/>
  <c r="D60" i="86" s="1"/>
  <c r="D64" i="86" s="1"/>
  <c r="K21" i="86" s="1"/>
  <c r="E50" i="86"/>
  <c r="I72" i="74"/>
  <c r="I967" i="99" s="1"/>
  <c r="E64" i="82"/>
  <c r="E71" i="82" s="1"/>
  <c r="E74" i="82" s="1"/>
  <c r="E65" i="74"/>
  <c r="B76" i="82"/>
  <c r="E53" i="86"/>
  <c r="H29" i="86"/>
  <c r="S33" i="74"/>
  <c r="J46" i="74"/>
  <c r="I56" i="74"/>
  <c r="I951" i="99" s="1"/>
  <c r="I47" i="74"/>
  <c r="I48" i="74"/>
  <c r="I943" i="99" s="1"/>
  <c r="I53" i="74"/>
  <c r="I55" i="74"/>
  <c r="I950" i="99" s="1"/>
  <c r="D71" i="82"/>
  <c r="D74" i="82" s="1"/>
  <c r="D66" i="82"/>
  <c r="B29" i="82"/>
  <c r="G21" i="82"/>
  <c r="G52" i="74"/>
  <c r="H49" i="74"/>
  <c r="H944" i="99" s="1"/>
  <c r="J63" i="74"/>
  <c r="J958" i="99" s="1"/>
  <c r="I73" i="82"/>
  <c r="F57" i="74"/>
  <c r="H947" i="99" l="1"/>
  <c r="H54" i="74"/>
  <c r="H949" i="99" s="1"/>
  <c r="I942" i="99"/>
  <c r="F960" i="99"/>
  <c r="S930" i="99" s="1"/>
  <c r="F965" i="99"/>
  <c r="F961" i="99"/>
  <c r="G949" i="99"/>
  <c r="G952" i="99" s="1"/>
  <c r="G71" i="74"/>
  <c r="G966" i="99" s="1"/>
  <c r="I948" i="99"/>
  <c r="F66" i="74"/>
  <c r="F70" i="74"/>
  <c r="E57" i="86"/>
  <c r="E58" i="86" s="1"/>
  <c r="E60" i="86" s="1"/>
  <c r="E64" i="86" s="1"/>
  <c r="K22" i="86" s="1"/>
  <c r="F50" i="86"/>
  <c r="J72" i="74"/>
  <c r="J967" i="99" s="1"/>
  <c r="E66" i="82"/>
  <c r="S34" i="74"/>
  <c r="I29" i="86"/>
  <c r="I37" i="86" s="1"/>
  <c r="I38" i="86" s="1"/>
  <c r="I40" i="86" s="1"/>
  <c r="I44" i="86" s="1"/>
  <c r="K19" i="86" s="1"/>
  <c r="J48" i="74"/>
  <c r="J943" i="99" s="1"/>
  <c r="K46" i="74"/>
  <c r="J56" i="74"/>
  <c r="J951" i="99" s="1"/>
  <c r="J47" i="74"/>
  <c r="J53" i="74"/>
  <c r="J55" i="74"/>
  <c r="J950" i="99" s="1"/>
  <c r="H37" i="86"/>
  <c r="H38" i="86" s="1"/>
  <c r="H40" i="86" s="1"/>
  <c r="H44" i="86" s="1"/>
  <c r="K18" i="86" s="1"/>
  <c r="G57" i="74"/>
  <c r="F65" i="74"/>
  <c r="F64" i="82"/>
  <c r="I49" i="74"/>
  <c r="I944" i="99" s="1"/>
  <c r="J73" i="82"/>
  <c r="K63" i="74"/>
  <c r="K958" i="99" s="1"/>
  <c r="D75" i="82"/>
  <c r="D76" i="82" s="1"/>
  <c r="E75" i="82"/>
  <c r="E76" i="82" s="1"/>
  <c r="H52" i="74"/>
  <c r="F53" i="86"/>
  <c r="H952" i="99" l="1"/>
  <c r="H960" i="99" s="1"/>
  <c r="I947" i="99"/>
  <c r="H71" i="74"/>
  <c r="H966" i="99" s="1"/>
  <c r="I54" i="74"/>
  <c r="I949" i="99" s="1"/>
  <c r="G960" i="99"/>
  <c r="G965" i="99"/>
  <c r="G961" i="99"/>
  <c r="J942" i="99"/>
  <c r="J948" i="99"/>
  <c r="G66" i="74"/>
  <c r="G70" i="74"/>
  <c r="F57" i="86"/>
  <c r="F58" i="86" s="1"/>
  <c r="F60" i="86" s="1"/>
  <c r="F64" i="86" s="1"/>
  <c r="K23" i="86" s="1"/>
  <c r="G50" i="86"/>
  <c r="K72" i="74"/>
  <c r="K967" i="99" s="1"/>
  <c r="I52" i="74"/>
  <c r="F66" i="82"/>
  <c r="F71" i="82"/>
  <c r="F74" i="82" s="1"/>
  <c r="G53" i="86"/>
  <c r="G64" i="82"/>
  <c r="G65" i="74"/>
  <c r="J49" i="74"/>
  <c r="J944" i="99" s="1"/>
  <c r="C49" i="86"/>
  <c r="S35" i="74"/>
  <c r="K73" i="82"/>
  <c r="B95" i="74"/>
  <c r="B990" i="99" s="1"/>
  <c r="B78" i="74"/>
  <c r="K56" i="74"/>
  <c r="K951" i="99" s="1"/>
  <c r="K47" i="74"/>
  <c r="K48" i="74"/>
  <c r="K943" i="99" s="1"/>
  <c r="K53" i="74"/>
  <c r="K55" i="74"/>
  <c r="K950" i="99" s="1"/>
  <c r="H57" i="74"/>
  <c r="H965" i="99" l="1"/>
  <c r="H961" i="99"/>
  <c r="I952" i="99"/>
  <c r="I965" i="99" s="1"/>
  <c r="J947" i="99"/>
  <c r="I71" i="74"/>
  <c r="I966" i="99" s="1"/>
  <c r="K942" i="99"/>
  <c r="J54" i="74"/>
  <c r="S931" i="99"/>
  <c r="S932" i="99"/>
  <c r="K948" i="99"/>
  <c r="H70" i="74"/>
  <c r="H66" i="74"/>
  <c r="G57" i="86"/>
  <c r="G58" i="86" s="1"/>
  <c r="G60" i="86" s="1"/>
  <c r="G64" i="86" s="1"/>
  <c r="K24" i="86" s="1"/>
  <c r="B103" i="74"/>
  <c r="B998" i="99" s="1"/>
  <c r="L100" i="85"/>
  <c r="O8" i="86"/>
  <c r="O14" i="86" s="1"/>
  <c r="O33" i="86" s="1"/>
  <c r="H63" i="86" s="1"/>
  <c r="L70" i="85"/>
  <c r="H50" i="86"/>
  <c r="F47" i="68"/>
  <c r="F289" i="99" s="1"/>
  <c r="I57" i="74"/>
  <c r="J52" i="74"/>
  <c r="C57" i="86"/>
  <c r="C58" i="86" s="1"/>
  <c r="C60" i="86" s="1"/>
  <c r="C64" i="86" s="1"/>
  <c r="K20" i="86" s="1"/>
  <c r="F75" i="82"/>
  <c r="F76" i="82" s="1"/>
  <c r="B88" i="74"/>
  <c r="B983" i="99" s="1"/>
  <c r="B79" i="74"/>
  <c r="B80" i="74"/>
  <c r="B975" i="99" s="1"/>
  <c r="C78" i="74"/>
  <c r="B85" i="74"/>
  <c r="B87" i="74"/>
  <c r="B982" i="99" s="1"/>
  <c r="S36" i="74"/>
  <c r="H64" i="82"/>
  <c r="H65" i="74"/>
  <c r="H53" i="86"/>
  <c r="G66" i="82"/>
  <c r="G71" i="82"/>
  <c r="G74" i="82" s="1"/>
  <c r="K49" i="74"/>
  <c r="K944" i="99" s="1"/>
  <c r="C95" i="74"/>
  <c r="C990" i="99" s="1"/>
  <c r="I961" i="99" l="1"/>
  <c r="I960" i="99"/>
  <c r="S933" i="99" s="1"/>
  <c r="K947" i="99"/>
  <c r="J949" i="99"/>
  <c r="J952" i="99" s="1"/>
  <c r="J71" i="74"/>
  <c r="J966" i="99" s="1"/>
  <c r="B974" i="99"/>
  <c r="K54" i="74"/>
  <c r="B980" i="99"/>
  <c r="I66" i="74"/>
  <c r="I70" i="74"/>
  <c r="H57" i="86"/>
  <c r="H58" i="86" s="1"/>
  <c r="H60" i="86" s="1"/>
  <c r="H64" i="86" s="1"/>
  <c r="K25" i="86" s="1"/>
  <c r="C86" i="90"/>
  <c r="F61" i="89"/>
  <c r="C103" i="74"/>
  <c r="C998" i="99" s="1"/>
  <c r="I65" i="74"/>
  <c r="L47" i="68"/>
  <c r="L289" i="99" s="1"/>
  <c r="J57" i="74"/>
  <c r="I64" i="82"/>
  <c r="I66" i="82" s="1"/>
  <c r="K52" i="74"/>
  <c r="B81" i="74"/>
  <c r="B976" i="99" s="1"/>
  <c r="S37" i="74"/>
  <c r="D95" i="74"/>
  <c r="D990" i="99" s="1"/>
  <c r="H66" i="82"/>
  <c r="H71" i="82"/>
  <c r="H74" i="82" s="1"/>
  <c r="C79" i="74"/>
  <c r="D78" i="74"/>
  <c r="C88" i="74"/>
  <c r="C983" i="99" s="1"/>
  <c r="C80" i="74"/>
  <c r="C975" i="99" s="1"/>
  <c r="C85" i="74"/>
  <c r="C87" i="74"/>
  <c r="C982" i="99" s="1"/>
  <c r="G75" i="82"/>
  <c r="G76" i="82" s="1"/>
  <c r="B979" i="99" l="1"/>
  <c r="K949" i="99"/>
  <c r="K952" i="99" s="1"/>
  <c r="K71" i="74"/>
  <c r="K966" i="99" s="1"/>
  <c r="B86" i="74"/>
  <c r="C974" i="99"/>
  <c r="J960" i="99"/>
  <c r="S934" i="99" s="1"/>
  <c r="J965" i="99"/>
  <c r="J961" i="99"/>
  <c r="C980" i="99"/>
  <c r="J66" i="74"/>
  <c r="J70" i="74"/>
  <c r="D103" i="74"/>
  <c r="D998" i="99" s="1"/>
  <c r="I71" i="82"/>
  <c r="I74" i="82" s="1"/>
  <c r="I75" i="82" s="1"/>
  <c r="I76" i="82" s="1"/>
  <c r="J65" i="74"/>
  <c r="F85" i="92"/>
  <c r="F89" i="92" s="1"/>
  <c r="F105" i="92" s="1"/>
  <c r="S38" i="74"/>
  <c r="J64" i="82"/>
  <c r="J66" i="82" s="1"/>
  <c r="E78" i="74"/>
  <c r="D79" i="74"/>
  <c r="D80" i="74"/>
  <c r="D975" i="99" s="1"/>
  <c r="D88" i="74"/>
  <c r="D983" i="99" s="1"/>
  <c r="D85" i="74"/>
  <c r="D87" i="74"/>
  <c r="D982" i="99" s="1"/>
  <c r="C81" i="74"/>
  <c r="C976" i="99" s="1"/>
  <c r="C979" i="99" s="1"/>
  <c r="E95" i="74"/>
  <c r="E990" i="99" s="1"/>
  <c r="B84" i="74"/>
  <c r="H75" i="82"/>
  <c r="H76" i="82" s="1"/>
  <c r="K57" i="74"/>
  <c r="C86" i="74" l="1"/>
  <c r="B981" i="99"/>
  <c r="B102" i="74"/>
  <c r="K960" i="99"/>
  <c r="S935" i="99" s="1"/>
  <c r="K965" i="99"/>
  <c r="K961" i="99"/>
  <c r="D974" i="99"/>
  <c r="D980" i="99"/>
  <c r="K70" i="74"/>
  <c r="K66" i="74"/>
  <c r="E103" i="74"/>
  <c r="E998" i="99" s="1"/>
  <c r="S39" i="74"/>
  <c r="J71" i="82"/>
  <c r="J74" i="82" s="1"/>
  <c r="J75" i="82" s="1"/>
  <c r="J76" i="82" s="1"/>
  <c r="C84" i="74"/>
  <c r="F95" i="74"/>
  <c r="F990" i="99" s="1"/>
  <c r="K65" i="74"/>
  <c r="K64" i="82"/>
  <c r="D81" i="74"/>
  <c r="D976" i="99" s="1"/>
  <c r="F78" i="74"/>
  <c r="E88" i="74"/>
  <c r="E983" i="99" s="1"/>
  <c r="E79" i="74"/>
  <c r="E80" i="74"/>
  <c r="E975" i="99" s="1"/>
  <c r="E85" i="74"/>
  <c r="E87" i="74"/>
  <c r="E982" i="99" s="1"/>
  <c r="B89" i="74"/>
  <c r="D979" i="99" l="1"/>
  <c r="B984" i="99"/>
  <c r="B997" i="99"/>
  <c r="E974" i="99"/>
  <c r="D86" i="74"/>
  <c r="C981" i="99"/>
  <c r="C102" i="74"/>
  <c r="E980" i="99"/>
  <c r="B101" i="74"/>
  <c r="B97" i="74"/>
  <c r="F103" i="74"/>
  <c r="F998" i="99" s="1"/>
  <c r="B96" i="74"/>
  <c r="C89" i="74"/>
  <c r="D84" i="74"/>
  <c r="E81" i="74"/>
  <c r="E976" i="99" s="1"/>
  <c r="K71" i="82"/>
  <c r="K74" i="82" s="1"/>
  <c r="K66" i="82"/>
  <c r="F88" i="74"/>
  <c r="F983" i="99" s="1"/>
  <c r="G78" i="74"/>
  <c r="F80" i="74"/>
  <c r="F975" i="99" s="1"/>
  <c r="F79" i="74"/>
  <c r="F85" i="74"/>
  <c r="F87" i="74"/>
  <c r="F982" i="99" s="1"/>
  <c r="S40" i="74"/>
  <c r="G95" i="74"/>
  <c r="G990" i="99" s="1"/>
  <c r="E979" i="99" l="1"/>
  <c r="D981" i="99"/>
  <c r="D102" i="74"/>
  <c r="E86" i="74"/>
  <c r="F974" i="99"/>
  <c r="C997" i="99"/>
  <c r="C984" i="99"/>
  <c r="B991" i="99"/>
  <c r="B992" i="99"/>
  <c r="B996" i="99"/>
  <c r="F980" i="99"/>
  <c r="C97" i="74"/>
  <c r="C101" i="74"/>
  <c r="G103" i="74"/>
  <c r="G998" i="99" s="1"/>
  <c r="C96" i="74"/>
  <c r="E84" i="74"/>
  <c r="G79" i="74"/>
  <c r="G88" i="74"/>
  <c r="G983" i="99" s="1"/>
  <c r="G80" i="74"/>
  <c r="G975" i="99" s="1"/>
  <c r="H78" i="74"/>
  <c r="G85" i="74"/>
  <c r="G87" i="74"/>
  <c r="G982" i="99" s="1"/>
  <c r="K75" i="82"/>
  <c r="K76" i="82" s="1"/>
  <c r="H95" i="74"/>
  <c r="H990" i="99" s="1"/>
  <c r="F81" i="74"/>
  <c r="F976" i="99" s="1"/>
  <c r="D89" i="74"/>
  <c r="F86" i="74" l="1"/>
  <c r="F981" i="99" s="1"/>
  <c r="F997" i="99" s="1"/>
  <c r="F979" i="99"/>
  <c r="G974" i="99"/>
  <c r="E981" i="99"/>
  <c r="E102" i="74"/>
  <c r="C991" i="99"/>
  <c r="C992" i="99"/>
  <c r="C996" i="99"/>
  <c r="D984" i="99"/>
  <c r="D997" i="99"/>
  <c r="G980" i="99"/>
  <c r="D97" i="74"/>
  <c r="D101" i="74"/>
  <c r="H103" i="74"/>
  <c r="H998" i="99" s="1"/>
  <c r="D96" i="74"/>
  <c r="E89" i="74"/>
  <c r="F84" i="74"/>
  <c r="H88" i="74"/>
  <c r="H983" i="99" s="1"/>
  <c r="H80" i="74"/>
  <c r="H975" i="99" s="1"/>
  <c r="H79" i="74"/>
  <c r="I78" i="74"/>
  <c r="H85" i="74"/>
  <c r="H87" i="74"/>
  <c r="H982" i="99" s="1"/>
  <c r="G81" i="74"/>
  <c r="G976" i="99" s="1"/>
  <c r="I95" i="74"/>
  <c r="I990" i="99" s="1"/>
  <c r="F102" i="74" l="1"/>
  <c r="F984" i="99"/>
  <c r="F992" i="99" s="1"/>
  <c r="G979" i="99"/>
  <c r="H974" i="99"/>
  <c r="E984" i="99"/>
  <c r="E997" i="99"/>
  <c r="D996" i="99"/>
  <c r="D992" i="99"/>
  <c r="D991" i="99"/>
  <c r="G86" i="74"/>
  <c r="H980" i="99"/>
  <c r="E97" i="74"/>
  <c r="E101" i="74"/>
  <c r="I103" i="74"/>
  <c r="I998" i="99" s="1"/>
  <c r="E96" i="74"/>
  <c r="F89" i="74"/>
  <c r="G84" i="74"/>
  <c r="I88" i="74"/>
  <c r="I983" i="99" s="1"/>
  <c r="I79" i="74"/>
  <c r="J78" i="74"/>
  <c r="I80" i="74"/>
  <c r="I975" i="99" s="1"/>
  <c r="I85" i="74"/>
  <c r="I87" i="74"/>
  <c r="I982" i="99" s="1"/>
  <c r="H81" i="74"/>
  <c r="H976" i="99" s="1"/>
  <c r="J95" i="74"/>
  <c r="J990" i="99" s="1"/>
  <c r="F996" i="99" l="1"/>
  <c r="F991" i="99"/>
  <c r="H979" i="99"/>
  <c r="E991" i="99"/>
  <c r="E992" i="99"/>
  <c r="E996" i="99"/>
  <c r="I974" i="99"/>
  <c r="H86" i="74"/>
  <c r="G981" i="99"/>
  <c r="G102" i="74"/>
  <c r="I980" i="99"/>
  <c r="F97" i="74"/>
  <c r="F101" i="74"/>
  <c r="J103" i="74"/>
  <c r="J998" i="99" s="1"/>
  <c r="F96" i="74"/>
  <c r="J80" i="74"/>
  <c r="J975" i="99" s="1"/>
  <c r="K78" i="74"/>
  <c r="J79" i="74"/>
  <c r="J88" i="74"/>
  <c r="J983" i="99" s="1"/>
  <c r="J85" i="74"/>
  <c r="J87" i="74"/>
  <c r="J982" i="99" s="1"/>
  <c r="I81" i="74"/>
  <c r="I976" i="99" s="1"/>
  <c r="K95" i="74"/>
  <c r="K990" i="99" s="1"/>
  <c r="G89" i="74"/>
  <c r="H84" i="74"/>
  <c r="I979" i="99" l="1"/>
  <c r="I86" i="74"/>
  <c r="I981" i="99" s="1"/>
  <c r="I997" i="99" s="1"/>
  <c r="J974" i="99"/>
  <c r="G984" i="99"/>
  <c r="G997" i="99"/>
  <c r="H981" i="99"/>
  <c r="H102" i="74"/>
  <c r="J980" i="99"/>
  <c r="G97" i="74"/>
  <c r="G101" i="74"/>
  <c r="K103" i="74"/>
  <c r="K998" i="99" s="1"/>
  <c r="G96" i="74"/>
  <c r="H89" i="74"/>
  <c r="J81" i="74"/>
  <c r="J976" i="99" s="1"/>
  <c r="B125" i="74"/>
  <c r="B1020" i="99" s="1"/>
  <c r="K80" i="74"/>
  <c r="K975" i="99" s="1"/>
  <c r="B108" i="74"/>
  <c r="K88" i="74"/>
  <c r="K983" i="99" s="1"/>
  <c r="K79" i="74"/>
  <c r="K85" i="74"/>
  <c r="K87" i="74"/>
  <c r="K982" i="99" s="1"/>
  <c r="I84" i="74"/>
  <c r="J979" i="99" l="1"/>
  <c r="I984" i="99"/>
  <c r="I991" i="99" s="1"/>
  <c r="I102" i="74"/>
  <c r="K974" i="99"/>
  <c r="H984" i="99"/>
  <c r="H997" i="99"/>
  <c r="G991" i="99"/>
  <c r="G992" i="99"/>
  <c r="G996" i="99"/>
  <c r="J86" i="74"/>
  <c r="K980" i="99"/>
  <c r="H97" i="74"/>
  <c r="H101" i="74"/>
  <c r="B133" i="74"/>
  <c r="B1028" i="99" s="1"/>
  <c r="H96" i="74"/>
  <c r="J84" i="74"/>
  <c r="K81" i="74"/>
  <c r="K976" i="99" s="1"/>
  <c r="C125" i="74"/>
  <c r="C1020" i="99" s="1"/>
  <c r="I89" i="74"/>
  <c r="B109" i="74"/>
  <c r="C108" i="74"/>
  <c r="B110" i="74"/>
  <c r="B1005" i="99" s="1"/>
  <c r="B118" i="74"/>
  <c r="B1013" i="99" s="1"/>
  <c r="B115" i="74"/>
  <c r="B117" i="74"/>
  <c r="B1012" i="99" s="1"/>
  <c r="I992" i="99" l="1"/>
  <c r="I996" i="99"/>
  <c r="K979" i="99"/>
  <c r="B1004" i="99"/>
  <c r="H996" i="99"/>
  <c r="H991" i="99"/>
  <c r="H992" i="99"/>
  <c r="K86" i="74"/>
  <c r="J981" i="99"/>
  <c r="J102" i="74"/>
  <c r="B1010" i="99"/>
  <c r="I97" i="74"/>
  <c r="I101" i="74"/>
  <c r="C133" i="74"/>
  <c r="C1028" i="99" s="1"/>
  <c r="I96" i="74"/>
  <c r="J89" i="74"/>
  <c r="K84" i="74"/>
  <c r="D108" i="74"/>
  <c r="C109" i="74"/>
  <c r="C118" i="74"/>
  <c r="C1013" i="99" s="1"/>
  <c r="C110" i="74"/>
  <c r="C1005" i="99" s="1"/>
  <c r="C115" i="74"/>
  <c r="C117" i="74"/>
  <c r="C1012" i="99" s="1"/>
  <c r="D125" i="74"/>
  <c r="D1020" i="99" s="1"/>
  <c r="B111" i="74"/>
  <c r="B1006" i="99" s="1"/>
  <c r="B1009" i="99" l="1"/>
  <c r="K981" i="99"/>
  <c r="K102" i="74"/>
  <c r="C1004" i="99"/>
  <c r="J984" i="99"/>
  <c r="J997" i="99"/>
  <c r="B116" i="74"/>
  <c r="C1010" i="99"/>
  <c r="J101" i="74"/>
  <c r="J97" i="74"/>
  <c r="D133" i="74"/>
  <c r="D1028" i="99" s="1"/>
  <c r="K89" i="74"/>
  <c r="J96" i="74"/>
  <c r="B114" i="74"/>
  <c r="C111" i="74"/>
  <c r="C1006" i="99" s="1"/>
  <c r="C1009" i="99" s="1"/>
  <c r="E125" i="74"/>
  <c r="E1020" i="99" s="1"/>
  <c r="D118" i="74"/>
  <c r="D1013" i="99" s="1"/>
  <c r="D109" i="74"/>
  <c r="E108" i="74"/>
  <c r="D110" i="74"/>
  <c r="D1005" i="99" s="1"/>
  <c r="D115" i="74"/>
  <c r="D117" i="74"/>
  <c r="D1012" i="99" s="1"/>
  <c r="B1011" i="99" l="1"/>
  <c r="B132" i="74"/>
  <c r="J992" i="99"/>
  <c r="J991" i="99"/>
  <c r="J996" i="99"/>
  <c r="D1004" i="99"/>
  <c r="C116" i="74"/>
  <c r="K997" i="99"/>
  <c r="K984" i="99"/>
  <c r="D1010" i="99"/>
  <c r="K97" i="74"/>
  <c r="K101" i="74"/>
  <c r="E133" i="74"/>
  <c r="E1028" i="99" s="1"/>
  <c r="K96" i="74"/>
  <c r="B119" i="74"/>
  <c r="C114" i="74"/>
  <c r="F125" i="74"/>
  <c r="F1020" i="99" s="1"/>
  <c r="F108" i="74"/>
  <c r="E109" i="74"/>
  <c r="E118" i="74"/>
  <c r="E1013" i="99" s="1"/>
  <c r="E110" i="74"/>
  <c r="E1005" i="99" s="1"/>
  <c r="E115" i="74"/>
  <c r="E117" i="74"/>
  <c r="E1012" i="99" s="1"/>
  <c r="D111" i="74"/>
  <c r="D1006" i="99" s="1"/>
  <c r="D1009" i="99" l="1"/>
  <c r="D116" i="74"/>
  <c r="K996" i="99"/>
  <c r="K991" i="99"/>
  <c r="K992" i="99"/>
  <c r="C1011" i="99"/>
  <c r="C132" i="74"/>
  <c r="E1004" i="99"/>
  <c r="B1014" i="99"/>
  <c r="B1027" i="99"/>
  <c r="E1010" i="99"/>
  <c r="B127" i="74"/>
  <c r="B131" i="74"/>
  <c r="F133" i="74"/>
  <c r="F1028" i="99" s="1"/>
  <c r="B126" i="74"/>
  <c r="C119" i="74"/>
  <c r="E111" i="74"/>
  <c r="E1006" i="99" s="1"/>
  <c r="F118" i="74"/>
  <c r="F1013" i="99" s="1"/>
  <c r="F110" i="74"/>
  <c r="F1005" i="99" s="1"/>
  <c r="F109" i="74"/>
  <c r="F115" i="74"/>
  <c r="F117" i="74"/>
  <c r="F1012" i="99" s="1"/>
  <c r="D114" i="74"/>
  <c r="E116" i="74" l="1"/>
  <c r="E1011" i="99" s="1"/>
  <c r="E1027" i="99" s="1"/>
  <c r="C1027" i="99"/>
  <c r="C1014" i="99"/>
  <c r="F1004" i="99"/>
  <c r="E1009" i="99"/>
  <c r="B1021" i="99"/>
  <c r="B1022" i="99"/>
  <c r="B1026" i="99"/>
  <c r="D1011" i="99"/>
  <c r="D132" i="74"/>
  <c r="F1010" i="99"/>
  <c r="C127" i="74"/>
  <c r="C131" i="74"/>
  <c r="C126" i="74"/>
  <c r="E114" i="74"/>
  <c r="F111" i="74"/>
  <c r="F1006" i="99" s="1"/>
  <c r="D119" i="74"/>
  <c r="E132" i="74" l="1"/>
  <c r="E1014" i="99"/>
  <c r="E1026" i="99" s="1"/>
  <c r="F1009" i="99"/>
  <c r="F116" i="74"/>
  <c r="D1027" i="99"/>
  <c r="D1014" i="99"/>
  <c r="C1021" i="99"/>
  <c r="C1026" i="99"/>
  <c r="C1022" i="99"/>
  <c r="D127" i="74"/>
  <c r="D131" i="74"/>
  <c r="D126" i="74"/>
  <c r="E119" i="74"/>
  <c r="F114" i="74"/>
  <c r="E1022" i="99" l="1"/>
  <c r="E1021" i="99"/>
  <c r="D1022" i="99"/>
  <c r="D1026" i="99"/>
  <c r="D1021" i="99"/>
  <c r="F1011" i="99"/>
  <c r="F132" i="74"/>
  <c r="E131" i="74"/>
  <c r="E127" i="74"/>
  <c r="E126" i="74"/>
  <c r="F119" i="74"/>
  <c r="F1027" i="99" l="1"/>
  <c r="F1014" i="99"/>
  <c r="F127" i="74"/>
  <c r="F131" i="74"/>
  <c r="F126" i="74"/>
  <c r="F1021" i="99" l="1"/>
  <c r="F1022" i="99"/>
  <c r="F1026" i="99"/>
  <c r="E15" i="72"/>
  <c r="E20" i="72" l="1"/>
  <c r="E21" i="72" l="1"/>
  <c r="E16" i="72" l="1"/>
  <c r="P232" i="72"/>
  <c r="P441" i="72" s="1"/>
  <c r="P1723" i="99" l="1"/>
  <c r="O6" i="72"/>
  <c r="L232" i="72"/>
  <c r="L190" i="72"/>
  <c r="AE44" i="72"/>
  <c r="AE62" i="72" s="1"/>
  <c r="AD44" i="72"/>
  <c r="AD62" i="72" s="1"/>
  <c r="Y44" i="72"/>
  <c r="Y62" i="72" s="1"/>
  <c r="X44" i="72"/>
  <c r="X62" i="72" s="1"/>
  <c r="P6" i="72"/>
  <c r="E19" i="72"/>
  <c r="AD1535" i="99" l="1"/>
  <c r="AD1553" i="99" s="1"/>
  <c r="AE1535" i="99"/>
  <c r="AE1553" i="99" s="1"/>
  <c r="P1932" i="99"/>
  <c r="P1497" i="99" s="1"/>
  <c r="G57" i="98"/>
  <c r="L57" i="98"/>
  <c r="L63" i="98"/>
  <c r="G63" i="98"/>
  <c r="G59" i="98"/>
  <c r="L59" i="98"/>
  <c r="L73" i="98"/>
  <c r="G73" i="98"/>
  <c r="L71" i="98"/>
  <c r="G71" i="98"/>
  <c r="G52" i="98"/>
  <c r="L52" i="98"/>
  <c r="L50" i="98"/>
  <c r="G50" i="98"/>
  <c r="G70" i="98"/>
  <c r="L70" i="98"/>
  <c r="G60" i="98"/>
  <c r="L60" i="98"/>
  <c r="G53" i="98"/>
  <c r="L53" i="98"/>
  <c r="G49" i="98"/>
  <c r="L49" i="98"/>
  <c r="G56" i="98"/>
  <c r="L56" i="98"/>
  <c r="G51" i="98"/>
  <c r="L51" i="98"/>
  <c r="L72" i="98"/>
  <c r="G72" i="98"/>
  <c r="L65" i="98"/>
  <c r="G65" i="98"/>
  <c r="I65" i="98"/>
  <c r="L64" i="98"/>
  <c r="G64" i="98"/>
  <c r="I64" i="98"/>
  <c r="I68" i="98"/>
  <c r="H77" i="98"/>
  <c r="P71" i="98"/>
  <c r="L74" i="98"/>
  <c r="G74" i="98"/>
  <c r="L67" i="98"/>
  <c r="G67" i="98"/>
  <c r="I67" i="98"/>
  <c r="L66" i="98"/>
  <c r="G66" i="98"/>
  <c r="I66" i="98"/>
  <c r="G58" i="98"/>
  <c r="L58" i="9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<sst xmlns="http://schemas.openxmlformats.org/spreadsheetml/2006/main" count="19585" uniqueCount="7018">
  <si>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</si>
  <si>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</si>
  <si>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</si>
  <si>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</si>
  <si>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</si>
  <si>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</si>
  <si>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</si>
  <si>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</si>
  <si>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</si>
  <si>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</si>
  <si>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</si>
  <si>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</si>
  <si>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</si>
  <si>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</si>
  <si>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</si>
  <si>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</si>
  <si>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</si>
  <si>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</si>
  <si>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</si>
  <si>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</si>
  <si>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</si>
  <si>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</si>
  <si>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</si>
  <si>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</si>
  <si>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</si>
  <si>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</si>
  <si>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</si>
  <si>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</si>
  <si>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</si>
  <si>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</si>
  <si>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</si>
  <si>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</si>
  <si>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</si>
  <si>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</si>
  <si>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</si>
  <si>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</si>
  <si>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</si>
  <si>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</si>
  <si>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</si>
  <si>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</si>
  <si>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</si>
  <si>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</si>
  <si>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</si>
  <si>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</si>
  <si>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</si>
  <si>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</si>
  <si>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</si>
  <si>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</si>
  <si>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</si>
  <si>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</si>
  <si>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</si>
  <si>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</si>
  <si>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</si>
  <si>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</si>
  <si>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</si>
  <si>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</si>
  <si>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</si>
  <si>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</si>
  <si>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</si>
  <si>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</si>
  <si>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</si>
  <si>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</si>
  <si>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</si>
  <si>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</si>
  <si>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</si>
  <si>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</si>
  <si>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</si>
  <si>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</si>
  <si>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</si>
  <si>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</si>
  <si>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</si>
  <si>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</si>
  <si>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</si>
  <si>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</si>
  <si>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</si>
  <si>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</si>
  <si>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</si>
  <si>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</si>
  <si>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</si>
  <si>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</si>
  <si>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</si>
  <si>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</si>
  <si>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</si>
  <si>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</si>
  <si>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</si>
  <si>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</si>
  <si>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</si>
  <si>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</si>
  <si>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</si>
  <si>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</si>
  <si>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</si>
  <si>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</si>
  <si>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</si>
  <si>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</si>
  <si>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</si>
  <si>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</si>
  <si>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</si>
  <si>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</si>
  <si>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</si>
  <si>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</si>
  <si>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</si>
  <si>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</si>
  <si>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</si>
  <si>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</si>
  <si>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</si>
  <si>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</si>
  <si>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</si>
  <si>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</si>
  <si>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</si>
  <si>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</si>
  <si>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</si>
  <si>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</si>
  <si>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</si>
  <si>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</si>
  <si>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</si>
  <si>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</si>
  <si>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</si>
  <si>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</si>
  <si>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</si>
  <si>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</si>
  <si>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</si>
  <si>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</si>
  <si>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</si>
  <si>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</si>
  <si>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</si>
  <si>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</si>
  <si>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</si>
  <si>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</si>
  <si>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</si>
  <si>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</si>
  <si>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</si>
  <si>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</si>
  <si>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</si>
  <si>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</si>
  <si>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</si>
  <si>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</si>
  <si>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</si>
  <si>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</si>
  <si>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</si>
  <si>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</si>
  <si>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</si>
  <si>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</si>
  <si>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</si>
  <si>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</si>
  <si>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</si>
  <si>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</si>
  <si>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</si>
  <si>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</si>
  <si>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</si>
  <si>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</si>
  <si>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</si>
  <si>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</si>
  <si>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</si>
  <si>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</si>
  <si>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</si>
  <si>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</si>
  <si>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</si>
  <si>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</si>
  <si>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</si>
  <si>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</si>
  <si>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</si>
  <si>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</si>
  <si>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</si>
  <si>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</si>
  <si>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</si>
  <si>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</si>
  <si>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</si>
  <si>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</si>
  <si>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</si>
  <si>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</si>
  <si>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</si>
  <si>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</si>
  <si>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</si>
  <si>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</si>
  <si>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</si>
  <si>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</si>
  <si>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</si>
  <si>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</si>
  <si>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</si>
  <si>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</si>
  <si>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</si>
  <si>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</si>
  <si>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</si>
  <si>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</si>
  <si>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</si>
  <si>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</si>
  <si>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</si>
  <si>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</si>
  <si>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</si>
  <si>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</si>
  <si>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</si>
  <si>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</si>
  <si>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</si>
  <si>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</si>
  <si>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</si>
  <si>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</si>
  <si>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</si>
  <si>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</si>
  <si>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</si>
  <si>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</si>
  <si>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</si>
  <si>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</si>
  <si>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</si>
  <si>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</si>
  <si>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</si>
  <si>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</si>
  <si>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</si>
  <si>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</si>
  <si>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</si>
  <si>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</si>
  <si>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</si>
  <si>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</si>
  <si>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</si>
  <si>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</si>
  <si>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</si>
  <si>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</si>
  <si>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</si>
  <si>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</si>
  <si>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</si>
  <si>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</si>
  <si>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</si>
  <si>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</si>
  <si>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</si>
  <si>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</si>
  <si>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</si>
  <si>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</si>
  <si>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</si>
  <si>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</si>
  <si>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</si>
  <si>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</si>
  <si>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</si>
  <si>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</si>
  <si>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</si>
  <si>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</si>
  <si>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</si>
  <si>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</si>
  <si>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</si>
  <si>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</si>
  <si>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</si>
  <si>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</si>
  <si>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</si>
  <si>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</si>
  <si>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</si>
  <si>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</si>
  <si>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</si>
  <si>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</si>
  <si>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</si>
  <si>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</si>
  <si>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</si>
  <si>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</si>
  <si>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</si>
  <si>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</si>
  <si>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</si>
  <si>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</si>
  <si>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</si>
  <si>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</si>
  <si>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</si>
  <si>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</si>
  <si>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</si>
  <si>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</si>
  <si>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</si>
  <si>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</si>
  <si>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</si>
  <si>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</si>
  <si>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</si>
  <si>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</si>
  <si>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</si>
  <si>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</si>
  <si>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</si>
  <si>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</si>
  <si>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</si>
  <si>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</si>
  <si>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</si>
  <si>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</si>
  <si>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</si>
  <si>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</si>
  <si>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</si>
  <si>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</si>
  <si>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</si>
  <si>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</si>
  <si>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</si>
  <si>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</si>
  <si>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</si>
  <si>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</si>
  <si>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</si>
  <si>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</si>
  <si>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</si>
  <si>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</si>
  <si>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</si>
  <si>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</si>
  <si>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</si>
  <si>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</si>
  <si>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</si>
  <si>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</si>
  <si>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</si>
  <si>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</si>
  <si>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</si>
  <si>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</si>
  <si>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</si>
  <si>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</si>
  <si>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</si>
  <si>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</si>
  <si>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</si>
  <si>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</si>
  <si>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</si>
  <si>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</si>
  <si>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</si>
  <si>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</si>
  <si>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</si>
  <si>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</si>
  <si>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</si>
  <si>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</si>
  <si>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</si>
  <si>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</si>
  <si>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</si>
  <si>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</si>
  <si>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</si>
  <si>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</si>
  <si>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</si>
  <si>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</si>
  <si>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</si>
  <si>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</si>
  <si>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</si>
  <si>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</si>
  <si>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</si>
  <si>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</si>
  <si>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</si>
  <si>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</si>
  <si>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</si>
  <si>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</si>
  <si>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</si>
  <si>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</si>
  <si>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</si>
  <si>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</si>
  <si>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</si>
  <si>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</si>
  <si>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</si>
  <si>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</si>
  <si>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</si>
  <si>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</si>
  <si>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</si>
  <si>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</si>
  <si>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</si>
  <si>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</si>
  <si>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</si>
  <si>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</si>
  <si>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</si>
  <si>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</si>
  <si>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</si>
  <si>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</si>
  <si>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</si>
  <si>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</si>
  <si>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</si>
  <si>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</si>
  <si>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</si>
  <si>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</si>
  <si>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</si>
  <si>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</si>
  <si>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</si>
  <si>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</si>
  <si>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</si>
  <si>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</si>
  <si>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</si>
  <si>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</si>
  <si>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</si>
  <si>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</si>
  <si>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</si>
  <si>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</si>
  <si>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</si>
  <si>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</si>
  <si>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</si>
  <si>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</si>
  <si>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</si>
  <si>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</si>
  <si>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</si>
  <si>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</si>
  <si>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</si>
  <si>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</si>
  <si>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</si>
  <si>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</si>
  <si>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</si>
  <si>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</si>
  <si>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</si>
  <si>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</si>
  <si>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</si>
  <si>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</si>
  <si>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</si>
  <si>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</si>
  <si>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</si>
  <si>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</si>
  <si>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</si>
  <si>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</si>
  <si>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</si>
  <si>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</si>
  <si>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</si>
  <si>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</si>
  <si>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</si>
  <si>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</si>
  <si>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</si>
  <si>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</si>
  <si>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</si>
  <si>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</si>
  <si>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</si>
  <si>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</si>
  <si>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</si>
  <si>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</si>
  <si>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</si>
  <si>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</si>
  <si>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</si>
  <si>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</si>
  <si>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</si>
  <si>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</si>
  <si>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</si>
  <si>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</si>
  <si>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</si>
  <si>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</si>
  <si>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</si>
  <si>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</si>
  <si>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</si>
  <si>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</si>
  <si>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</si>
  <si>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</si>
  <si>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</si>
  <si>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</si>
  <si>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</si>
  <si>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</si>
  <si>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</si>
  <si>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</si>
  <si>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</si>
  <si>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</si>
  <si>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</si>
  <si>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</si>
  <si>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</si>
  <si>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</si>
  <si>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</si>
  <si>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</si>
  <si>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</si>
  <si>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</si>
  <si>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</si>
  <si>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</si>
  <si>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</si>
  <si>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</si>
  <si>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</si>
  <si>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</si>
  <si>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</si>
  <si>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</si>
  <si>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</si>
  <si>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</si>
  <si>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</si>
  <si>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</si>
  <si>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</si>
  <si>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</si>
  <si>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</si>
  <si>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</si>
  <si>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</si>
  <si>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</si>
  <si>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</si>
  <si>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</si>
  <si>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</si>
  <si>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</si>
  <si>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</si>
  <si>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</si>
  <si>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</si>
  <si>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</si>
  <si>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</si>
  <si>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</si>
  <si>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</si>
  <si>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</si>
  <si>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</si>
  <si>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</si>
  <si>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</si>
  <si>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</si>
  <si>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</si>
  <si>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</si>
  <si>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</si>
  <si>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</si>
  <si>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</si>
  <si>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</si>
  <si>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</si>
  <si>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</si>
  <si>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</si>
  <si>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</si>
  <si>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</si>
  <si>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</si>
  <si>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</si>
  <si>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</si>
  <si>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</si>
  <si>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</si>
  <si>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</si>
  <si>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</si>
  <si>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</si>
  <si>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</si>
  <si>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</si>
  <si>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</si>
  <si>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</si>
  <si>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</si>
  <si>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</si>
  <si>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</si>
  <si>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</si>
  <si>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</si>
  <si>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</si>
  <si>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</si>
  <si>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</si>
  <si>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</si>
  <si>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</si>
  <si>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</si>
  <si>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</si>
  <si>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</si>
  <si>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</si>
  <si>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</si>
  <si>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</si>
  <si>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</si>
  <si>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</si>
  <si>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</si>
  <si>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</si>
  <si>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</si>
  <si>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</si>
  <si>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</si>
  <si>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</si>
  <si>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</si>
  <si>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</si>
  <si>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</si>
  <si>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</si>
  <si>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</si>
  <si>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</si>
  <si>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</si>
  <si>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</si>
  <si>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</si>
  <si>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</si>
  <si>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</si>
  <si>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</si>
  <si>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</si>
  <si>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</si>
  <si>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</si>
  <si>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</si>
  <si>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</si>
  <si>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</si>
  <si>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</si>
  <si>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</si>
  <si>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</si>
  <si>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</si>
  <si>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</si>
  <si>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</si>
  <si>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</si>
  <si>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</si>
  <si>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</si>
  <si>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</si>
  <si>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</si>
  <si>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</si>
  <si>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</si>
  <si>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</si>
  <si>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</si>
  <si>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</si>
  <si>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</si>
  <si>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</si>
  <si>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</si>
  <si>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</si>
  <si>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</si>
  <si>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</si>
  <si>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</si>
  <si>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</si>
  <si>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</si>
  <si>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</si>
  <si>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</si>
  <si>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</si>
  <si>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</si>
  <si>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</si>
  <si>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</si>
  <si>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</si>
  <si>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</si>
  <si>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</si>
  <si>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</si>
  <si>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</si>
  <si>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</si>
  <si>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</si>
  <si>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</si>
  <si>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</si>
  <si>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</si>
  <si>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</si>
  <si>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</si>
  <si>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</si>
  <si>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</si>
  <si>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</si>
  <si>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</si>
  <si>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</si>
  <si>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</si>
  <si>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</si>
  <si>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</si>
  <si>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</si>
  <si>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</si>
  <si>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</si>
  <si>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</si>
  <si>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</si>
  <si>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</si>
  <si>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</si>
  <si>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</si>
  <si>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</si>
  <si>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</si>
  <si>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</si>
  <si>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</si>
  <si>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</si>
  <si>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</si>
  <si>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</si>
  <si>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</si>
  <si>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</si>
  <si>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</si>
  <si>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</si>
  <si>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</si>
  <si>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</si>
  <si>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</si>
  <si>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</si>
  <si>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</si>
  <si>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</si>
  <si>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</si>
  <si>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</si>
  <si>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</si>
  <si>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</si>
  <si>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</si>
  <si>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</si>
  <si>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</si>
  <si>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</si>
  <si>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</si>
  <si>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</si>
  <si>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</si>
  <si>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</si>
  <si>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</si>
  <si>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</si>
  <si>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</si>
  <si>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</si>
  <si>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</si>
  <si>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</si>
  <si>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</si>
  <si>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</si>
  <si>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</si>
  <si>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</si>
  <si>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</si>
  <si>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</si>
  <si>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</si>
  <si>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</si>
  <si>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</si>
  <si>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</si>
  <si>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</si>
  <si>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</si>
  <si>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</si>
  <si>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</si>
  <si>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</si>
  <si>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</si>
  <si>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</si>
  <si>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</si>
  <si>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</si>
  <si>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</si>
  <si>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</si>
  <si>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</si>
  <si>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</si>
  <si>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</si>
  <si>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</si>
  <si>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</si>
  <si>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</si>
  <si>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</si>
  <si>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</si>
  <si>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</si>
  <si>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</si>
  <si>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</si>
  <si>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</si>
  <si>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</si>
  <si>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</si>
  <si>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</si>
  <si>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</si>
  <si>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</si>
  <si>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</si>
  <si>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</si>
  <si>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</si>
  <si>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</si>
  <si>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</si>
  <si>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</si>
  <si>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</si>
  <si>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</si>
  <si>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</si>
  <si>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</si>
  <si>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</si>
  <si>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</si>
  <si>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</si>
  <si>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</si>
  <si>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</si>
  <si>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</si>
  <si>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</si>
  <si>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</si>
  <si>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</si>
  <si>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</si>
  <si>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</si>
  <si>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</si>
  <si>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</si>
  <si>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</si>
  <si>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</si>
  <si>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</si>
  <si>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</si>
  <si>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</si>
  <si>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</si>
  <si>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</si>
  <si>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</si>
  <si>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</si>
  <si>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</si>
  <si>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</si>
  <si>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</si>
  <si>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</si>
  <si>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</si>
  <si>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</si>
  <si>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</si>
  <si>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</si>
  <si>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</si>
  <si>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</si>
  <si>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</si>
  <si>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</si>
  <si>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</si>
  <si>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</si>
  <si>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</si>
  <si>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</si>
  <si>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</si>
  <si>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</si>
  <si>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</si>
  <si>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</si>
  <si>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</si>
  <si>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</si>
  <si>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</si>
  <si>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</si>
  <si>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</si>
  <si>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</si>
  <si>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</si>
  <si>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</si>
  <si>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</si>
  <si>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</si>
  <si>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</si>
  <si>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</si>
  <si>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</si>
  <si>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</si>
  <si>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</si>
  <si>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</si>
  <si>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</si>
  <si>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</si>
  <si>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</si>
  <si>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</si>
  <si>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</si>
  <si>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</si>
  <si>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</si>
  <si>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</si>
  <si>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</si>
  <si>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</si>
  <si>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</si>
  <si>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</si>
  <si>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</si>
  <si>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</si>
  <si>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</si>
  <si>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</si>
  <si>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</si>
  <si>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</si>
  <si>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</si>
  <si>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</si>
  <si>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</si>
  <si>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</si>
  <si>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</si>
  <si>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</si>
  <si>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</si>
  <si>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</si>
  <si>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</si>
  <si>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</si>
  <si>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</si>
  <si>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</si>
  <si>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</si>
  <si>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</si>
  <si>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</si>
  <si>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</si>
  <si>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</si>
  <si>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</si>
  <si>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</si>
  <si>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</si>
  <si>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</si>
  <si>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</si>
  <si>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</si>
  <si>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</si>
  <si>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</si>
  <si>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</si>
  <si>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</si>
  <si>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</si>
  <si>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</si>
  <si>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</si>
  <si>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</si>
  <si>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</si>
  <si>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</si>
  <si>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</si>
  <si>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</si>
  <si>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</si>
  <si>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</si>
  <si>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</si>
  <si>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</si>
  <si>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</si>
  <si>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</si>
  <si>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</si>
  <si>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</si>
  <si>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</si>
  <si>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</si>
  <si>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</si>
  <si>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</si>
  <si>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</si>
  <si>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</si>
  <si>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</si>
  <si>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</si>
  <si>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</si>
  <si>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</si>
  <si>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</si>
  <si>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</si>
  <si>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</si>
  <si>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</si>
  <si>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</si>
  <si>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</si>
  <si>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</si>
  <si>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</si>
  <si>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</si>
  <si>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</si>
  <si>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</si>
  <si>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</si>
  <si>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</si>
  <si>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</si>
  <si>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</si>
  <si>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</si>
  <si>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</si>
  <si>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</si>
  <si>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</si>
  <si>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</si>
  <si>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</si>
  <si>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</si>
  <si>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</si>
  <si>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</si>
  <si>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</si>
  <si>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</si>
  <si>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</si>
  <si>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</si>
  <si>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</si>
  <si>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</si>
  <si>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</si>
  <si>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</si>
  <si>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</si>
  <si>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</si>
  <si>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</si>
  <si>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</si>
  <si>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</si>
  <si>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</si>
  <si>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</si>
  <si>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</si>
  <si>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</si>
  <si>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</si>
  <si>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</si>
  <si>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</si>
  <si>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</si>
  <si>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</si>
  <si>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</si>
  <si>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</si>
  <si>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</si>
  <si>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</si>
  <si>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</si>
  <si>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</si>
  <si>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</si>
  <si>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</si>
  <si>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</si>
  <si>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</si>
  <si>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</si>
  <si>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</si>
  <si>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</si>
  <si>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</si>
  <si>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</si>
  <si>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</si>
  <si>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</si>
  <si>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</si>
  <si>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</si>
  <si>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</si>
  <si>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</si>
  <si>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</si>
  <si>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</si>
  <si>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</si>
  <si>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</si>
  <si>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</si>
  <si>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</si>
  <si>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</si>
  <si>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</si>
  <si>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</si>
  <si>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</si>
  <si>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</si>
  <si>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</si>
  <si>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</si>
  <si>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</si>
  <si>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</si>
  <si>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</si>
  <si>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</si>
  <si>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</si>
  <si>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</si>
  <si>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</si>
  <si>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</si>
  <si>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</si>
  <si>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</si>
  <si>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</si>
  <si>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</si>
  <si>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</si>
  <si>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</si>
  <si>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</si>
  <si>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</si>
  <si>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</si>
  <si>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</si>
  <si>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</si>
  <si>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</si>
  <si>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</si>
  <si>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</si>
  <si>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</si>
  <si>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</si>
  <si>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</si>
  <si>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</si>
  <si>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</si>
  <si>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</si>
  <si>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</si>
  <si>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</si>
  <si>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</si>
  <si>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</si>
  <si>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</si>
  <si>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</si>
  <si>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</si>
  <si>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</si>
  <si>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</si>
  <si>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</si>
  <si>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</si>
  <si>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</si>
  <si>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</si>
  <si>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</si>
  <si>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</si>
  <si>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</si>
  <si>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</si>
  <si>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</si>
  <si>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</si>
  <si>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</si>
  <si>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</si>
  <si>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</si>
  <si>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</si>
  <si>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</si>
  <si>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</si>
  <si>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</si>
  <si>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</si>
  <si>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</si>
  <si>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</si>
  <si>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</si>
  <si>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</si>
  <si>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</si>
  <si>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</si>
  <si>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</si>
  <si>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</si>
  <si>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</si>
  <si>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</si>
  <si>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</si>
  <si>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</si>
  <si>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</si>
  <si>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</si>
  <si>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</si>
  <si>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</si>
  <si>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</si>
  <si>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</si>
  <si>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</si>
  <si>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</si>
  <si>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</si>
  <si>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</si>
  <si>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</si>
  <si>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</si>
  <si>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</si>
  <si>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</si>
  <si>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</si>
  <si>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</si>
  <si>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</si>
  <si>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</si>
  <si>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</si>
  <si>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</si>
  <si>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</si>
  <si>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</si>
  <si>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</si>
  <si>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</si>
  <si>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</si>
  <si>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</si>
  <si>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</si>
  <si>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</si>
  <si>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</si>
  <si>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</si>
  <si>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</si>
  <si>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</si>
  <si>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</si>
  <si>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</si>
  <si>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</si>
  <si>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</si>
  <si>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</si>
  <si>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</si>
  <si>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</si>
  <si>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</si>
  <si>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</si>
  <si>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</si>
  <si>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</si>
  <si>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</si>
  <si>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</si>
  <si>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</si>
  <si>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</si>
  <si>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</si>
  <si>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</si>
  <si>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</si>
  <si>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</si>
  <si>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</si>
  <si>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</si>
  <si>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</si>
  <si>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</si>
  <si>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</si>
  <si>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</si>
  <si>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</si>
  <si>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</si>
  <si>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</si>
  <si>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</si>
  <si>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</si>
  <si>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</si>
  <si>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</si>
  <si>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</si>
  <si>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</si>
  <si>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</si>
  <si>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</si>
  <si>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</si>
  <si>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</si>
  <si>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</si>
  <si>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</si>
  <si>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</si>
  <si>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</si>
  <si>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</si>
  <si>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</si>
  <si>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</si>
  <si>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</si>
  <si>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</si>
  <si>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</si>
  <si>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</si>
  <si>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</si>
  <si>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</si>
  <si>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</si>
  <si>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</si>
  <si>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</si>
  <si>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</si>
  <si>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</si>
  <si>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</si>
  <si>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</si>
  <si>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</si>
  <si>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</si>
  <si>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</si>
  <si>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</si>
  <si>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</si>
  <si>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</si>
  <si>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</si>
  <si>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</si>
  <si>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</si>
  <si>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</si>
  <si>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</si>
  <si>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</si>
  <si>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</si>
  <si>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</si>
  <si>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</si>
  <si>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</si>
  <si>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</si>
  <si>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</si>
  <si>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</si>
  <si>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</si>
  <si>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</si>
  <si>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</si>
  <si>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</si>
  <si>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</si>
  <si>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</si>
  <si>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</si>
  <si>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</si>
  <si>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</si>
  <si>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</si>
  <si>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</si>
  <si>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</si>
  <si>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</si>
  <si>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</si>
  <si>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</si>
  <si>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</si>
  <si>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</si>
  <si>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</si>
  <si>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</si>
  <si>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</si>
  <si>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</si>
  <si>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</si>
  <si>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</si>
  <si>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</si>
  <si>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</si>
  <si>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</si>
  <si>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</si>
  <si>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</si>
  <si>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</si>
  <si>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</si>
  <si>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</si>
  <si>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</si>
  <si>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</si>
  <si>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</si>
  <si>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</si>
  <si>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</si>
  <si>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</si>
  <si>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</si>
  <si>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</si>
  <si>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</si>
  <si>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</si>
  <si>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</si>
  <si>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</si>
  <si>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</si>
  <si>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</si>
  <si>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</si>
  <si>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</si>
  <si>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</si>
  <si>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</si>
  <si>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</si>
  <si>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</si>
  <si>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</si>
  <si>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</si>
  <si>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</si>
  <si>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</si>
  <si>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</si>
  <si>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</si>
  <si>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</si>
  <si>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</si>
  <si>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</si>
  <si>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</si>
  <si>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</si>
  <si>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</si>
  <si>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</si>
  <si>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</si>
  <si>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</si>
  <si>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</si>
  <si>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</si>
  <si>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</si>
  <si>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</si>
  <si>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</si>
  <si>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</si>
  <si>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</si>
  <si>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</si>
  <si>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</si>
  <si>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</si>
  <si>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</si>
  <si>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</si>
  <si>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</si>
  <si>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</si>
  <si>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</si>
  <si>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</si>
  <si>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</si>
  <si>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</si>
  <si>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</si>
  <si>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</si>
  <si>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</si>
  <si>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</si>
  <si>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</si>
  <si>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</si>
  <si>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</si>
  <si>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</si>
  <si>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</si>
  <si>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</si>
  <si>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</si>
  <si>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</si>
  <si>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</si>
  <si>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</si>
  <si>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</si>
  <si>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</si>
  <si>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</si>
  <si>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</si>
  <si>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</si>
  <si>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</si>
  <si>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</si>
  <si>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</si>
  <si>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</si>
  <si>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</si>
  <si>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</si>
  <si>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</si>
  <si>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</si>
  <si>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</si>
  <si>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</si>
  <si>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</si>
  <si>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</si>
  <si>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</si>
  <si>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</si>
  <si>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</si>
  <si>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</si>
  <si>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</si>
  <si>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</si>
  <si>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</si>
  <si>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</si>
  <si>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</si>
  <si>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</si>
  <si>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</si>
  <si>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</si>
  <si>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</si>
  <si>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</si>
  <si>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</si>
  <si>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</si>
  <si>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</si>
  <si>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</si>
  <si>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</si>
  <si>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</si>
  <si>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</si>
  <si>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</si>
  <si>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</si>
  <si>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</si>
  <si>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</si>
  <si>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</si>
  <si>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</si>
  <si>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</si>
  <si>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</si>
  <si>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</si>
  <si>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</si>
  <si>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</si>
  <si>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</si>
  <si>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</si>
  <si>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</si>
  <si>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</si>
  <si>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</si>
  <si>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</si>
  <si>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</si>
  <si>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</si>
  <si>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</si>
  <si>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</si>
  <si>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</si>
  <si>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</si>
  <si>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</si>
  <si>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</si>
  <si>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</si>
  <si>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</si>
  <si>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</si>
  <si>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</si>
  <si>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</si>
  <si>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</si>
  <si>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</si>
  <si>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</si>
  <si>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</si>
  <si>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</si>
  <si>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</si>
  <si>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</si>
  <si>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</si>
  <si>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</si>
  <si>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</si>
  <si>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</si>
  <si>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</si>
  <si>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</si>
  <si>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</si>
  <si>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</si>
  <si>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</si>
  <si>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</si>
  <si>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</si>
  <si>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</si>
  <si>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</si>
  <si>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</si>
  <si>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</si>
  <si>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</si>
  <si>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</si>
  <si>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</si>
  <si>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</si>
  <si>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</si>
  <si>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</si>
  <si>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</si>
  <si>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</si>
  <si>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</si>
  <si>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</si>
  <si>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</si>
  <si>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</si>
  <si>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</si>
  <si>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</si>
  <si>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</si>
  <si>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</si>
  <si>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</si>
  <si>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</si>
  <si>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</si>
  <si>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</si>
  <si>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</si>
  <si>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</si>
  <si>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</si>
  <si>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</si>
  <si>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</si>
  <si>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</si>
  <si>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</si>
  <si>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</si>
  <si>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</si>
  <si>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</si>
  <si>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</si>
  <si>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</si>
  <si>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</si>
  <si>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</si>
  <si>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</si>
  <si>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</si>
  <si>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</si>
  <si>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</si>
  <si>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</si>
  <si>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</si>
  <si>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</si>
  <si>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</si>
  <si>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</si>
  <si>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</si>
  <si>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</si>
  <si>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</si>
  <si>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</si>
  <si>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</si>
  <si>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</si>
  <si>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</si>
  <si>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</si>
  <si>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</si>
  <si>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</si>
  <si>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</si>
  <si>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</si>
  <si>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</si>
  <si>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</si>
  <si>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</si>
  <si>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</si>
  <si>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</si>
  <si>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</si>
  <si>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</si>
  <si>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</si>
  <si>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</si>
  <si>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</si>
  <si>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</si>
  <si>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</si>
  <si>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</si>
  <si>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</si>
  <si>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</si>
  <si>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</si>
  <si>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</si>
  <si>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</si>
  <si>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</si>
  <si>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</si>
  <si>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</si>
  <si>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</si>
  <si>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</si>
  <si>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</si>
  <si>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</si>
  <si>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</si>
  <si>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</si>
  <si>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</si>
  <si>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</si>
  <si>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</si>
  <si>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</si>
  <si>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</si>
  <si>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</si>
  <si>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</si>
  <si>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</si>
  <si>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</si>
  <si>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</si>
  <si>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</si>
  <si>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</si>
  <si>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</si>
  <si>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</si>
  <si>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</si>
  <si>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</si>
  <si>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</si>
  <si>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</si>
  <si>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</si>
  <si>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</si>
  <si>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</si>
  <si>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</si>
  <si>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</si>
  <si>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</si>
  <si>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</si>
  <si>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</si>
  <si>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</si>
  <si>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</si>
  <si>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</si>
  <si>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</si>
  <si>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</si>
  <si>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</si>
  <si>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</si>
  <si>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</si>
  <si>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</si>
  <si>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</si>
  <si>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</si>
  <si>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</si>
  <si>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</si>
  <si>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</si>
  <si>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</si>
  <si>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</si>
  <si>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</si>
  <si>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</si>
  <si>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</si>
  <si>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</si>
  <si>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</si>
  <si>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</si>
  <si>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</si>
  <si>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</si>
  <si>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</si>
  <si>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</si>
  <si>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</si>
  <si>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</si>
  <si>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</si>
  <si>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</si>
  <si>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</si>
  <si>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</si>
  <si>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</si>
  <si>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</si>
  <si>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</si>
  <si>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</si>
  <si>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</si>
  <si>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</si>
  <si>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</si>
  <si>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</si>
  <si>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</si>
  <si>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</si>
  <si>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</si>
  <si>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</si>
  <si>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</si>
  <si>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</si>
  <si>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</si>
  <si>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</si>
  <si>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</si>
  <si>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</si>
  <si>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</si>
  <si>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</si>
  <si>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</si>
  <si>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</si>
  <si>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</si>
  <si>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</si>
  <si>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</si>
  <si>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</si>
  <si>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</si>
  <si>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</si>
  <si>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</si>
  <si>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</si>
  <si>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</si>
  <si>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</si>
  <si>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</si>
  <si>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</si>
  <si>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</si>
  <si>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</si>
  <si>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</si>
  <si>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</si>
  <si>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</si>
  <si>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</si>
  <si>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</si>
  <si>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</si>
  <si>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</si>
  <si>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</si>
  <si>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</si>
  <si>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</si>
  <si>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</si>
  <si>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</si>
  <si>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</si>
  <si>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</si>
  <si>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</si>
  <si>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</si>
  <si>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</si>
  <si>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</si>
  <si>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</si>
  <si>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</si>
  <si>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</si>
  <si>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</si>
  <si>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</si>
  <si>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</si>
  <si>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</si>
  <si>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</si>
  <si>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</si>
  <si>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</si>
  <si>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</si>
  <si>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</si>
  <si>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</si>
  <si>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</si>
  <si>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</si>
  <si>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</si>
  <si>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</si>
  <si>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</si>
  <si>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</si>
  <si>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</si>
  <si>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</si>
  <si>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</si>
  <si>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</si>
  <si>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</si>
  <si>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</si>
  <si>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</si>
  <si>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</si>
  <si>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</si>
  <si>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</si>
  <si>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</si>
  <si>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</si>
  <si>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</si>
  <si>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</si>
  <si>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</si>
  <si>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</si>
  <si>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</si>
  <si>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</si>
  <si>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</si>
  <si>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</si>
  <si>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</si>
  <si>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</si>
  <si>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</si>
  <si>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</si>
  <si>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</si>
  <si>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</si>
  <si>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</si>
  <si>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</si>
  <si>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</si>
  <si>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</si>
  <si>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</si>
  <si>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</si>
  <si>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</si>
  <si>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</si>
  <si>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</si>
  <si>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</si>
  <si>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</si>
  <si>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</si>
  <si>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</si>
  <si>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</si>
  <si>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</si>
  <si>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</si>
  <si>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</si>
  <si>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</si>
  <si>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</si>
  <si>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</si>
  <si>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</si>
  <si>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</si>
  <si>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</si>
  <si>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</si>
  <si>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</si>
  <si>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</si>
  <si>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</si>
  <si>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</si>
  <si>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</si>
  <si>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</si>
  <si>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</si>
  <si>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</si>
  <si>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</si>
  <si>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</si>
  <si>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</si>
  <si>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</si>
  <si>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</si>
  <si>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</si>
  <si>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</si>
  <si>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</si>
  <si>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</si>
  <si>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</si>
  <si>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</si>
  <si>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</si>
  <si>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</si>
  <si>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</si>
  <si>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</si>
  <si>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</si>
  <si>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</si>
  <si>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</si>
  <si>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</si>
  <si>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</si>
  <si>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</si>
  <si>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</si>
  <si>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</si>
  <si>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</si>
  <si>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</si>
  <si>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</si>
  <si>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</si>
  <si>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</si>
  <si>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</si>
  <si>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</si>
  <si>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</si>
  <si>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</si>
  <si>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</si>
  <si>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</si>
  <si>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</si>
  <si>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</si>
  <si>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</si>
  <si>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</si>
  <si>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</si>
  <si>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</si>
  <si>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</si>
  <si>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</si>
  <si>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</si>
  <si>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</si>
  <si>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</si>
  <si>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</si>
  <si>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</si>
  <si>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</si>
  <si>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</si>
  <si>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</si>
  <si>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</si>
  <si>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</si>
  <si>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</si>
  <si>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</si>
  <si>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</si>
  <si>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</si>
  <si>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</si>
  <si>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</si>
  <si>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</si>
  <si>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</si>
  <si>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</si>
  <si>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</si>
  <si>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</si>
  <si>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</si>
  <si>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</si>
  <si>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</si>
  <si>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</si>
  <si>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</si>
  <si>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</si>
  <si>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</si>
  <si>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</si>
  <si>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</si>
  <si>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</si>
  <si>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</si>
  <si>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</si>
  <si>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</si>
  <si>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</si>
  <si>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</si>
  <si>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</si>
  <si>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</si>
  <si>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</si>
  <si>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</si>
  <si>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</si>
  <si>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</si>
  <si>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</si>
  <si>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</si>
  <si>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</si>
  <si>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</si>
  <si>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</si>
  <si>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</si>
  <si>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</si>
  <si>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</si>
  <si>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</si>
  <si>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</si>
  <si>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</si>
  <si>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</si>
  <si>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</si>
  <si>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</si>
  <si>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</si>
  <si>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</si>
  <si>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</si>
  <si>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</si>
  <si>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</si>
  <si>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</si>
  <si>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</si>
  <si>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</si>
  <si>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</si>
  <si>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</si>
  <si>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</si>
  <si>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</si>
  <si>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</si>
  <si>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</si>
  <si>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</si>
  <si>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</si>
  <si>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</si>
  <si>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</si>
  <si>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</si>
  <si>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</si>
  <si>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</si>
  <si>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</si>
  <si>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</si>
  <si>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</si>
  <si>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</si>
  <si>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</si>
  <si>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</si>
  <si>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</si>
  <si>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</si>
  <si>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</si>
  <si>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</si>
  <si>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</si>
  <si>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</si>
  <si>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</si>
  <si>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</si>
  <si>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</si>
  <si>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</si>
  <si>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</si>
  <si>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</si>
  <si>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</si>
  <si>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</si>
  <si>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</si>
  <si>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</si>
  <si>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</si>
  <si>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</si>
  <si>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</si>
  <si>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</si>
  <si>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</si>
  <si>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</si>
  <si>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</si>
  <si>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</si>
  <si>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</si>
  <si>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</si>
  <si>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</si>
  <si>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</si>
  <si>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</si>
  <si>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</si>
  <si>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</si>
  <si>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</si>
  <si>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</si>
  <si>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</si>
  <si>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</si>
  <si>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</si>
  <si>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</si>
  <si>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</si>
  <si>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</si>
  <si>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</si>
  <si>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</si>
  <si>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</si>
  <si>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</si>
  <si>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</si>
  <si>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</si>
  <si>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</si>
  <si>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</si>
  <si>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</si>
  <si>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</si>
  <si>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</si>
  <si>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</si>
  <si>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</si>
  <si>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</si>
  <si>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</si>
  <si>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</si>
  <si>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</si>
  <si>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</si>
  <si>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</si>
  <si>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</si>
  <si>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</si>
  <si>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</si>
  <si>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</si>
  <si>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</si>
  <si>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</si>
  <si>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</si>
  <si>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</si>
  <si>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</si>
  <si>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</si>
  <si>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</si>
  <si>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</si>
  <si>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</si>
  <si>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</si>
  <si>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</si>
  <si>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</si>
  <si>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</si>
  <si>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</si>
  <si>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</si>
  <si>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</si>
  <si>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</si>
  <si>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</si>
  <si>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</si>
  <si>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</si>
  <si>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</si>
  <si>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</si>
  <si>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</si>
  <si>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</si>
  <si>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</si>
  <si>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</si>
  <si>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</si>
  <si>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</si>
  <si>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</si>
  <si>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</si>
  <si>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</si>
  <si>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</si>
  <si>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</si>
  <si>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</si>
  <si>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</si>
  <si>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</si>
  <si>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</si>
  <si>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</si>
  <si>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</si>
  <si>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</si>
  <si>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</si>
  <si>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</si>
  <si>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</si>
  <si>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</si>
  <si>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</si>
  <si>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</si>
  <si>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</si>
  <si>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</si>
  <si>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</si>
  <si>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</si>
  <si>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</si>
  <si>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</si>
  <si>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</si>
  <si>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</si>
  <si>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</si>
  <si>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</si>
  <si>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</si>
  <si>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</si>
  <si>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</si>
  <si>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</si>
  <si>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</si>
  <si>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</si>
  <si>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</si>
  <si>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</si>
  <si>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</si>
  <si>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</si>
  <si>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</si>
  <si>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</si>
  <si>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</si>
  <si>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</si>
  <si>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</si>
  <si>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</si>
  <si>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</si>
  <si>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</si>
  <si>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</si>
  <si>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</si>
  <si>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</si>
  <si>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</si>
  <si>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</si>
  <si>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</si>
  <si>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</si>
  <si>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</si>
  <si>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</si>
  <si>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</si>
  <si>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</si>
  <si>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</si>
  <si>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</si>
  <si>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</si>
  <si>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</si>
  <si>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</si>
  <si>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</si>
  <si>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</si>
  <si>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</si>
  <si>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</si>
  <si>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</si>
  <si>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</si>
  <si>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</si>
  <si>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</si>
  <si>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</si>
  <si>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</si>
  <si>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</si>
  <si>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</si>
  <si>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</si>
  <si>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</si>
  <si>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</si>
  <si>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</si>
  <si>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</si>
  <si>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</si>
  <si>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</si>
  <si>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</si>
  <si>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</si>
  <si>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</si>
  <si>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</si>
  <si>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</si>
  <si>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</si>
  <si>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</si>
  <si>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</si>
  <si>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</si>
  <si>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</si>
  <si>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</si>
  <si>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</si>
  <si>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</si>
  <si>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</si>
  <si>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</si>
  <si>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</si>
  <si>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</si>
  <si>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</si>
  <si>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</si>
  <si>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</si>
  <si>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</si>
  <si>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</si>
  <si>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</si>
  <si>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</si>
  <si>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</si>
  <si>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</si>
  <si>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</si>
  <si>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</si>
  <si>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</si>
  <si>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</si>
  <si>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</si>
  <si>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</si>
  <si>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</si>
  <si>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</si>
  <si>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</si>
  <si>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</si>
  <si>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</si>
  <si>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</si>
  <si>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</si>
  <si>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</si>
  <si>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</si>
  <si>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</si>
  <si>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</si>
  <si>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</si>
  <si>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</si>
  <si>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</si>
  <si>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</si>
  <si>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</si>
  <si>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</si>
  <si>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</si>
  <si>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</si>
  <si>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</si>
  <si>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</si>
  <si>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</si>
  <si>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</si>
  <si>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</si>
  <si>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</si>
  <si>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</si>
  <si>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</si>
  <si>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</si>
  <si>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</si>
  <si>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</si>
  <si>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</si>
  <si>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</si>
  <si>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</si>
  <si>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</si>
  <si>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</si>
  <si>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</si>
  <si>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</si>
  <si>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</si>
  <si>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</si>
  <si>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</si>
  <si>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</si>
  <si>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</si>
  <si>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</si>
  <si>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</si>
  <si>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</si>
  <si>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</si>
  <si>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</si>
  <si>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</si>
  <si>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</si>
  <si>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</si>
  <si>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</si>
  <si>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</si>
  <si>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</si>
  <si>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</si>
  <si>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</si>
  <si>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</si>
  <si>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</si>
  <si>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</si>
  <si>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</si>
  <si>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</si>
  <si>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</si>
  <si>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</si>
  <si>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</si>
  <si>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</si>
  <si>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</si>
  <si>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</si>
  <si>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</si>
  <si>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</si>
  <si>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</si>
  <si>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</si>
  <si>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</si>
  <si>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</si>
  <si>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</si>
  <si>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</si>
  <si>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</si>
  <si>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</si>
  <si>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</si>
  <si>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</si>
  <si>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</si>
  <si>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</si>
  <si>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</si>
  <si>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</si>
  <si>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</si>
  <si>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</si>
  <si>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</si>
  <si>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</si>
  <si>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</si>
  <si>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</si>
  <si>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</si>
  <si>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</si>
  <si>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</si>
  <si>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</si>
  <si>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</si>
  <si>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</si>
  <si>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</si>
  <si>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</si>
  <si>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</si>
  <si>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</si>
  <si>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</si>
  <si>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</si>
  <si>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</si>
  <si>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</si>
  <si>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</si>
  <si>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</si>
  <si>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</si>
  <si>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</si>
  <si>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</si>
  <si>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</si>
  <si>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</si>
  <si>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</si>
  <si>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</si>
  <si>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</si>
  <si>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</si>
  <si>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</si>
  <si>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</si>
  <si>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</si>
  <si>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</si>
  <si>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</si>
  <si>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</si>
  <si>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</si>
  <si>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</si>
  <si>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</si>
  <si>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</si>
  <si>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</si>
  <si>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</si>
  <si>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</si>
  <si>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</si>
  <si>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</si>
  <si>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</si>
  <si>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</si>
  <si>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</si>
  <si>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</si>
  <si>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</si>
  <si>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</si>
  <si>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</si>
  <si>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</si>
  <si>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</si>
  <si>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</si>
  <si>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</si>
  <si>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</si>
  <si>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</si>
  <si>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</si>
  <si>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</si>
  <si>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</si>
  <si>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</si>
  <si>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</si>
  <si>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</si>
  <si>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</si>
  <si>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</si>
  <si>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</si>
  <si>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</si>
  <si>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</si>
  <si>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</si>
  <si>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</si>
  <si>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</si>
  <si>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</si>
  <si>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</si>
  <si>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</si>
  <si>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</si>
  <si>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</si>
  <si>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</si>
  <si>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</si>
  <si>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</si>
  <si>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</si>
  <si>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</si>
  <si>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</si>
  <si>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</si>
  <si>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</si>
  <si>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</si>
  <si>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</si>
  <si>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</si>
  <si>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</si>
  <si>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</si>
  <si>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</si>
  <si>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</si>
  <si>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</si>
  <si>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</si>
  <si>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</si>
  <si>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</si>
  <si>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</si>
  <si>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</si>
  <si>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</si>
  <si>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</si>
  <si>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</si>
  <si>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</si>
  <si>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</si>
  <si>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</si>
  <si>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</si>
  <si>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</si>
  <si>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</si>
  <si>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</si>
  <si>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</si>
  <si>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</si>
  <si>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</si>
  <si>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</si>
  <si>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</si>
  <si>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</si>
  <si>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</si>
  <si>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</si>
  <si>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</si>
  <si>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</si>
  <si>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</si>
  <si>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</si>
  <si>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</si>
  <si>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</si>
  <si>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</si>
  <si>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</si>
  <si>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</si>
  <si>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</si>
  <si>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</si>
  <si>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</si>
  <si>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</si>
  <si>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</si>
  <si>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</si>
  <si>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</si>
  <si>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</si>
  <si>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</si>
  <si>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</si>
  <si>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</si>
  <si>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</si>
  <si>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</si>
  <si>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</si>
  <si>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</si>
  <si>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</si>
  <si>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</si>
  <si>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</si>
  <si>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</si>
  <si>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</si>
  <si>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</si>
  <si>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</si>
  <si>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</si>
  <si>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</si>
  <si>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</si>
  <si>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</si>
  <si>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</si>
  <si>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</si>
  <si>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</si>
  <si>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</si>
  <si>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</si>
  <si>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</si>
  <si>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</si>
  <si>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</si>
  <si>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</si>
  <si>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</si>
  <si>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</si>
  <si>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</si>
  <si>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</si>
  <si>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</si>
  <si>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</si>
  <si>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</si>
  <si>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</si>
  <si>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</si>
  <si>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</si>
  <si>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</si>
  <si>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</si>
  <si>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</si>
  <si>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</si>
  <si>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</si>
  <si>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</si>
  <si>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</si>
  <si>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</si>
  <si>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</si>
  <si>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</si>
  <si>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</si>
  <si>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</si>
  <si>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</si>
  <si>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</si>
  <si>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</si>
  <si>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</si>
  <si>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</si>
  <si>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</si>
  <si>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</si>
  <si>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</si>
  <si>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</si>
  <si>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</si>
  <si>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</si>
  <si>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</si>
  <si>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</si>
  <si>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</si>
  <si>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</si>
  <si>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</si>
  <si>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</si>
  <si>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</si>
  <si>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</si>
  <si>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</si>
  <si>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</si>
  <si>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</si>
  <si>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</si>
  <si>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</si>
  <si>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</si>
  <si>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</si>
  <si>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</si>
  <si>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</si>
  <si>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</si>
  <si>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</si>
  <si>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</si>
  <si>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</si>
  <si>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</si>
  <si>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</si>
  <si>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</si>
  <si>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</si>
  <si>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</si>
  <si>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</si>
  <si>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</si>
  <si>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</si>
  <si>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</si>
  <si>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</si>
  <si>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</si>
  <si>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</si>
  <si>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</si>
  <si>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</si>
  <si>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</si>
  <si>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</si>
  <si>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</si>
  <si>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</si>
  <si>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</si>
  <si>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</si>
  <si>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</si>
  <si>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</si>
  <si>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</si>
  <si>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</si>
  <si>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</si>
  <si>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</si>
  <si>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</si>
  <si>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</si>
  <si>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</si>
  <si>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</si>
  <si>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</si>
  <si>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</si>
  <si>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</si>
  <si>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</si>
  <si>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</si>
  <si>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</si>
  <si>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</si>
  <si>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</si>
  <si>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</si>
  <si>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</si>
  <si>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</si>
  <si>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</si>
  <si>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</si>
  <si>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</si>
  <si>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</si>
  <si>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</si>
  <si>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</si>
  <si>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</si>
  <si>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</si>
  <si>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</si>
  <si>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</si>
  <si>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</si>
  <si>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</si>
  <si>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</si>
  <si>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</si>
  <si>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</si>
  <si>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</si>
  <si>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</si>
  <si>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</si>
  <si>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</si>
  <si>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</si>
  <si>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</si>
  <si>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</si>
  <si>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</si>
  <si>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</si>
  <si>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</si>
  <si>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</si>
  <si>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</si>
  <si>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</si>
  <si>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</si>
  <si>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</si>
  <si>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</si>
  <si>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</si>
  <si>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</si>
  <si>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</si>
  <si>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</si>
  <si>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</si>
  <si>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</si>
  <si>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</si>
  <si>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</si>
  <si>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</si>
  <si>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</si>
  <si>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</si>
  <si>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</si>
  <si>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</si>
  <si>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</si>
  <si>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</si>
  <si>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</si>
  <si>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</si>
  <si>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</si>
  <si>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</si>
  <si>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</si>
  <si>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</si>
  <si>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</si>
  <si>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</si>
  <si>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</si>
  <si>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</si>
  <si>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</si>
  <si>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</si>
  <si>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</si>
  <si>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</si>
  <si>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</si>
  <si>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</si>
  <si>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</si>
  <si>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</si>
  <si>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</si>
  <si>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</si>
  <si>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</si>
  <si>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</si>
  <si>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</si>
  <si>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</si>
  <si>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</si>
  <si>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</si>
  <si>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</si>
  <si>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</si>
  <si>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</si>
  <si>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</si>
  <si>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</si>
  <si>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</si>
  <si>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</si>
  <si>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</si>
  <si>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</si>
  <si>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</si>
  <si>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</si>
  <si>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</si>
  <si>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</si>
  <si>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</si>
  <si>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</si>
  <si>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</si>
  <si>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</si>
  <si>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</si>
  <si>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</si>
  <si>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</si>
  <si>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</si>
  <si>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</si>
  <si>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</si>
  <si>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</si>
  <si>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</si>
  <si>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</si>
  <si>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</si>
  <si>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</si>
  <si>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</si>
  <si>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</si>
  <si>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</si>
  <si>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</si>
  <si>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</si>
  <si>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</si>
  <si>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</si>
  <si>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</si>
  <si>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</si>
  <si>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</si>
  <si>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</si>
  <si>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</si>
  <si>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</si>
  <si>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</si>
  <si>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</si>
  <si>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</si>
  <si>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</si>
  <si>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</si>
  <si>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</si>
  <si>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</si>
  <si>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</si>
  <si>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</si>
  <si>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</si>
  <si>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</si>
  <si>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</si>
  <si>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</si>
  <si>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</si>
  <si>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</si>
  <si>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</si>
  <si>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</si>
  <si>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</si>
  <si>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</si>
  <si>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</si>
  <si>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</si>
  <si>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</si>
  <si>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</si>
  <si>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</si>
  <si>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</si>
  <si>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</si>
  <si>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</si>
  <si>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</si>
  <si>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</si>
  <si>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</si>
  <si>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</si>
  <si>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</si>
  <si>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</si>
  <si>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</si>
  <si>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</si>
  <si>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</si>
  <si>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</si>
  <si>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</si>
  <si>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</si>
  <si>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</si>
  <si>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</si>
  <si>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</si>
  <si>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</si>
  <si>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</si>
  <si>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</si>
  <si>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</si>
  <si>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</si>
  <si>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</si>
  <si>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</si>
  <si>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</si>
  <si>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</si>
  <si>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</si>
  <si>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</si>
  <si>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</si>
  <si>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</si>
  <si>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</si>
  <si>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</si>
  <si>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</si>
  <si>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</si>
  <si>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</si>
  <si>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</si>
  <si>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</si>
  <si>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</si>
  <si>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</si>
  <si>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</si>
  <si>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</si>
  <si>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</si>
  <si>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</si>
  <si>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</si>
  <si>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</si>
  <si>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</si>
  <si>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</si>
  <si>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</si>
  <si>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</si>
  <si>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</si>
  <si>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</si>
  <si>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</si>
  <si>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</si>
  <si>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</si>
  <si>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</si>
  <si>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</si>
  <si>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</si>
  <si>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</si>
  <si>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</si>
  <si>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</si>
  <si>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</si>
  <si>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</si>
  <si>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</si>
  <si>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</si>
  <si>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</si>
  <si>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</si>
  <si>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</si>
  <si>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</si>
  <si>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</si>
  <si>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</si>
  <si>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</si>
  <si>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</si>
  <si>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</si>
  <si>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</si>
  <si>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</si>
  <si>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</si>
  <si>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</si>
  <si>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</si>
  <si>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</si>
  <si>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</si>
  <si>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</si>
  <si>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</si>
  <si>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</si>
  <si>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</si>
  <si>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</si>
  <si>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</si>
  <si>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</si>
  <si>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</si>
  <si>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</si>
  <si>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</si>
  <si>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</si>
  <si>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</si>
  <si>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</si>
  <si>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</si>
  <si>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</si>
  <si>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</si>
  <si>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</si>
  <si>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</si>
  <si>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</si>
  <si>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</si>
  <si>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</si>
  <si>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</si>
  <si>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</si>
  <si>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</si>
  <si>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</si>
  <si>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</si>
  <si>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</si>
  <si>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</si>
  <si>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</si>
  <si>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</si>
  <si>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</si>
  <si>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</si>
  <si>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</si>
  <si>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</si>
  <si>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</si>
  <si>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</si>
  <si>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</si>
  <si>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</si>
  <si>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</si>
  <si>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</si>
  <si>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</si>
  <si>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</si>
  <si>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</si>
  <si>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</si>
  <si>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</si>
  <si>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</si>
  <si>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</si>
  <si>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</si>
  <si>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</si>
  <si>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</si>
  <si>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</si>
  <si>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</si>
  <si>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</si>
  <si>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</si>
  <si>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</si>
  <si>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</si>
  <si>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</si>
  <si>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</si>
  <si>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</si>
  <si>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</si>
  <si>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</si>
  <si>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</si>
  <si>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</si>
  <si>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</si>
  <si>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</si>
  <si>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</si>
  <si>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</si>
  <si>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</si>
  <si>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</si>
  <si>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</si>
  <si>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</si>
  <si>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</si>
  <si>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</si>
  <si>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</si>
  <si>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</si>
  <si>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</si>
  <si>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</si>
  <si>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</si>
  <si>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</si>
  <si>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</si>
  <si>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</si>
  <si>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</si>
  <si>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</si>
  <si>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</si>
  <si>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</si>
  <si>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</si>
  <si>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</si>
  <si>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</si>
  <si>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</si>
  <si>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</si>
  <si>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</si>
  <si>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</si>
  <si>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</si>
  <si>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</si>
  <si>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</si>
  <si>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</si>
  <si>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</si>
  <si>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</si>
  <si>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</si>
  <si>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</si>
  <si>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</si>
  <si>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</si>
  <si>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</si>
  <si>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</si>
  <si>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</si>
  <si>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</si>
  <si>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</si>
  <si>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</si>
  <si>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</si>
  <si>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</si>
  <si>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</si>
  <si>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</si>
  <si>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</si>
  <si>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</si>
  <si>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</si>
  <si>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</si>
  <si>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</si>
  <si>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</si>
  <si>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</si>
  <si>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</si>
  <si>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</si>
  <si>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</si>
  <si>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</si>
  <si>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</si>
  <si>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</si>
  <si>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</si>
  <si>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</si>
  <si>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</si>
  <si>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</si>
  <si>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</si>
  <si>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</si>
  <si>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</si>
  <si>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</si>
  <si>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</si>
  <si>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</si>
  <si>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</si>
  <si>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</si>
  <si>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</si>
  <si>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</si>
  <si>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</si>
  <si>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</si>
  <si>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</si>
  <si>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</si>
  <si>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</si>
  <si>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</si>
  <si>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</si>
  <si>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</si>
  <si>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</si>
  <si>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</si>
  <si>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</si>
  <si>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</si>
  <si>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</si>
  <si>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</si>
  <si>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</si>
  <si>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</si>
  <si>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</si>
  <si>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</si>
  <si>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</si>
  <si>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</si>
  <si>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</si>
  <si>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</si>
  <si>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</si>
  <si>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</si>
  <si>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</si>
  <si>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</si>
  <si>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</si>
  <si>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</si>
  <si>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</si>
  <si>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</si>
  <si>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</si>
  <si>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</si>
  <si>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</si>
  <si>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</si>
  <si>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</si>
  <si>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</si>
  <si>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</si>
  <si>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</si>
  <si>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</si>
  <si>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</si>
  <si>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</si>
  <si>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</si>
  <si>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</si>
  <si>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</si>
  <si>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</si>
  <si>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</si>
  <si>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</si>
  <si>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</si>
  <si>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</si>
  <si>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</si>
  <si>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</si>
  <si>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</si>
  <si>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</si>
  <si>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</si>
  <si>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</si>
  <si>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</si>
  <si>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</si>
  <si>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</si>
  <si>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</si>
  <si>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</si>
  <si>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</si>
  <si>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</si>
  <si>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</si>
  <si>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</si>
  <si>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</si>
  <si>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</si>
  <si>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</si>
  <si>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</si>
  <si>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</si>
  <si>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</si>
  <si>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</si>
  <si>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</si>
  <si>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</si>
  <si>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</si>
  <si>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</si>
  <si>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</si>
  <si>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</si>
  <si>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</si>
  <si>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</si>
  <si>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</si>
  <si>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</si>
  <si>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</si>
  <si>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</si>
  <si>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</si>
  <si>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</si>
  <si>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</si>
  <si>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</si>
  <si>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</si>
  <si>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</si>
  <si>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</si>
  <si>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</si>
  <si>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</si>
  <si>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</si>
  <si>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</si>
  <si>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</si>
  <si>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</si>
  <si>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</si>
  <si>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</si>
  <si>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</si>
  <si>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</si>
  <si>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</si>
  <si>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</si>
  <si>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</si>
  <si>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</si>
  <si>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</si>
  <si>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</si>
  <si>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</si>
  <si>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</si>
  <si>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</si>
  <si>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</si>
  <si>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</si>
  <si>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</si>
  <si>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</si>
  <si>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</si>
  <si>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</si>
  <si>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</si>
  <si>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</si>
  <si>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</si>
  <si>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</si>
  <si>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</si>
  <si>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</si>
  <si>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</si>
  <si>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</si>
  <si>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</si>
  <si>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</si>
  <si>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</si>
  <si>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</si>
  <si>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</si>
  <si>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</si>
  <si>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</si>
  <si>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</si>
  <si>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</si>
  <si>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</si>
  <si>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</si>
  <si>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</si>
  <si>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</si>
  <si>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</si>
  <si>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</si>
  <si>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</si>
  <si>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</si>
  <si>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</si>
  <si>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</si>
  <si>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</si>
  <si>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</si>
  <si>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</si>
  <si>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</si>
  <si>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</si>
  <si>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</si>
  <si>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</si>
  <si>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</si>
  <si>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</si>
  <si>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</si>
  <si>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</si>
  <si>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</si>
  <si>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</si>
  <si>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</si>
  <si>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</si>
  <si>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</si>
  <si>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</si>
  <si>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</si>
  <si>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</si>
  <si>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</si>
  <si>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</si>
  <si>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</si>
  <si>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</si>
  <si>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</si>
  <si>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</si>
  <si>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</si>
  <si>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</si>
  <si>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</si>
  <si>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</si>
  <si>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</si>
  <si>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</si>
  <si>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</si>
  <si>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</si>
  <si>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</si>
  <si>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</si>
  <si>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</si>
  <si>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</si>
  <si>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</si>
  <si>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</si>
  <si>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</si>
  <si>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</si>
  <si>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</si>
  <si>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</si>
  <si>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</si>
  <si>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</si>
  <si>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</si>
  <si>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</si>
  <si>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</si>
  <si>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</si>
  <si>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</si>
  <si>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</si>
  <si>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</si>
  <si>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</si>
  <si>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</si>
  <si>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</si>
  <si>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</si>
  <si>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</si>
  <si>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</si>
  <si>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</si>
  <si>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</si>
  <si>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</si>
  <si>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</si>
  <si>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</si>
  <si>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</si>
  <si>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</si>
  <si>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</si>
  <si>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</si>
  <si>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</si>
  <si>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</si>
  <si>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</si>
  <si>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</si>
  <si>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</si>
  <si>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</si>
  <si>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</si>
  <si>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</si>
  <si>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</si>
  <si>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</si>
  <si>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</si>
  <si>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</si>
  <si>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</si>
  <si>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</si>
  <si>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</si>
  <si>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</si>
  <si>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</si>
  <si>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</si>
  <si>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</si>
  <si>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</si>
  <si>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</si>
  <si>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</si>
  <si>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</si>
  <si>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</si>
  <si>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</si>
  <si>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</si>
  <si>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</si>
  <si>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</si>
  <si>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</si>
  <si>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</si>
  <si>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</si>
  <si>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</si>
  <si>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</si>
  <si>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</si>
  <si>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</si>
  <si>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</si>
  <si>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</si>
  <si>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</si>
  <si>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</si>
  <si>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</si>
  <si>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</si>
  <si>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</si>
  <si>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</si>
  <si>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</si>
  <si>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</si>
  <si>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</si>
  <si>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</si>
  <si>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</si>
  <si>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</si>
  <si>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</si>
  <si>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</si>
  <si>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</si>
  <si>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</si>
  <si>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</si>
  <si>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</si>
  <si>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</si>
  <si>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</si>
  <si>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</si>
  <si>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</si>
  <si>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</si>
  <si>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</si>
  <si>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</si>
  <si>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</si>
  <si>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</si>
  <si>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</si>
  <si>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</si>
  <si>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</si>
  <si>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</si>
  <si>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</si>
  <si>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</si>
  <si>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</si>
  <si>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</si>
  <si>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</si>
  <si>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</si>
  <si>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</si>
  <si>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</si>
  <si>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</si>
  <si>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</si>
  <si>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</si>
  <si>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</si>
  <si>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</si>
  <si>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</si>
  <si>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</si>
  <si>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</si>
  <si>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</si>
  <si>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</si>
  <si>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</si>
  <si>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</si>
  <si>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</si>
  <si>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</si>
  <si>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</si>
  <si>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</si>
  <si>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</si>
  <si>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</si>
  <si>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</si>
  <si>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</si>
  <si>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</si>
  <si>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</si>
  <si>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</si>
  <si>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</si>
  <si>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</si>
  <si>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</si>
  <si>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</si>
  <si>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</si>
  <si>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</si>
  <si>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</si>
  <si>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</si>
  <si>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</si>
  <si>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</si>
  <si>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</si>
  <si>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</si>
  <si>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</si>
  <si>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</si>
  <si>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</si>
  <si>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</si>
  <si>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</si>
  <si>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</si>
  <si>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</si>
  <si>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</si>
  <si>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</si>
  <si>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</si>
  <si>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</si>
  <si>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</si>
  <si>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</si>
  <si>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</si>
  <si>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</si>
  <si>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</si>
  <si>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</si>
  <si>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</si>
  <si>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</si>
  <si>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</si>
  <si>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</si>
  <si>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</si>
  <si>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</si>
  <si>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</si>
  <si>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</si>
  <si>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</si>
  <si>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</si>
  <si>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</si>
  <si>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</si>
  <si>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</si>
  <si>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</si>
  <si>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</si>
  <si>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</si>
  <si>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</si>
  <si>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</si>
  <si>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</si>
  <si>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</si>
  <si>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</si>
  <si>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</si>
  <si>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</si>
  <si>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</si>
  <si>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</si>
  <si>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</si>
  <si>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</si>
  <si>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</si>
  <si>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</si>
  <si>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</si>
  <si>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</si>
  <si>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</si>
  <si>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</si>
  <si>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</si>
  <si>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</si>
  <si>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</si>
  <si>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</si>
  <si>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</si>
  <si>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</si>
  <si>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</si>
  <si>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</si>
  <si>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</si>
  <si>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</si>
  <si>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</si>
  <si>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</si>
  <si>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</si>
  <si>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</si>
  <si>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</si>
  <si>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</si>
  <si>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</si>
  <si>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</si>
  <si>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</si>
  <si>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</si>
  <si>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</si>
  <si>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</si>
  <si>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</si>
  <si>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</si>
  <si>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</si>
  <si>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</si>
  <si>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</si>
  <si>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</si>
  <si>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</si>
  <si>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</si>
  <si>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</si>
  <si>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</si>
  <si>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</si>
  <si>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</si>
  <si>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</si>
  <si>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</si>
  <si>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</si>
  <si>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</si>
  <si>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</si>
  <si>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</si>
  <si>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</si>
  <si>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</si>
  <si>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</si>
  <si>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</si>
  <si>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</si>
  <si>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</si>
  <si>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</si>
  <si>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</si>
  <si>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</si>
  <si>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</si>
  <si>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</si>
  <si>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</si>
  <si>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</si>
  <si>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</si>
  <si>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</si>
  <si>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</si>
  <si>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</si>
  <si>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</si>
  <si>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</si>
  <si>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</si>
  <si>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</si>
  <si>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</si>
  <si>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</si>
  <si>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</si>
  <si>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</si>
  <si>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</si>
  <si>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</si>
  <si>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</si>
  <si>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</si>
  <si>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</si>
  <si>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</si>
  <si>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</si>
  <si>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</si>
  <si>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</si>
  <si>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</si>
  <si>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</si>
  <si>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</si>
  <si>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</si>
  <si>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</si>
  <si>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</si>
  <si>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</si>
  <si>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</si>
  <si>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</si>
  <si>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</si>
  <si>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</si>
  <si>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</si>
  <si>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</si>
  <si>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</si>
  <si>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</si>
  <si>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</si>
  <si>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</si>
  <si>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</si>
  <si>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</si>
  <si>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</si>
  <si>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</si>
  <si>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</si>
  <si>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</si>
  <si>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</si>
  <si>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</si>
  <si>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</si>
  <si>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</si>
  <si>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</si>
  <si>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</si>
  <si>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</si>
  <si>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</si>
  <si>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</si>
  <si>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</si>
  <si>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</si>
  <si>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</si>
  <si>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</si>
  <si>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</si>
  <si>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</si>
  <si>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</si>
  <si>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</si>
  <si>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</si>
  <si>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</si>
  <si>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</si>
  <si>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</si>
  <si>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</si>
  <si>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</si>
  <si>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</si>
  <si>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</si>
  <si>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</si>
  <si>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</si>
  <si>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</si>
  <si>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</si>
  <si>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</si>
  <si>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</si>
  <si>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</si>
  <si>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</si>
  <si>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</si>
  <si>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</si>
  <si>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</si>
  <si>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</si>
  <si>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</si>
  <si>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</si>
  <si>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</si>
  <si>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</si>
  <si>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</si>
  <si>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</si>
  <si>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</si>
  <si>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</si>
  <si>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</si>
  <si>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</si>
  <si>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</si>
  <si>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</si>
  <si>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</si>
  <si>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</si>
  <si>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</si>
  <si>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</si>
  <si>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</si>
  <si>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</si>
  <si>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</si>
  <si>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</si>
  <si>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</si>
  <si>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</si>
  <si>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</si>
  <si>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</si>
  <si>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</si>
  <si>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</si>
  <si>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</si>
  <si>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</si>
  <si>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</si>
  <si>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</si>
  <si>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</si>
  <si>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</si>
  <si>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</si>
  <si>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</si>
  <si>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</si>
  <si>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</si>
  <si>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</si>
  <si>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</si>
  <si>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</si>
  <si>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</si>
  <si>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</si>
  <si>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</si>
  <si>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</si>
  <si>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</si>
  <si>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</si>
  <si>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</si>
  <si>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</si>
  <si>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</si>
  <si>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</si>
  <si>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</si>
  <si>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</si>
  <si>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</si>
  <si>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</si>
  <si>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</si>
  <si>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</si>
  <si>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</si>
  <si>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</si>
  <si>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</si>
  <si>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</si>
  <si>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</si>
  <si>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</si>
  <si>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</si>
  <si>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</si>
  <si>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</si>
  <si>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</si>
  <si>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</si>
  <si>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</si>
  <si>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</si>
  <si>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</si>
  <si>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</si>
  <si>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</si>
  <si>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</si>
  <si>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</si>
  <si>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</si>
  <si>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</si>
  <si>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</si>
  <si>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</si>
  <si>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</si>
  <si>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</si>
  <si>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</si>
  <si>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</si>
  <si>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</si>
  <si>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</si>
  <si>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</si>
  <si>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</si>
  <si>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</si>
  <si>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</si>
  <si>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</si>
  <si>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</si>
  <si>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</si>
  <si>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</si>
  <si>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</si>
  <si>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</si>
  <si>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</si>
  <si>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</si>
  <si>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</si>
  <si>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</si>
  <si>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</si>
  <si>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</si>
  <si>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</si>
  <si>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</si>
  <si>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</si>
  <si>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</si>
  <si>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</si>
  <si>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</si>
  <si>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</si>
  <si>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</si>
  <si>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</si>
  <si>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</si>
  <si>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</si>
  <si>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</si>
  <si>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</si>
  <si>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</si>
  <si>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</si>
  <si>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</si>
  <si>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</si>
  <si>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</si>
  <si>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</si>
  <si>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</si>
  <si>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</si>
  <si>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</si>
  <si>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</si>
  <si>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</si>
  <si>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</si>
  <si>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</si>
  <si>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</si>
  <si>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</si>
  <si>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</si>
  <si>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</si>
  <si>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</si>
  <si>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</si>
  <si>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</si>
  <si>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</si>
  <si>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</si>
  <si>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</si>
  <si>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</si>
  <si>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</si>
  <si>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</si>
  <si>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</si>
  <si>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</si>
  <si>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</si>
  <si>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</si>
  <si>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</si>
  <si>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</si>
  <si>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</si>
  <si>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</si>
  <si>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</si>
  <si>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</si>
  <si>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</si>
  <si>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</si>
  <si>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</si>
  <si>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</si>
  <si>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</si>
  <si>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</si>
  <si>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</si>
  <si>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</si>
  <si>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</si>
  <si>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</si>
  <si>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</si>
  <si>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</si>
  <si>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</si>
  <si>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</si>
  <si>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</si>
  <si>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</si>
  <si>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</si>
  <si>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</si>
  <si>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</si>
  <si>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</si>
  <si>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</si>
  <si>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</si>
  <si>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</si>
  <si>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</si>
  <si>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</si>
  <si>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</si>
  <si>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</si>
  <si>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</si>
  <si>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</si>
  <si>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</si>
  <si>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</si>
  <si>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</si>
  <si>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</si>
  <si>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</si>
  <si>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</si>
  <si>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</si>
  <si>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</si>
  <si>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</si>
  <si>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</si>
  <si>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</si>
  <si>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</si>
  <si>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</si>
  <si>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</si>
  <si>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</si>
  <si>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</si>
  <si>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</si>
  <si>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</si>
  <si>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</si>
  <si>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</si>
  <si>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</si>
  <si>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</si>
  <si>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</si>
  <si>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</si>
  <si>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</si>
  <si>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</si>
  <si>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</si>
  <si>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</si>
  <si>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</si>
  <si>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</si>
  <si>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</si>
  <si>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</si>
  <si>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</si>
  <si>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</si>
  <si>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</si>
  <si>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</si>
  <si>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</si>
  <si>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</si>
  <si>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</si>
  <si>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</si>
  <si>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</si>
  <si>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</si>
  <si>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</si>
  <si>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</si>
  <si>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</si>
  <si>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</si>
  <si>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</si>
  <si>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</si>
  <si>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</si>
  <si>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</si>
  <si>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</si>
  <si>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</si>
  <si>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</si>
  <si>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</si>
  <si>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</si>
  <si>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</si>
  <si>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</si>
  <si>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</si>
  <si>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</si>
  <si>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</si>
  <si>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</si>
  <si>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</si>
  <si>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</si>
  <si>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</si>
  <si>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</si>
  <si>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</si>
  <si>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</si>
  <si>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</si>
  <si>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</si>
  <si>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</si>
  <si>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</si>
  <si>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</si>
  <si>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</si>
  <si>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</si>
  <si>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</si>
  <si>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</si>
  <si>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</si>
  <si>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</si>
  <si>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</si>
  <si>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</si>
  <si>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</si>
  <si>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</si>
  <si>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</si>
  <si>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</si>
  <si>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</si>
  <si>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</si>
  <si>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</si>
  <si>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</si>
  <si>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</si>
  <si>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</si>
  <si>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</si>
  <si>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</si>
  <si>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</si>
  <si>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</si>
  <si>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</si>
  <si>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</si>
  <si>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</si>
  <si>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</si>
  <si>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</si>
  <si>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</si>
  <si>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</si>
  <si>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</si>
  <si>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</si>
  <si>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</si>
  <si>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</si>
  <si>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</si>
  <si>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</si>
  <si>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</si>
  <si>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</si>
  <si>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</si>
  <si>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</si>
  <si>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</si>
  <si>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</si>
  <si>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</si>
  <si>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</si>
  <si>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</si>
  <si>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</si>
  <si>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</si>
  <si>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</si>
  <si>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</si>
  <si>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</si>
  <si>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</si>
  <si>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</si>
  <si>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</si>
  <si>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</si>
  <si>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</si>
  <si>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</si>
  <si>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</si>
  <si>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</si>
  <si>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</si>
  <si>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</si>
  <si>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</si>
  <si>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</si>
  <si>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</si>
  <si>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</si>
  <si>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</si>
  <si>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</si>
  <si>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</si>
  <si>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</si>
  <si>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</si>
  <si>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</si>
  <si>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</si>
  <si>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</si>
  <si>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</si>
  <si>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</si>
  <si>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</si>
  <si>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</si>
  <si>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</si>
  <si>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</si>
  <si>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</si>
  <si>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</si>
  <si>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</si>
  <si>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</si>
  <si>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</si>
  <si>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</si>
  <si>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</si>
  <si>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</si>
  <si>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</si>
  <si>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</si>
  <si>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</si>
  <si>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</si>
  <si>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</si>
  <si>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</si>
  <si>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</si>
  <si>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</si>
  <si>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</si>
  <si>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</si>
  <si>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</si>
  <si>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</si>
  <si>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</si>
  <si>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</si>
  <si>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</si>
  <si>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</si>
  <si>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</si>
  <si>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</si>
  <si>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</si>
  <si>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</si>
  <si>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</si>
  <si>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</si>
  <si>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</si>
  <si>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</si>
  <si>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</si>
  <si>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</si>
  <si>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</si>
  <si>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</si>
  <si>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</si>
  <si>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</si>
  <si>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</si>
  <si>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</si>
  <si>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</si>
  <si>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</si>
  <si>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</si>
  <si>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</si>
  <si>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</si>
  <si>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</si>
  <si>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</si>
  <si>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</si>
  <si>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</si>
  <si>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</si>
  <si>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</si>
  <si>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</si>
  <si>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</si>
  <si>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</si>
  <si>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</si>
  <si>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</si>
  <si>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</si>
  <si>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</si>
  <si>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</si>
  <si>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</si>
  <si>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</si>
  <si>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</si>
  <si>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</si>
  <si>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</si>
  <si>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</si>
  <si>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</si>
  <si>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</si>
  <si>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</si>
  <si>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</si>
  <si>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</si>
  <si>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</si>
  <si>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</si>
  <si>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</si>
  <si>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</si>
  <si>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</si>
  <si>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</si>
  <si>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</si>
  <si>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</si>
  <si>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</si>
  <si>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</si>
  <si>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</si>
  <si>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</si>
  <si>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</si>
  <si>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</si>
  <si>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</si>
  <si>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</si>
  <si>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</si>
  <si>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</si>
  <si>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</si>
  <si>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</si>
  <si>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</si>
  <si>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</si>
  <si>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</si>
  <si>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</si>
  <si>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</si>
  <si>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</si>
  <si>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</si>
  <si>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</si>
  <si>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</si>
  <si>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</si>
  <si>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</si>
  <si>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</si>
  <si>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</si>
  <si>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</si>
  <si>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</si>
  <si>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</si>
  <si>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</si>
  <si>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</si>
  <si>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</si>
  <si>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</si>
  <si>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</si>
  <si>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</si>
  <si>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</si>
  <si>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</si>
  <si>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</si>
  <si>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</si>
  <si>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</si>
  <si>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</si>
  <si>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</si>
  <si>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</si>
  <si>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</si>
  <si>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</si>
  <si>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</si>
  <si>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</si>
  <si>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</si>
  <si>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</si>
  <si>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</si>
  <si>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</si>
  <si>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</si>
  <si>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</si>
  <si>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</si>
  <si>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</si>
  <si>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</si>
  <si>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</si>
  <si>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</si>
  <si>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</si>
  <si>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</si>
  <si>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</si>
  <si>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</si>
  <si>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</si>
  <si>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</si>
  <si>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</si>
  <si>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</si>
  <si>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</si>
  <si>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</si>
  <si>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</si>
  <si>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</si>
  <si>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</si>
  <si>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</si>
  <si>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</si>
  <si>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</si>
  <si>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</si>
  <si>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</si>
  <si>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</si>
  <si>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</si>
  <si>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</si>
  <si>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</si>
  <si>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</si>
  <si>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</si>
  <si>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</si>
  <si>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</si>
  <si>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</si>
  <si>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</si>
  <si>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</si>
  <si>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</si>
  <si>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</si>
  <si>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</si>
  <si>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</si>
  <si>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</si>
  <si>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</si>
  <si>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</si>
  <si>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</si>
  <si>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</si>
  <si>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</si>
  <si>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</si>
  <si>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</si>
  <si>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</si>
  <si>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</si>
  <si>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</si>
  <si>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</si>
  <si>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</si>
  <si>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</si>
  <si>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</si>
  <si>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</si>
  <si>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</si>
  <si>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</si>
  <si>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</si>
  <si>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</si>
  <si>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</si>
  <si>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</si>
  <si>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</si>
  <si>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</si>
  <si>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</si>
  <si>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</si>
  <si>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</si>
  <si>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</si>
  <si>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</si>
  <si>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</si>
  <si>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</si>
  <si>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</si>
  <si>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</si>
  <si>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</si>
  <si>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</si>
  <si>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</si>
  <si>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</si>
  <si>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</si>
  <si>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</si>
  <si>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</si>
  <si>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</si>
  <si>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</si>
  <si>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</si>
  <si>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</si>
  <si>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</si>
  <si>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</si>
  <si>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</si>
  <si>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</si>
  <si>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</si>
  <si>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</si>
  <si>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</si>
  <si>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</si>
  <si>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</si>
  <si>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</si>
  <si>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</si>
  <si>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</si>
  <si>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</si>
  <si>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</si>
  <si>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</si>
  <si>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</si>
  <si>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</si>
  <si>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</si>
  <si>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</si>
  <si>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</si>
  <si>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</si>
  <si>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</si>
  <si>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</si>
  <si>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</si>
  <si>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</si>
  <si>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</si>
  <si>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</si>
  <si>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</si>
  <si>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</si>
  <si>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</si>
  <si>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</si>
  <si>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</si>
  <si>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</si>
  <si>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</si>
  <si>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</si>
  <si>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</si>
  <si>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</si>
  <si>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</si>
  <si>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</si>
  <si>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</si>
  <si>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</si>
  <si>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</si>
  <si>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</si>
  <si>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</si>
  <si>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</si>
  <si>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</si>
  <si>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</si>
  <si>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</si>
  <si>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</si>
  <si>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</si>
  <si>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</si>
  <si>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</si>
  <si>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</si>
  <si>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</si>
  <si>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</si>
  <si>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</si>
  <si>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</si>
  <si>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</si>
  <si>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</si>
  <si>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</si>
  <si>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</si>
  <si>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</si>
  <si>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</si>
  <si>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</si>
  <si>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</si>
  <si>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</si>
  <si>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</si>
  <si>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</si>
  <si>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</si>
  <si>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</si>
  <si>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</si>
  <si>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</si>
  <si>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</si>
  <si>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</si>
  <si>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</si>
  <si>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</si>
  <si>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</si>
  <si>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</si>
  <si>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</si>
  <si>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</si>
  <si>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</si>
  <si>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</si>
  <si>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</si>
  <si>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</si>
  <si>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</si>
  <si>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</si>
  <si>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</si>
  <si>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</si>
  <si>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</si>
  <si>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</si>
  <si>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</si>
  <si>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</si>
  <si>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</si>
  <si>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</si>
  <si>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</si>
  <si>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</si>
  <si>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</si>
  <si>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</si>
  <si>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</si>
  <si>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</si>
  <si>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</si>
  <si>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</si>
  <si>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</si>
  <si>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</si>
  <si>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</si>
  <si>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</si>
  <si>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</si>
  <si>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</si>
  <si>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</si>
  <si>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</si>
  <si>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</si>
  <si>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</si>
  <si>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</si>
  <si>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</si>
  <si>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</si>
  <si>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</si>
  <si>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</si>
  <si>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</si>
  <si>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</si>
  <si>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</si>
  <si>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</si>
  <si>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</si>
  <si>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</si>
  <si>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</si>
  <si>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</si>
  <si>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</si>
  <si>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</si>
  <si>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</si>
  <si>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</si>
  <si>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</si>
  <si>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</si>
  <si>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</si>
  <si>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</si>
  <si>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</si>
  <si>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</si>
  <si>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</si>
  <si>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</si>
  <si>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</si>
  <si>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</si>
  <si>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</si>
  <si>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</si>
  <si>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</si>
  <si>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</si>
  <si>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</si>
  <si>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</si>
  <si>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</si>
  <si>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</si>
  <si>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</si>
  <si>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</si>
  <si>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</si>
  <si>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</si>
  <si>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</si>
  <si>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</si>
  <si>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</si>
  <si>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</si>
  <si>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</si>
  <si>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</si>
  <si>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</si>
  <si>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</si>
  <si>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</si>
  <si>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</si>
  <si>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</si>
  <si>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</si>
  <si>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</si>
  <si>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</si>
  <si>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</si>
  <si>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</si>
  <si>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</si>
  <si>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</si>
  <si>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</si>
  <si>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</si>
  <si>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</si>
  <si>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</si>
  <si>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</si>
  <si>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</si>
  <si>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</si>
  <si>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</si>
  <si>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</si>
  <si>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</si>
  <si>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</si>
  <si>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</si>
  <si>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</si>
  <si>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</si>
  <si>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</si>
  <si>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</si>
  <si>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</si>
  <si>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</si>
  <si>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</si>
  <si>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</si>
  <si>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</si>
  <si>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</si>
  <si>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</si>
  <si>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</si>
  <si>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</si>
  <si>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</si>
  <si>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</si>
  <si>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</si>
  <si>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</si>
  <si>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</si>
  <si>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</si>
  <si>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</si>
  <si>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</si>
  <si>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</si>
  <si>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</si>
  <si>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</si>
  <si>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</si>
  <si>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</si>
  <si>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</si>
  <si>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</si>
  <si>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</si>
  <si>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</si>
  <si>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</si>
  <si>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</si>
  <si>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</si>
  <si>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</si>
  <si>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</si>
  <si>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</si>
  <si>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</si>
  <si>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</si>
  <si>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</si>
  <si>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</si>
  <si>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</si>
  <si>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</si>
  <si>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</si>
  <si>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</si>
  <si>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</si>
  <si>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</si>
  <si>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</si>
  <si>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</si>
  <si>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</si>
  <si>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</si>
  <si>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</si>
  <si>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</si>
  <si>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</si>
  <si>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</si>
  <si>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</si>
  <si>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</si>
  <si>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</si>
  <si>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</si>
  <si>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</si>
  <si>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</si>
  <si>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</si>
  <si>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</si>
  <si>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</si>
  <si>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</si>
  <si>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</si>
  <si>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</si>
  <si>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</si>
  <si>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</si>
  <si>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</si>
  <si>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</si>
  <si>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</si>
  <si>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</si>
  <si>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</si>
  <si>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</si>
  <si>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</si>
  <si>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</si>
  <si>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</si>
  <si>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</si>
  <si>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</si>
  <si>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</si>
  <si>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</si>
  <si>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</si>
  <si>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</si>
  <si>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</si>
  <si>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</si>
  <si>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</si>
  <si>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</si>
  <si>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</si>
  <si>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</si>
  <si>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</si>
  <si>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</si>
  <si>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</si>
  <si>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</si>
  <si>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</si>
  <si>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</si>
  <si>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</si>
  <si>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</si>
  <si>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</si>
  <si>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</si>
  <si>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</si>
  <si>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</si>
  <si>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</si>
  <si>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</si>
  <si>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</si>
  <si>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</si>
  <si>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</si>
  <si>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</si>
  <si>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</si>
  <si>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</si>
  <si>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</si>
  <si>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</si>
  <si>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</si>
  <si>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</si>
  <si>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</si>
  <si>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</si>
  <si>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</si>
  <si>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</si>
  <si>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</si>
  <si>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</si>
  <si>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</si>
  <si>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</si>
  <si>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</si>
  <si>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</si>
  <si>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</si>
  <si>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</si>
  <si>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</si>
  <si>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</si>
  <si>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</si>
  <si>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</si>
  <si>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</si>
  <si>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</si>
  <si>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</si>
  <si>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</si>
  <si>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</si>
  <si>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</si>
  <si>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</si>
  <si>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</si>
  <si>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</si>
  <si>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</si>
  <si>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</si>
  <si>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</si>
  <si>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</si>
  <si>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</si>
  <si>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</si>
  <si>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</si>
  <si>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</si>
  <si>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</si>
  <si>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</si>
  <si>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</si>
  <si>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</si>
  <si>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</si>
  <si>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</si>
  <si>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</si>
  <si>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</si>
  <si>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</si>
  <si>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</si>
  <si>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</si>
  <si>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</si>
  <si>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</si>
  <si>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</si>
  <si>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</si>
  <si>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</si>
  <si>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</si>
  <si>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</si>
  <si>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</si>
  <si>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</si>
  <si>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</si>
  <si>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</si>
  <si>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</si>
  <si>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</si>
  <si>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</si>
  <si>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</si>
  <si>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</si>
  <si>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</si>
  <si>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</si>
  <si>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</si>
  <si>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</si>
  <si>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</si>
  <si>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</si>
  <si>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</si>
  <si>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</si>
  <si>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</si>
  <si>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</si>
  <si>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</si>
  <si>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</si>
  <si>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</si>
  <si>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</si>
  <si>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</si>
  <si>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</si>
  <si>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</si>
  <si>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</si>
  <si>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</si>
  <si>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</si>
  <si>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</si>
  <si>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</si>
  <si>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</si>
  <si>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</si>
  <si>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</si>
  <si>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</si>
  <si>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</si>
  <si>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</si>
  <si>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</si>
  <si>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</si>
  <si>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</si>
  <si>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</si>
  <si>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</si>
  <si>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</si>
  <si>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</si>
  <si>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</si>
  <si>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</si>
  <si>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</si>
  <si>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</si>
  <si>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</si>
  <si>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</si>
  <si>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</si>
  <si>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</si>
  <si>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</si>
  <si>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</si>
  <si>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</si>
  <si>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</si>
  <si>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</si>
  <si>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</si>
  <si>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</si>
  <si>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</si>
  <si>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</si>
  <si>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</si>
  <si>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</si>
  <si>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</si>
  <si>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</si>
  <si>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</si>
  <si>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</si>
  <si>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</si>
  <si>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</si>
  <si>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</si>
  <si>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</si>
  <si>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</si>
  <si>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</si>
  <si>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</si>
  <si>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</si>
  <si>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</si>
  <si>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</si>
  <si>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</si>
  <si>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</si>
  <si>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</si>
  <si>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</si>
  <si>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</si>
  <si>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</si>
  <si>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</si>
  <si>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</si>
  <si>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</si>
  <si>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</si>
  <si>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</si>
  <si>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</si>
  <si>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</si>
  <si>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</si>
  <si>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</si>
  <si>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</si>
  <si>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</si>
  <si>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</si>
  <si>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</si>
  <si>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</si>
  <si>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</si>
  <si>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</si>
  <si>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</si>
  <si>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</si>
  <si>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</si>
  <si>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</si>
  <si>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</si>
  <si>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</si>
  <si>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</si>
  <si>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</si>
  <si>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</si>
  <si>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</si>
  <si>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</si>
  <si>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</si>
  <si>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</si>
  <si>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</si>
  <si>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</si>
  <si>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</si>
  <si>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</si>
  <si>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</si>
  <si>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</si>
  <si>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</si>
  <si>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</si>
  <si>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</si>
  <si>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</si>
  <si>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</si>
  <si>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</si>
  <si>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</si>
  <si>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</si>
  <si>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</si>
  <si>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</si>
  <si>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</si>
  <si>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</si>
  <si>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</si>
  <si>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</si>
  <si>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</si>
  <si>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</si>
  <si>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</si>
  <si>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</si>
  <si>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</si>
  <si>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</si>
  <si>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</si>
  <si>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</si>
  <si>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</si>
  <si>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</si>
  <si>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</si>
  <si>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</si>
  <si>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</si>
  <si>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</si>
  <si>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</si>
  <si>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</si>
  <si>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</si>
  <si>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</si>
  <si>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</si>
  <si>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</si>
  <si>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</si>
  <si>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</si>
  <si>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</si>
  <si>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</si>
  <si>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</si>
  <si>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</si>
  <si>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</si>
  <si>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</si>
  <si>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</si>
  <si>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</si>
  <si>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</si>
  <si>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</si>
  <si>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</si>
  <si>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</si>
  <si>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</si>
  <si>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</si>
  <si>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</si>
  <si>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</si>
  <si>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</si>
  <si>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</si>
  <si>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</si>
  <si>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</si>
  <si>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</si>
  <si>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</si>
  <si>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</si>
  <si>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</si>
  <si>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</si>
  <si>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</si>
  <si>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</si>
  <si>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</si>
  <si>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</si>
  <si>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</si>
  <si>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</si>
  <si>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</si>
  <si>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</si>
  <si>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</si>
  <si>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</si>
  <si>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</si>
  <si>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</si>
  <si>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</si>
  <si>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</si>
  <si>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</si>
  <si>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</si>
  <si>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</si>
  <si>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</si>
  <si>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</si>
  <si>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</si>
  <si>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</si>
  <si>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</si>
  <si>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</si>
  <si>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</si>
  <si>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</si>
  <si>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</si>
  <si>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</si>
  <si>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</si>
  <si>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</si>
  <si>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</si>
  <si>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</si>
  <si>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</si>
  <si>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</si>
  <si>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</si>
  <si>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</si>
  <si>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</si>
  <si>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</si>
  <si>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</si>
  <si>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</si>
  <si>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</si>
  <si>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</si>
  <si>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</si>
  <si>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</si>
  <si>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</si>
  <si>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</si>
  <si>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</si>
  <si>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</si>
  <si>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</si>
  <si>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</si>
  <si>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</si>
  <si>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</si>
  <si>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</si>
  <si>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</si>
  <si>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</si>
  <si>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</si>
  <si>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</si>
  <si>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</si>
  <si>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</si>
  <si>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</si>
  <si>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</si>
  <si>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</si>
  <si>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</si>
  <si>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</si>
  <si>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</si>
  <si>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</si>
  <si>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</si>
  <si>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</si>
  <si>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</si>
  <si>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</si>
  <si>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</si>
  <si>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</si>
  <si>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</si>
  <si>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</si>
  <si>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</si>
  <si>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</si>
  <si>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</si>
  <si>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</si>
  <si>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</si>
  <si>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</si>
  <si>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</si>
  <si>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</si>
  <si>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</si>
  <si>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</si>
  <si>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</si>
  <si>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</si>
  <si>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</si>
  <si>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</si>
  <si>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</si>
  <si>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</si>
  <si>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</si>
  <si>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</si>
  <si>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</si>
  <si>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</si>
  <si>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</si>
  <si>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</si>
  <si>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</si>
  <si>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</si>
  <si>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</si>
  <si>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</si>
  <si>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</si>
  <si>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</si>
  <si>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</si>
  <si>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</si>
  <si>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</si>
  <si>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</si>
  <si>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</si>
  <si>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</si>
  <si>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</si>
  <si>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</si>
  <si>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</si>
  <si>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</si>
  <si>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</si>
  <si>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</si>
  <si>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</si>
  <si>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</si>
  <si>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</si>
  <si>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</si>
  <si>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</si>
  <si>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</si>
  <si>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</si>
  <si>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</si>
  <si>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</si>
  <si>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</si>
  <si>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</si>
  <si>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</si>
  <si>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</si>
  <si>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</si>
  <si>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</si>
  <si>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</si>
  <si>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</si>
  <si>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</si>
  <si>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</si>
  <si>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</si>
  <si>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</si>
  <si>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</si>
  <si>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</si>
  <si>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</si>
  <si>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</si>
  <si>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</si>
  <si>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</si>
  <si>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</si>
  <si>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</si>
  <si>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</si>
  <si>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</si>
  <si>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</si>
  <si>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</si>
  <si>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</si>
  <si>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</si>
  <si>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</si>
  <si>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</si>
  <si>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</si>
  <si>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</si>
  <si>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</si>
  <si>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</si>
  <si>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</si>
  <si>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</si>
  <si>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</si>
  <si>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</si>
  <si>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</si>
  <si>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</si>
  <si>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</si>
  <si>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</si>
  <si>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</si>
  <si>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</si>
  <si>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</si>
  <si>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</si>
  <si>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</si>
  <si>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</si>
  <si>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</si>
  <si>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</si>
  <si>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</si>
  <si>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</si>
  <si>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</si>
  <si>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</si>
  <si>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</si>
  <si>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</si>
  <si>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</si>
  <si>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</si>
  <si>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</si>
  <si>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</si>
  <si>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</si>
  <si>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</si>
  <si>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</si>
  <si>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</si>
  <si>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</si>
  <si>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</si>
  <si>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</si>
  <si>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</si>
  <si>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</si>
  <si>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</si>
  <si>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</si>
  <si>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</si>
  <si>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</si>
  <si>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</si>
  <si>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</si>
  <si>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</si>
  <si>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</si>
  <si>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</si>
  <si>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</si>
  <si>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</si>
  <si>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</si>
  <si>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</si>
  <si>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</si>
  <si>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</si>
  <si>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</si>
  <si>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</si>
  <si>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</si>
  <si>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</si>
  <si>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</si>
  <si>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</si>
  <si>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</si>
  <si>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</si>
  <si>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</si>
  <si>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</si>
  <si>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</si>
  <si>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</si>
  <si>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</si>
  <si>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</si>
  <si>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</si>
  <si>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</si>
  <si>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</si>
  <si>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</si>
  <si>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</si>
  <si>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</si>
  <si>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</si>
  <si>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</si>
  <si>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</si>
  <si>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</si>
  <si>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</si>
  <si>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</si>
  <si>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</si>
  <si>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</si>
  <si>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</si>
  <si>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</si>
  <si>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</si>
  <si>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</si>
  <si>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</si>
  <si>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</si>
  <si>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</si>
  <si>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</si>
  <si>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</si>
  <si>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</si>
  <si>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</si>
  <si>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</si>
  <si>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</si>
  <si>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</si>
  <si>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</si>
  <si>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</si>
  <si>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</si>
  <si>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</si>
  <si>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</si>
  <si>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</si>
  <si>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</si>
  <si>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</si>
  <si>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</si>
  <si>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</si>
  <si>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</si>
  <si>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</si>
  <si>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</si>
  <si>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</si>
  <si>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</si>
  <si>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</si>
  <si>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</si>
  <si>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</si>
  <si>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</si>
  <si>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</si>
  <si>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</si>
  <si>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</si>
  <si>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</si>
  <si>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</si>
  <si>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</si>
  <si>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</si>
  <si>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</si>
  <si>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</si>
  <si>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</si>
  <si>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</si>
  <si>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</si>
  <si>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</si>
  <si>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</si>
  <si>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</si>
  <si>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</si>
  <si>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</si>
  <si>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</si>
  <si>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</si>
  <si>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</si>
  <si>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</si>
  <si>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</si>
  <si>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</si>
  <si>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</si>
  <si>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</si>
  <si>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</si>
  <si>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</si>
  <si>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</si>
  <si>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</si>
  <si>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</si>
  <si>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</si>
  <si>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</si>
  <si>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</si>
  <si>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</si>
  <si>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</si>
  <si>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</si>
  <si>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</si>
  <si>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</si>
  <si>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</si>
  <si>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</si>
  <si>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</si>
  <si>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</si>
  <si>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</si>
  <si>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</si>
  <si>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</si>
  <si>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</si>
  <si>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</si>
  <si>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</si>
  <si>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</si>
  <si>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</si>
  <si>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</si>
  <si>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</si>
  <si>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</si>
  <si>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</si>
  <si>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</si>
  <si>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</si>
  <si>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</si>
  <si>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</si>
  <si>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</si>
  <si>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</si>
  <si>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</si>
  <si>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</si>
  <si>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</si>
  <si>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</si>
  <si>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</si>
  <si>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</si>
  <si>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</si>
  <si>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</si>
  <si>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</si>
  <si>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</si>
  <si>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</si>
  <si>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</si>
  <si>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</si>
  <si>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</si>
  <si>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</si>
  <si>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</si>
  <si>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</si>
  <si>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</si>
  <si>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</si>
  <si>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</si>
  <si>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</si>
  <si>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</si>
  <si>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</si>
  <si>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</si>
  <si>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</si>
  <si>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</si>
  <si>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</si>
  <si>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</si>
  <si>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</si>
  <si>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</si>
  <si>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</si>
  <si>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</si>
  <si>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</si>
  <si>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</si>
  <si>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</si>
  <si>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</si>
  <si>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</si>
  <si>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</si>
  <si>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</si>
  <si>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</si>
  <si>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</si>
  <si>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</si>
  <si>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</si>
  <si>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</si>
  <si>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</si>
  <si>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</si>
  <si>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</si>
  <si>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</si>
  <si>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</si>
  <si>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</si>
  <si>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</si>
  <si>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</si>
  <si>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</si>
  <si>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</si>
  <si>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</si>
  <si>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</si>
  <si>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</si>
  <si>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</si>
  <si>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</si>
  <si>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</si>
  <si>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</si>
  <si>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</si>
  <si>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</si>
  <si>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</si>
  <si>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</si>
  <si>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</si>
  <si>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</si>
  <si>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</si>
  <si>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</si>
  <si>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</si>
  <si>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</si>
  <si>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</si>
  <si>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</si>
  <si>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</si>
  <si>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</si>
  <si>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</si>
  <si>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</si>
  <si>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</si>
  <si>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</si>
  <si>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</si>
  <si>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</si>
  <si>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</si>
  <si>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</si>
  <si>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</si>
  <si>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</si>
  <si>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</si>
  <si>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</si>
  <si>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</si>
  <si>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</si>
  <si>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</si>
  <si>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</si>
  <si>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</si>
  <si>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</si>
  <si>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</si>
  <si>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</si>
  <si>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</si>
  <si>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</si>
  <si>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</si>
  <si>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</si>
  <si>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</si>
  <si>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</si>
  <si>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</si>
  <si>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</si>
  <si>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</si>
  <si>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</si>
  <si>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</si>
  <si>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</si>
  <si>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</si>
  <si>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</si>
  <si>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</si>
  <si>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</si>
  <si>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</si>
  <si>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</si>
  <si>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</si>
  <si>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</si>
  <si>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</si>
  <si>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</si>
  <si>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</si>
  <si>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</si>
  <si>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</si>
  <si>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</si>
  <si>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</si>
  <si>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</si>
  <si>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</si>
  <si>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</si>
  <si>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</si>
  <si>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</si>
  <si>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</si>
  <si>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</si>
  <si>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</si>
  <si>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</si>
  <si>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</si>
  <si>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</si>
  <si>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</si>
  <si>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</si>
  <si>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</si>
  <si>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</si>
  <si>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</si>
  <si>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</si>
  <si>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</si>
  <si>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</si>
  <si>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</si>
  <si>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</si>
  <si>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</si>
  <si>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</si>
  <si>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</si>
  <si>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</si>
  <si>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</si>
  <si>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</si>
  <si>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</si>
  <si>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</si>
  <si>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</si>
  <si>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</si>
  <si>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</si>
  <si>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</si>
  <si>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</si>
  <si>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</si>
  <si>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</si>
  <si>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</si>
  <si>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</si>
  <si>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</si>
  <si>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</si>
  <si>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</si>
  <si>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</si>
  <si>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</si>
  <si>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</si>
  <si>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</si>
  <si>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</si>
  <si>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</si>
  <si>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</si>
  <si>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</si>
  <si>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</si>
  <si>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</si>
  <si>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</si>
  <si>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</si>
  <si>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</si>
  <si>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</si>
  <si>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</si>
  <si>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</si>
  <si>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</si>
  <si>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</si>
  <si>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</si>
  <si>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</si>
  <si>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</si>
  <si>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</si>
  <si>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</si>
  <si>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</si>
  <si>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</si>
  <si>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</si>
  <si>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</si>
  <si>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</si>
  <si>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</si>
  <si>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</si>
  <si>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</si>
  <si>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</si>
  <si>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</si>
  <si>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</si>
  <si>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</si>
  <si>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</si>
  <si>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</si>
  <si>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</si>
  <si>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</si>
  <si>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</si>
  <si>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</si>
  <si>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</si>
  <si>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</si>
  <si>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</si>
  <si>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</si>
  <si>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</si>
  <si>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</si>
  <si>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</si>
  <si>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</si>
  <si>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</si>
  <si>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</si>
  <si>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</si>
  <si>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</si>
  <si>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</si>
  <si>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</si>
  <si>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</si>
  <si>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</si>
  <si>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</si>
  <si>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</si>
  <si>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</si>
  <si>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</si>
  <si>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</si>
  <si>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</si>
  <si>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</si>
  <si>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</si>
  <si>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</si>
  <si>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</si>
  <si>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</si>
  <si>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</si>
  <si>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</si>
  <si>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</si>
  <si>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</si>
  <si>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</si>
  <si>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</si>
  <si>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</si>
  <si>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</si>
  <si>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</si>
  <si>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</si>
  <si>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</si>
  <si>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</si>
  <si>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</si>
  <si>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</si>
  <si>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</si>
  <si>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</si>
  <si>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</si>
  <si>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</si>
  <si>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</si>
  <si>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</si>
  <si>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</si>
  <si>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</si>
  <si>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</si>
  <si>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</si>
  <si>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</si>
  <si>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</si>
  <si>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</si>
  <si>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</si>
  <si>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</si>
  <si>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</si>
  <si>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</si>
  <si>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</si>
  <si>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</si>
  <si>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</si>
  <si>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</si>
  <si>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</si>
  <si>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</si>
  <si>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</si>
  <si>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</si>
  <si>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</si>
  <si>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</si>
  <si>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</si>
  <si>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</si>
  <si>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</si>
  <si>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</si>
  <si>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</si>
  <si>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</si>
  <si>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</si>
  <si>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</si>
  <si>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</si>
  <si>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</si>
  <si>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</si>
  <si>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</si>
  <si>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</si>
  <si>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</si>
  <si>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</si>
  <si>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</si>
  <si>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</si>
  <si>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</si>
  <si>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</si>
  <si>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</si>
  <si>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</si>
  <si>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</si>
  <si>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</si>
  <si>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</si>
  <si>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</si>
  <si>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</si>
  <si>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</si>
  <si>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</si>
  <si>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</si>
  <si>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</si>
  <si>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</si>
  <si>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</si>
  <si>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</si>
  <si>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</si>
  <si>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</si>
  <si>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</si>
  <si>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</si>
  <si>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</si>
  <si>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</si>
  <si>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</si>
  <si>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</si>
  <si>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</si>
  <si>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</si>
  <si>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</si>
  <si>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</si>
  <si>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</si>
  <si>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</si>
  <si>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</si>
  <si>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</si>
  <si>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</si>
  <si>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</si>
  <si>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</si>
  <si>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</si>
  <si>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</si>
  <si>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</si>
  <si>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</si>
  <si>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</si>
  <si>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</si>
  <si>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</si>
  <si>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</si>
  <si>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</si>
  <si>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</si>
  <si>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</si>
  <si>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</si>
  <si>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</si>
  <si>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</si>
  <si>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</si>
  <si>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</si>
  <si>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</si>
  <si>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</si>
  <si>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</si>
  <si>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</si>
  <si>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</si>
  <si>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</si>
  <si>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</si>
  <si>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</si>
  <si>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</si>
  <si>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</si>
  <si>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</si>
  <si>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</si>
  <si>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</si>
  <si>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</si>
  <si>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</si>
  <si>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</si>
  <si>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</si>
  <si>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</si>
  <si>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</si>
  <si>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</si>
  <si>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</si>
  <si>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</si>
  <si>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</si>
  <si>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</si>
  <si>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</si>
  <si>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</si>
  <si>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</si>
  <si>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</si>
  <si>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</si>
  <si>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</si>
  <si>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</si>
  <si>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</si>
  <si>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</si>
  <si>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</si>
  <si>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</si>
  <si>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</si>
  <si>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</si>
  <si>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</si>
  <si>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</si>
  <si>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</si>
  <si>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</si>
  <si>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</si>
  <si>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</si>
  <si>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</si>
  <si>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</si>
  <si>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</si>
  <si>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</si>
  <si>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</si>
  <si>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</si>
  <si>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</si>
  <si>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</si>
  <si>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</si>
  <si>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</si>
  <si>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</si>
  <si>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</si>
  <si>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</si>
  <si>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</si>
  <si>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</si>
  <si>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</si>
  <si>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</si>
  <si>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</si>
  <si>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</si>
  <si>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</si>
  <si>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</si>
  <si>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</si>
  <si>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</si>
  <si>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</si>
  <si>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</si>
  <si>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</si>
  <si>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</si>
  <si>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</si>
  <si>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</si>
  <si>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</si>
  <si>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</si>
  <si>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</si>
  <si>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</si>
  <si>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</si>
  <si>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</si>
  <si>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</si>
  <si>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</si>
  <si>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</si>
  <si>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</si>
  <si>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</si>
  <si>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</si>
  <si>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</si>
  <si>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</si>
  <si>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</si>
  <si>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</si>
  <si>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</si>
  <si>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</si>
  <si>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</si>
  <si>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</si>
  <si>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</si>
  <si>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</si>
  <si>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</si>
  <si>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</si>
  <si>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</si>
  <si>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</si>
  <si>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</si>
  <si>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</si>
  <si>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</si>
  <si>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</si>
  <si>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</si>
  <si>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</si>
  <si>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</si>
  <si>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</si>
  <si>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</si>
  <si>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</si>
  <si>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</si>
  <si>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</si>
  <si>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</si>
  <si>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</si>
  <si>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</si>
  <si>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</si>
  <si>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</si>
  <si>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</si>
  <si>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</si>
  <si>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</si>
  <si>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</si>
  <si>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</si>
  <si>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</si>
  <si>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</si>
  <si>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</si>
  <si>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</si>
  <si>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</si>
  <si>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</si>
  <si>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</si>
  <si>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</si>
  <si>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</si>
  <si>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</si>
  <si>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</si>
  <si>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</si>
  <si>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</si>
  <si>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</si>
  <si>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</si>
  <si>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</si>
  <si>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</si>
  <si>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</si>
  <si>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</si>
  <si>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</si>
  <si>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</si>
  <si>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</si>
  <si>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</si>
  <si>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</si>
  <si>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</si>
  <si>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</si>
  <si>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</si>
  <si>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</si>
  <si>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</si>
  <si>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</si>
  <si>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</si>
  <si>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</si>
  <si>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</si>
  <si>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</si>
  <si>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</si>
  <si>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</si>
  <si>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</si>
  <si>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</si>
  <si>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</si>
  <si>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</si>
  <si>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</si>
  <si>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</si>
  <si>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</si>
  <si>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</si>
  <si>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</si>
  <si>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</si>
  <si>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</si>
  <si>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</si>
  <si>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</si>
  <si>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</si>
  <si>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</si>
  <si>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</si>
  <si>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</si>
  <si>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</si>
  <si>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</si>
  <si>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</si>
  <si>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</si>
  <si>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</si>
  <si>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</si>
  <si>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</si>
  <si>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</si>
  <si>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</si>
  <si>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</si>
  <si>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</si>
  <si>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</si>
  <si>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</si>
  <si>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</si>
  <si>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</si>
  <si>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</si>
  <si>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</si>
  <si>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</si>
  <si>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</si>
  <si>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</si>
  <si>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</si>
  <si>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</si>
  <si>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</si>
  <si>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</si>
  <si>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</si>
  <si>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</si>
  <si>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</si>
  <si>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</si>
  <si>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</si>
  <si>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</si>
  <si>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</si>
  <si>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</si>
  <si>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</si>
  <si>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</si>
  <si>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</si>
  <si>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</si>
  <si>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</si>
  <si>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</si>
  <si>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</si>
  <si>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</si>
  <si>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</si>
  <si>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</si>
  <si>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</si>
  <si>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</si>
  <si>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</si>
  <si>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</si>
  <si>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</si>
  <si>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</si>
  <si>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</si>
  <si>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</si>
  <si>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</si>
  <si>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</si>
  <si>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</si>
  <si>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</si>
  <si>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</si>
  <si>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</si>
  <si>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</si>
  <si>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</si>
  <si>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</si>
  <si>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</si>
  <si>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</si>
  <si>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</si>
  <si>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</si>
  <si>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</si>
  <si>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</si>
  <si>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</si>
  <si>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</si>
  <si>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</si>
  <si>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</si>
  <si>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</si>
  <si>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</si>
  <si>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</si>
  <si>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</si>
  <si>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</si>
  <si>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</si>
  <si>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</si>
  <si>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</si>
  <si>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</si>
  <si>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</si>
  <si>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</si>
  <si>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</si>
  <si>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</si>
  <si>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</si>
  <si>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</si>
  <si>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</si>
  <si>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</si>
  <si>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</si>
  <si>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</si>
  <si>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</si>
  <si>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</si>
  <si>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</si>
  <si>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</si>
  <si>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</si>
  <si>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</si>
  <si>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</si>
  <si>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</si>
  <si>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</si>
  <si>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</si>
  <si>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</si>
  <si>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</si>
  <si>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</si>
  <si>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</si>
  <si>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</si>
  <si>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</si>
  <si>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</si>
  <si>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</si>
  <si>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</si>
  <si>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</si>
  <si>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</si>
  <si>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</si>
  <si>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</si>
  <si>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</si>
  <si>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</si>
  <si>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</si>
  <si>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</si>
  <si>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</si>
  <si>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</si>
  <si>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</si>
  <si>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</si>
  <si>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</si>
  <si>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</si>
  <si>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</si>
  <si>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</si>
  <si>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</si>
  <si>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</si>
  <si>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</si>
  <si>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</si>
  <si>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</si>
  <si>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</si>
  <si>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</si>
  <si>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</si>
  <si>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</si>
  <si>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</si>
  <si>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</si>
  <si>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</si>
  <si>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</si>
  <si>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</si>
  <si>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</si>
  <si>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</si>
  <si>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</si>
  <si>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</si>
  <si>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</si>
  <si>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</si>
  <si>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</si>
  <si>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</si>
  <si>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</si>
  <si>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</si>
  <si>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</si>
  <si>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</si>
  <si>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</si>
  <si>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</si>
  <si>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</si>
  <si>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</si>
  <si>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</si>
  <si>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</si>
  <si>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</si>
  <si>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</si>
  <si>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</si>
  <si>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</si>
  <si>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</si>
  <si>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</si>
  <si>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</si>
  <si>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</si>
  <si>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</si>
  <si>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</si>
  <si>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</si>
  <si>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</si>
  <si>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</si>
  <si>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</si>
  <si>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</si>
  <si>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</si>
  <si>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</si>
  <si>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</si>
  <si>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</si>
  <si>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</si>
  <si>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</si>
  <si>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</si>
  <si>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</si>
  <si>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</si>
  <si>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</si>
  <si>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</si>
  <si>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</si>
  <si>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</si>
  <si>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</si>
  <si>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</si>
  <si>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</si>
  <si>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</si>
  <si>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</si>
  <si>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</si>
  <si>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</si>
  <si>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</si>
  <si>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</si>
  <si>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</si>
  <si>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</si>
  <si>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</si>
  <si>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</si>
  <si>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</si>
  <si>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</si>
  <si>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</si>
  <si>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</si>
  <si>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</si>
  <si>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</si>
  <si>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</si>
  <si>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</si>
  <si>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</si>
  <si>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</si>
  <si>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</si>
  <si>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</si>
  <si>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</si>
  <si>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</si>
  <si>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</si>
  <si>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</si>
  <si>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</si>
  <si>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</si>
  <si>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</si>
  <si>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</si>
  <si>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</si>
  <si>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</si>
  <si>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</si>
  <si>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</si>
  <si>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</si>
  <si>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</si>
  <si>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</si>
  <si>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</si>
  <si>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</si>
  <si>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</si>
  <si>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</si>
  <si>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</si>
  <si>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</si>
  <si>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</si>
  <si>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</si>
  <si>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</si>
  <si>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</si>
  <si>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</si>
  <si>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</si>
  <si>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</si>
  <si>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</si>
  <si>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</si>
  <si>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</si>
  <si>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</si>
  <si>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</si>
  <si>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</si>
  <si>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</si>
  <si>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</si>
  <si>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</si>
  <si>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</si>
  <si>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</si>
  <si>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</si>
  <si>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</si>
  <si>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</si>
  <si>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</si>
  <si>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</si>
  <si>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</si>
  <si>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</si>
  <si>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</si>
  <si>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</si>
  <si>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</si>
  <si>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</si>
  <si>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</si>
  <si>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</si>
  <si>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</si>
  <si>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</si>
  <si>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</si>
  <si>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</si>
  <si>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</si>
  <si>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</si>
  <si>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</si>
  <si>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</si>
  <si>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</si>
  <si>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</si>
  <si>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</si>
  <si>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</si>
  <si>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</si>
  <si>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</si>
  <si>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</si>
  <si>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</si>
  <si>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</si>
  <si>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</si>
  <si>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</si>
  <si>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</si>
  <si>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</si>
  <si>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</si>
  <si>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</si>
  <si>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</si>
  <si>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</si>
  <si>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</si>
  <si>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</si>
  <si>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</si>
  <si>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</si>
  <si>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</si>
  <si>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</si>
  <si>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</si>
  <si>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</si>
  <si>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</si>
  <si>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</si>
  <si>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</si>
  <si>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</si>
  <si>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</si>
  <si>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</si>
  <si>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</si>
  <si>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</si>
  <si>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</si>
  <si>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</si>
  <si>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</si>
  <si>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</si>
  <si>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</si>
  <si>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</si>
  <si>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</si>
  <si>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</si>
  <si>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</si>
  <si>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</si>
  <si>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</si>
  <si>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</si>
  <si>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</si>
  <si>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</si>
  <si>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</si>
  <si>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</si>
  <si>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</si>
  <si>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</si>
  <si>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</si>
  <si>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</si>
  <si>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</si>
  <si>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</si>
  <si>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</si>
  <si>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</si>
  <si>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</si>
  <si>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</si>
  <si>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</si>
  <si>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</si>
  <si>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</si>
  <si>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</si>
  <si>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</si>
  <si>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</si>
  <si>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</si>
  <si>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</si>
  <si>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</si>
  <si>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</si>
  <si>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</si>
  <si>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</si>
  <si>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</si>
  <si>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</si>
  <si>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</si>
  <si>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</si>
  <si>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</si>
  <si>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</si>
  <si>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</si>
  <si>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</si>
  <si>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</si>
  <si>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</si>
  <si>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</si>
  <si>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</si>
  <si>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</si>
  <si>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</si>
  <si>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</si>
  <si>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</si>
  <si>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</si>
  <si>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</si>
  <si>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</si>
  <si>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</si>
  <si>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</si>
  <si>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</si>
  <si>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</si>
  <si>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</si>
  <si>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</si>
  <si>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</si>
  <si>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</si>
  <si>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</si>
  <si>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</si>
  <si>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</si>
  <si>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</si>
  <si>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</si>
  <si>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</si>
  <si>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</si>
  <si>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</si>
  <si>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</si>
  <si>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</si>
  <si>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</si>
  <si>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</si>
  <si>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</si>
  <si>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</si>
  <si>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</si>
  <si>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</si>
  <si>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</si>
  <si>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</si>
  <si>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</si>
  <si>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</si>
  <si>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</si>
  <si>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</si>
  <si>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</si>
  <si>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</si>
  <si>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</si>
  <si>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</si>
  <si>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</si>
  <si>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</si>
  <si>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</si>
  <si>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</si>
  <si>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</si>
  <si>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</si>
  <si>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</si>
  <si>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</si>
  <si>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</si>
  <si>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</si>
  <si>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</si>
  <si>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</si>
  <si>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</si>
  <si>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</si>
  <si>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</si>
  <si>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</si>
  <si>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</si>
  <si>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</si>
  <si>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</si>
  <si>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</si>
  <si>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</si>
  <si>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</si>
  <si>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</si>
  <si>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</si>
  <si>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</si>
  <si>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</si>
  <si>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</si>
  <si>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</si>
  <si>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</si>
  <si>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</si>
  <si>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</si>
  <si>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</si>
  <si>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</si>
  <si>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</si>
  <si>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</si>
  <si>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</si>
  <si>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</si>
  <si>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</si>
  <si>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</si>
  <si>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</si>
  <si>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</si>
  <si>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</si>
  <si>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</si>
  <si>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</si>
  <si>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</si>
  <si>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</si>
  <si>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</si>
  <si>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</si>
  <si>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</si>
  <si>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</si>
  <si>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</si>
  <si>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</si>
  <si>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</si>
  <si>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</si>
  <si>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</si>
  <si>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</si>
  <si>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</si>
  <si>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</si>
  <si>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</si>
  <si>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</si>
  <si>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</si>
  <si>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</si>
  <si>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</si>
  <si>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</si>
  <si>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</si>
  <si>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</si>
  <si>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</si>
  <si>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</si>
  <si>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</si>
  <si>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</si>
  <si>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</si>
  <si>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</si>
  <si>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</si>
  <si>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</si>
  <si>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</si>
  <si>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</si>
  <si>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</si>
  <si>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</si>
  <si>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</si>
  <si>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</si>
  <si>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</si>
  <si>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</si>
  <si>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</si>
  <si>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</si>
  <si>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</si>
  <si>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</si>
  <si>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</si>
  <si>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</si>
  <si>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</si>
  <si>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</si>
  <si>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</si>
  <si>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</si>
  <si>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</si>
  <si>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</si>
  <si>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</si>
  <si>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</si>
  <si>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</si>
  <si>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</si>
  <si>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</si>
  <si>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</si>
  <si>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</si>
  <si>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</si>
  <si>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</si>
  <si>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</si>
  <si>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</si>
  <si>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</si>
  <si>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</si>
  <si>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</si>
  <si>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</si>
  <si>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</si>
  <si>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</si>
  <si>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</si>
  <si>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</si>
  <si>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</si>
  <si>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</si>
  <si>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</si>
  <si>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</si>
  <si>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</si>
  <si>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</si>
  <si>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</si>
  <si>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</si>
  <si>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</si>
  <si>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</si>
  <si>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</si>
  <si>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</si>
  <si>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</si>
  <si>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</si>
  <si>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</si>
  <si>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</si>
  <si>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</si>
  <si>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</si>
  <si>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</si>
  <si>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</si>
  <si>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</si>
  <si>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</si>
  <si>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</si>
  <si>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</si>
  <si>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</si>
  <si>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</si>
  <si>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</si>
  <si>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</si>
  <si>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</si>
  <si>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</si>
  <si>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</si>
  <si>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</si>
  <si>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</si>
  <si>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</si>
  <si>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</si>
  <si>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</si>
  <si>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</si>
  <si>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</si>
  <si>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</si>
  <si>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</si>
  <si>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</si>
  <si>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</si>
  <si>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</si>
  <si>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</si>
  <si>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</si>
  <si>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</si>
  <si>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</si>
  <si>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</si>
  <si>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</si>
  <si>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</si>
  <si>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</si>
  <si>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</si>
  <si>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</si>
  <si>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</si>
  <si>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</si>
  <si>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</si>
  <si>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</si>
  <si>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</si>
  <si>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</si>
  <si>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</si>
  <si>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</si>
  <si>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</si>
  <si>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</si>
  <si>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</si>
  <si>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</si>
  <si>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</si>
  <si>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</si>
  <si>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</si>
  <si>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</si>
  <si>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</si>
  <si>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</si>
  <si>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</si>
  <si>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</si>
  <si>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</si>
  <si>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</si>
  <si>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</si>
  <si>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</si>
  <si>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</si>
  <si>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</si>
  <si>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</si>
  <si>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</si>
  <si>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</si>
  <si>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</si>
  <si>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</si>
  <si>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</si>
  <si>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</si>
  <si>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</si>
  <si>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</si>
  <si>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</si>
  <si>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</si>
  <si>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</si>
  <si>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</si>
  <si>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</si>
  <si>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</si>
  <si>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</si>
  <si>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</si>
  <si>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</si>
  <si>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</si>
  <si>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</si>
  <si>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</si>
  <si>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</si>
  <si>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</si>
  <si>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</si>
  <si>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</si>
  <si>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</si>
  <si>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</si>
  <si>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</si>
  <si>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</si>
  <si>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</si>
  <si>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</si>
  <si>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</si>
  <si>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</si>
  <si>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</si>
  <si>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</si>
  <si>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</si>
  <si>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</si>
  <si>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</si>
  <si>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</si>
  <si>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</si>
  <si>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</si>
  <si>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</si>
  <si>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</si>
  <si>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</si>
  <si>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</si>
  <si>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</si>
  <si>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</si>
  <si>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</si>
  <si>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</si>
  <si>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</si>
  <si>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</si>
  <si>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</si>
  <si>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</si>
  <si>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</si>
  <si>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</si>
  <si>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</si>
  <si>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</si>
  <si>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</si>
  <si>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</si>
  <si>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</si>
  <si>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</si>
  <si>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</si>
  <si>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</si>
  <si>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</si>
  <si>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</si>
  <si>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</si>
  <si>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</si>
  <si>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</si>
  <si>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</si>
  <si>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</si>
  <si>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</si>
  <si>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</si>
  <si>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</si>
  <si>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</si>
  <si>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</si>
  <si>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</si>
  <si>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</si>
  <si>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</si>
  <si>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</si>
  <si>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</si>
  <si>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</si>
  <si>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</si>
  <si>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</si>
  <si>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</si>
  <si>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</si>
  <si>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</si>
  <si>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</si>
  <si>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</si>
  <si>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</si>
  <si>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</si>
  <si>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</si>
  <si>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</si>
  <si>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</si>
  <si>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</si>
  <si>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</si>
  <si>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</si>
  <si>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</si>
  <si>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</si>
  <si>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</si>
  <si>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</si>
  <si>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</si>
  <si>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</si>
  <si>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</si>
  <si>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</si>
  <si>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</si>
  <si>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</si>
  <si>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</si>
  <si>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</si>
  <si>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</si>
  <si>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</si>
  <si>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</si>
  <si>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</si>
  <si>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</si>
  <si>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</si>
  <si>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</si>
  <si>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</si>
  <si>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</si>
  <si>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</si>
  <si>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</si>
  <si>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</si>
  <si>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</si>
  <si>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</si>
  <si>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</si>
  <si>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</si>
  <si>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</si>
  <si>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</si>
  <si>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</si>
  <si>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</si>
  <si>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</si>
  <si>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</si>
  <si>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</si>
  <si>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</si>
  <si>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</si>
  <si>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</si>
  <si>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</si>
  <si>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</si>
  <si>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</si>
  <si>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</si>
  <si>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</si>
  <si>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</si>
  <si>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</si>
  <si>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</si>
  <si>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</si>
  <si>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</si>
  <si>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</si>
  <si>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</si>
  <si>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</si>
  <si>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</si>
  <si>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</si>
  <si>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</si>
  <si>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</si>
  <si>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</si>
  <si>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</si>
  <si>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</si>
  <si>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</si>
  <si>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</si>
  <si>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</si>
  <si>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</si>
  <si>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</si>
  <si>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</si>
  <si>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</si>
  <si>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</si>
  <si>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</si>
  <si>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</si>
  <si>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</si>
  <si>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</si>
  <si>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</si>
  <si>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</si>
  <si>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</si>
  <si>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</si>
  <si>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</si>
  <si>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</si>
  <si>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</si>
  <si>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</si>
  <si>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</si>
  <si>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</si>
  <si>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</si>
  <si>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</si>
  <si>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</si>
  <si>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</si>
  <si>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</si>
  <si>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</si>
  <si>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</si>
  <si>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</si>
  <si>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</si>
  <si>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</si>
  <si>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</si>
  <si>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</si>
  <si>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</si>
  <si>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</si>
  <si>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</si>
  <si>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</si>
  <si>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</si>
  <si>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</si>
  <si>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</si>
  <si>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</si>
  <si>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</si>
  <si>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</si>
  <si>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</si>
  <si>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</si>
  <si>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</si>
  <si>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</si>
  <si>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</si>
  <si>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</si>
  <si>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</si>
  <si>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</si>
  <si>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</si>
  <si>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</si>
  <si>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</si>
  <si>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</si>
  <si>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</si>
  <si>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</si>
  <si>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</si>
  <si>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</si>
  <si>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</si>
  <si>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</si>
  <si>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</si>
  <si>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</si>
  <si>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</si>
  <si>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</si>
  <si>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</si>
  <si>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</si>
  <si>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</si>
  <si>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</si>
  <si>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</si>
  <si>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</si>
  <si>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</si>
  <si>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</si>
  <si>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</si>
  <si>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</si>
  <si>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</si>
  <si>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</si>
  <si>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</si>
  <si>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</si>
  <si>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</si>
  <si>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</si>
  <si>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</si>
  <si>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</si>
  <si>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</si>
  <si>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</si>
  <si>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</si>
  <si>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</si>
  <si>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</si>
  <si>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</si>
  <si>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</si>
  <si>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</si>
  <si>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</si>
  <si>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</si>
  <si>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</si>
  <si>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</si>
  <si>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</si>
  <si>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</si>
  <si>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</si>
  <si>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</si>
  <si>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</si>
  <si>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</si>
  <si>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</si>
  <si>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</si>
  <si>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</si>
  <si>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</si>
  <si>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</si>
  <si>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</si>
  <si>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</si>
  <si>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</si>
  <si>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</si>
  <si>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</si>
  <si>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</si>
  <si>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</si>
  <si>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</si>
  <si>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</si>
  <si>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</si>
  <si>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</si>
  <si>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</si>
  <si>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</si>
  <si>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</si>
  <si>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</si>
  <si>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</si>
  <si>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</si>
  <si>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</si>
  <si>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</si>
  <si>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</si>
  <si>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</si>
  <si>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</si>
  <si>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</si>
  <si>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</si>
  <si>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</si>
  <si>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</si>
  <si>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</si>
  <si>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</si>
  <si>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</si>
  <si>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</si>
  <si>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</si>
  <si>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</si>
  <si>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</si>
  <si>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</si>
  <si>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</si>
  <si>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</si>
  <si>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</si>
  <si>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</si>
  <si>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</si>
  <si>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</si>
  <si>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</si>
  <si>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</si>
  <si>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</si>
  <si>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</si>
  <si>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</si>
  <si>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</si>
  <si>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</si>
  <si>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</si>
  <si>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</si>
  <si>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</si>
  <si>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</si>
  <si>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</si>
  <si>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</si>
  <si>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</si>
  <si>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</si>
  <si>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</si>
  <si>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</si>
  <si>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</si>
  <si>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</si>
  <si>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</si>
  <si>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</si>
  <si>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</si>
  <si>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</si>
  <si>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</si>
  <si>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</si>
  <si>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</si>
  <si>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</si>
  <si>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</si>
  <si>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</si>
  <si>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</si>
  <si>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</si>
  <si>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</si>
  <si>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</si>
  <si>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</si>
  <si>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</si>
  <si>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</si>
  <si>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</si>
  <si>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</si>
  <si>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</si>
  <si>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</si>
  <si>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</si>
  <si>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</si>
  <si>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</si>
  <si>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</si>
  <si>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</si>
  <si>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</si>
  <si>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</si>
  <si>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</si>
  <si>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</si>
  <si>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</si>
  <si>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</si>
  <si>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</si>
  <si>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</si>
  <si>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</si>
  <si>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</si>
  <si>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</si>
  <si>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</si>
  <si>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</si>
  <si>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</si>
  <si>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</si>
  <si>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</si>
  <si>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</si>
  <si>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</si>
  <si>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</si>
  <si>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</si>
  <si>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</si>
  <si>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</si>
  <si>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</si>
  <si>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</si>
  <si>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</si>
  <si>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</si>
  <si>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</si>
  <si>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</si>
  <si>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</si>
  <si>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</si>
  <si>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</si>
  <si>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</si>
  <si>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</si>
  <si>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</si>
  <si>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</si>
  <si>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</si>
  <si>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</si>
  <si>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</si>
  <si>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</si>
  <si>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</si>
  <si>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</si>
  <si>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</si>
  <si>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</si>
  <si>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</si>
  <si>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</si>
  <si>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</si>
  <si>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</si>
  <si>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</si>
  <si>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</si>
  <si>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</si>
  <si>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</si>
  <si>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</si>
  <si>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</si>
  <si>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</si>
  <si>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</si>
  <si>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</si>
  <si>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</si>
  <si>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</si>
  <si>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</si>
  <si>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</si>
  <si>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</si>
  <si>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</si>
  <si>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</si>
  <si>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</si>
  <si>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</si>
  <si>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</si>
  <si>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</si>
  <si>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</si>
  <si>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</si>
  <si>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</si>
  <si>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</si>
  <si>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</si>
  <si>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</si>
  <si>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</si>
  <si>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</si>
  <si>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</si>
  <si>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</si>
  <si>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</si>
  <si>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</si>
  <si>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</si>
  <si>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</si>
  <si>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</si>
  <si>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</si>
  <si>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</si>
  <si>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</si>
  <si>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</si>
  <si>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</si>
  <si>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</si>
  <si>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</si>
  <si>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</si>
  <si>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</si>
  <si>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</si>
  <si>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</si>
  <si>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</si>
  <si>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</si>
  <si>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</si>
  <si>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</si>
  <si>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</si>
  <si>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</si>
  <si>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</si>
  <si>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</si>
  <si>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</si>
  <si>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</si>
  <si>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</si>
  <si>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</si>
  <si>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</si>
  <si>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</si>
  <si>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</si>
  <si>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</si>
  <si>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</si>
  <si>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</si>
  <si>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</si>
  <si>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</si>
  <si>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</si>
  <si>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</si>
  <si>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</si>
  <si>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</si>
  <si>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</si>
  <si>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</si>
  <si>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</si>
  <si>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</si>
  <si>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</si>
  <si>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</si>
  <si>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</si>
  <si>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</si>
  <si>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</si>
  <si>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</si>
  <si>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</si>
  <si>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</si>
  <si>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</si>
  <si>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</si>
  <si>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</si>
  <si>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</si>
  <si>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</si>
  <si>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</si>
  <si>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</si>
  <si>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</si>
  <si>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</si>
  <si>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</si>
  <si>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</si>
  <si>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</si>
  <si>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</si>
  <si>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</si>
  <si>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</si>
  <si>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</si>
  <si>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</si>
  <si>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</si>
  <si>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</si>
  <si>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</si>
  <si>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</si>
  <si>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</si>
  <si>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</si>
  <si>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</si>
  <si>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</si>
  <si>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</si>
  <si>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</si>
  <si>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</si>
  <si>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</si>
  <si>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</si>
  <si>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</si>
  <si>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</si>
  <si>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</si>
  <si>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</si>
  <si>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</si>
  <si>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</si>
  <si>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</si>
  <si>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</si>
  <si>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</si>
  <si>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</si>
  <si>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</si>
  <si>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</si>
  <si>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</si>
  <si>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</si>
  <si>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</si>
  <si>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</si>
  <si>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</si>
  <si>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</si>
  <si>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</si>
  <si>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</si>
  <si>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</si>
  <si>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</si>
  <si>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</si>
  <si>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</si>
  <si>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</si>
  <si>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</si>
  <si>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</si>
  <si>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</si>
  <si>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</si>
  <si>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</si>
  <si>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</si>
  <si>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</si>
  <si>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</si>
  <si>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</si>
  <si>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</si>
  <si>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</si>
  <si>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</si>
  <si>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</si>
  <si>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</si>
  <si>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</si>
  <si>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</si>
  <si>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</si>
  <si>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</si>
  <si>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</si>
  <si>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</si>
  <si>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</si>
  <si>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</si>
  <si>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</si>
  <si>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</si>
  <si>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</si>
  <si>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</si>
  <si>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</si>
  <si>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</si>
  <si>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</si>
  <si>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</si>
  <si>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</si>
  <si>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</si>
  <si>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</si>
  <si>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</si>
  <si>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</si>
  <si>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</si>
  <si>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</si>
  <si>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</si>
  <si>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</si>
  <si>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</si>
  <si>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</si>
  <si>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</si>
  <si>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</si>
  <si>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</si>
  <si>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</si>
  <si>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</si>
  <si>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</si>
  <si>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</si>
  <si>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</si>
  <si>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</si>
  <si>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</si>
  <si>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</si>
  <si>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</si>
  <si>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</si>
  <si>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</si>
  <si>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</si>
  <si>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</si>
  <si>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</si>
  <si>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</si>
  <si>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</si>
  <si>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</si>
  <si>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</si>
  <si>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</si>
  <si>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</si>
  <si>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</si>
  <si>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</si>
  <si>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</si>
  <si>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</si>
  <si>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</si>
  <si>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</si>
  <si>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</si>
  <si>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</si>
  <si>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</si>
  <si>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</si>
  <si>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</si>
  <si>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</si>
  <si>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</si>
  <si>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</si>
  <si>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</si>
  <si>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</si>
  <si>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</si>
  <si>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</si>
  <si>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</si>
  <si>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</si>
  <si>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</si>
  <si>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</si>
  <si>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</si>
  <si>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</si>
  <si>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</si>
  <si>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</si>
  <si>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</si>
  <si>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</si>
  <si>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</si>
  <si>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</si>
  <si>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</si>
  <si>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</si>
  <si>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</si>
  <si>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</si>
  <si>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</si>
  <si>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</si>
  <si>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</si>
  <si>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</si>
  <si>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</si>
  <si>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</si>
  <si>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</si>
  <si>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</si>
  <si>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</si>
  <si>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</si>
  <si>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</si>
  <si>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</si>
  <si>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</si>
  <si>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</si>
  <si>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</si>
  <si>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</si>
  <si>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</si>
  <si>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</si>
  <si>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</si>
  <si>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</si>
  <si>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</si>
  <si>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</si>
  <si>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</si>
  <si>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</si>
  <si>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</si>
  <si>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</si>
  <si>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</si>
  <si>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</si>
  <si>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</si>
  <si>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</si>
  <si>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</si>
  <si>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</si>
  <si>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</si>
  <si>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</si>
  <si>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</si>
  <si>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</si>
  <si>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</si>
  <si>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</si>
  <si>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</si>
  <si>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</si>
  <si>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</si>
  <si>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</si>
  <si>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</si>
  <si>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</si>
  <si>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</si>
  <si>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</si>
  <si>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</si>
  <si>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</si>
  <si>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</si>
  <si>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</si>
  <si>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</si>
  <si>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</si>
  <si>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</si>
  <si>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</si>
  <si>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</si>
  <si>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</si>
  <si>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</si>
  <si>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</si>
  <si>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</si>
  <si>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</si>
  <si>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</si>
  <si>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</si>
  <si>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</si>
  <si>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</si>
  <si>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</si>
  <si>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</si>
  <si>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</si>
  <si>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</si>
  <si>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</si>
  <si>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</si>
  <si>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</si>
  <si>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</si>
  <si>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</si>
  <si>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</si>
  <si>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</si>
  <si>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</si>
  <si>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</si>
  <si>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</si>
  <si>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</si>
  <si>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</si>
  <si>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</si>
  <si>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</si>
  <si>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</si>
  <si>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</si>
  <si>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</si>
  <si>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</si>
  <si>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</si>
  <si>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</si>
  <si>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</si>
  <si>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</si>
  <si>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</si>
  <si>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</si>
  <si>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</si>
  <si>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</si>
  <si>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</si>
  <si>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</si>
  <si>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</si>
  <si>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</si>
  <si>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</si>
  <si>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</si>
  <si>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</si>
  <si>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</si>
  <si>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</si>
  <si>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</si>
  <si>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</si>
  <si>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</si>
  <si>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</si>
  <si>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</si>
  <si>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</si>
  <si>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</si>
  <si>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</si>
  <si>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</si>
  <si>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</si>
  <si>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</si>
  <si>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</si>
  <si>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</si>
  <si>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</si>
  <si>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</si>
  <si>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</si>
  <si>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</si>
  <si>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</si>
  <si>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</si>
  <si>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</si>
  <si>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</si>
  <si>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</si>
  <si>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</si>
  <si>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</si>
  <si>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</si>
  <si>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</si>
  <si>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</si>
  <si>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</si>
  <si>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</si>
  <si>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</si>
  <si>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</si>
  <si>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</si>
  <si>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</si>
  <si>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</si>
  <si>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</si>
  <si>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</si>
  <si>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</si>
  <si>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</si>
  <si>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</si>
  <si>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</si>
  <si>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</si>
  <si>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</si>
  <si>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</si>
  <si>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</si>
  <si>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</si>
  <si>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</si>
  <si>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</si>
  <si>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</si>
  <si>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</si>
  <si>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</si>
  <si>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</si>
  <si>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</si>
  <si>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</si>
  <si>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</si>
  <si>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</si>
  <si>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</si>
  <si>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</si>
  <si>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</si>
  <si>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</si>
  <si>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</si>
  <si>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</si>
  <si>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</si>
  <si>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</si>
  <si>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</si>
  <si>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</si>
  <si>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</si>
  <si>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</si>
  <si>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</si>
  <si>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</si>
  <si>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</si>
  <si>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</si>
  <si>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</si>
  <si>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</si>
  <si>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</si>
  <si>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</si>
  <si>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</si>
  <si>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</si>
  <si>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</si>
  <si>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</si>
  <si>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</si>
  <si>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</si>
  <si>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</si>
  <si>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</si>
  <si>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</si>
  <si>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</si>
  <si>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</si>
  <si>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</si>
  <si>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</si>
  <si>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</si>
  <si>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</si>
  <si>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</si>
  <si>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</si>
  <si>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</si>
  <si>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</si>
  <si>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</si>
  <si>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</si>
  <si>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</si>
  <si>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</si>
  <si>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</si>
  <si>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</si>
  <si>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</si>
  <si>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</si>
  <si>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</si>
  <si>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</si>
  <si>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</si>
  <si>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</si>
  <si>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</si>
  <si>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</si>
  <si>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</si>
  <si>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</si>
  <si>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</si>
  <si>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</si>
  <si>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</si>
  <si>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</si>
  <si>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</si>
  <si>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</si>
  <si>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</si>
  <si>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</si>
  <si>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</si>
  <si>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</si>
  <si>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</si>
  <si>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</si>
  <si>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</si>
  <si>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</si>
  <si>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</si>
  <si>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</si>
  <si>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</si>
  <si>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</si>
  <si>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</si>
  <si>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</si>
  <si>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</si>
  <si>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</si>
  <si>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</si>
  <si>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</si>
  <si>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</si>
  <si>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</si>
  <si>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</si>
  <si>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</si>
  <si>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</si>
  <si>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</si>
  <si>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</si>
  <si>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</si>
  <si>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</si>
  <si>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</si>
  <si>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</si>
  <si>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</si>
  <si>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</si>
  <si>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</si>
  <si>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</si>
  <si>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</si>
  <si>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</si>
  <si>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</si>
  <si>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</si>
  <si>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</si>
  <si>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</si>
  <si>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</si>
  <si>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</si>
  <si>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</si>
  <si>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</si>
  <si>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</si>
  <si>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</si>
  <si>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</si>
  <si>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</si>
  <si>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</si>
  <si>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</si>
  <si>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</si>
  <si>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</si>
  <si>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</si>
  <si>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</si>
  <si>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</si>
  <si>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</si>
  <si>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</si>
  <si>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</si>
  <si>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</si>
  <si>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</si>
  <si>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</si>
  <si>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</si>
  <si>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</si>
  <si>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</si>
  <si>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</si>
  <si>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</si>
  <si>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</si>
  <si>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</si>
  <si>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</si>
  <si>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</si>
  <si>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</si>
  <si>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</si>
  <si>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</si>
  <si>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</si>
  <si>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</si>
  <si>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</si>
  <si>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</si>
  <si>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</si>
  <si>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</si>
  <si>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</si>
  <si>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</si>
  <si>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</si>
  <si>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</si>
  <si>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</si>
  <si>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</si>
  <si>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</si>
  <si>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</si>
  <si>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</si>
  <si>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</si>
  <si>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</si>
  <si>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</si>
  <si>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</si>
  <si>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</si>
  <si>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</si>
  <si>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</si>
  <si>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</si>
  <si>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</si>
  <si>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</si>
  <si>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</si>
  <si>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</si>
  <si>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</si>
  <si>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</si>
  <si>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</si>
  <si>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</si>
  <si>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</si>
  <si>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</si>
  <si>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</si>
  <si>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</si>
  <si>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</si>
  <si>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</si>
  <si>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</si>
  <si>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</si>
  <si>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</si>
  <si>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</si>
  <si>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</si>
  <si>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</si>
  <si>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</si>
  <si>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</si>
  <si>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</si>
  <si>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</si>
  <si>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</si>
  <si>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</si>
  <si>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</si>
  <si>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</si>
  <si>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</si>
  <si>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</si>
  <si>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</si>
  <si>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</si>
  <si>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</si>
  <si>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</si>
  <si>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</si>
  <si>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</si>
  <si>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</si>
  <si>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</si>
  <si>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</si>
  <si>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</si>
  <si>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</si>
  <si>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</si>
  <si>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</si>
  <si>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</si>
  <si>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</si>
  <si>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</si>
  <si>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</si>
  <si>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</si>
  <si>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</si>
  <si>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</si>
  <si>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</si>
  <si>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</si>
  <si>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</si>
  <si>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</si>
  <si>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</si>
  <si>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</si>
  <si>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</si>
  <si>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</si>
  <si>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</si>
  <si>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</si>
  <si>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</si>
  <si>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</si>
  <si>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</si>
  <si>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</si>
  <si>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</si>
  <si>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</si>
  <si>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</si>
  <si>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</si>
  <si>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</si>
  <si>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</si>
  <si>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</si>
  <si>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</si>
  <si>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</si>
  <si>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</si>
  <si>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</si>
  <si>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</si>
  <si>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</si>
  <si>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</si>
  <si>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</si>
  <si>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</si>
  <si>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</si>
  <si>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</si>
  <si>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</si>
  <si>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</si>
  <si>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</si>
  <si>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</si>
  <si>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</si>
  <si>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</si>
  <si>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</si>
  <si>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</si>
  <si>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</si>
  <si>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</si>
  <si>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</si>
  <si>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</si>
  <si>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</si>
  <si>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</si>
  <si>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</si>
  <si>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</si>
  <si>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</si>
  <si>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</si>
  <si>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</si>
  <si>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</si>
  <si>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</si>
  <si>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</si>
  <si>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</si>
  <si>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</si>
  <si>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</si>
  <si>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</si>
  <si>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</si>
  <si>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</si>
  <si>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</si>
  <si>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</si>
  <si>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</si>
  <si>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</si>
  <si>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</si>
  <si>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</si>
  <si>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</si>
  <si>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</si>
  <si>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</si>
  <si>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</si>
  <si>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</si>
  <si>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</si>
  <si>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</si>
  <si>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</si>
  <si>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</si>
  <si>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</si>
  <si>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</si>
  <si>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</si>
  <si>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</si>
  <si>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</si>
  <si>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</si>
  <si>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</si>
  <si>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</si>
  <si>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</si>
  <si>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</si>
  <si>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</si>
  <si>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</si>
  <si>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</si>
  <si>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</si>
  <si>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</si>
  <si>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</si>
  <si>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</si>
  <si>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</si>
  <si>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</si>
  <si>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</si>
  <si>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</si>
  <si>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</si>
  <si>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</si>
  <si>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</si>
  <si>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</si>
  <si>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</si>
  <si>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</si>
  <si>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</si>
  <si>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</si>
  <si>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</si>
  <si>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</si>
  <si>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</si>
  <si>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</si>
  <si>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</si>
  <si>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</si>
  <si>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</si>
  <si>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</si>
  <si>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</si>
  <si>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</si>
  <si>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</si>
  <si>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</si>
  <si>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</si>
  <si>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</si>
  <si>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</si>
  <si>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</si>
  <si>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</si>
  <si>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</si>
  <si>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</si>
  <si>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</si>
  <si>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</si>
  <si>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</si>
  <si>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</si>
  <si>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</si>
  <si>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</si>
  <si>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</si>
  <si>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</si>
  <si>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</si>
  <si>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</si>
  <si>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</si>
  <si>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</si>
  <si>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</si>
  <si>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</si>
  <si>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</si>
  <si>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</si>
  <si>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</si>
  <si>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</si>
  <si>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</si>
  <si>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</si>
  <si>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</si>
  <si>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</si>
  <si>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</si>
  <si>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</si>
  <si>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</si>
  <si>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</si>
  <si>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</si>
  <si>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</si>
  <si>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</si>
  <si>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</si>
  <si>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</si>
  <si>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</si>
  <si>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</si>
  <si>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</si>
  <si>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</si>
  <si>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</si>
  <si>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</si>
  <si>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</si>
  <si>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</si>
  <si>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</si>
  <si>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</si>
  <si>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</si>
  <si>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</si>
  <si>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</si>
  <si>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</si>
  <si>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</si>
  <si>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</si>
  <si>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</si>
  <si>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</si>
  <si>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</si>
  <si>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</si>
  <si>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</si>
  <si>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</si>
  <si>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</si>
  <si>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</si>
  <si>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</si>
  <si>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</si>
  <si>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</si>
  <si>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</si>
  <si>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</si>
  <si>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</si>
  <si>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</si>
  <si>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</si>
  <si>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</si>
  <si>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</si>
  <si>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</si>
  <si>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</si>
  <si>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</si>
  <si>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</si>
  <si>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</si>
  <si>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</si>
  <si>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</si>
  <si>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</si>
  <si>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</si>
  <si>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</si>
  <si>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</si>
  <si>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</si>
  <si>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</si>
  <si>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</si>
  <si>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</si>
  <si>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</si>
  <si>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</si>
  <si>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</si>
  <si>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</si>
  <si>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</si>
  <si>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</si>
  <si>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</si>
  <si>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</si>
  <si>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</si>
  <si>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</si>
  <si>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</si>
  <si>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</si>
  <si>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</si>
  <si>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</si>
  <si>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</si>
  <si>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</si>
  <si>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</si>
  <si>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</si>
  <si>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</si>
  <si>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</si>
  <si>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</si>
  <si>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</si>
  <si>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</si>
  <si>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</si>
  <si>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</si>
  <si>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</si>
  <si>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</si>
  <si>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</si>
  <si>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</si>
  <si>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</si>
  <si>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</si>
  <si>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</si>
  <si>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</si>
  <si>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</si>
  <si>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</si>
  <si>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</si>
  <si>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</si>
  <si>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</si>
  <si>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</si>
  <si>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</si>
  <si>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</si>
  <si>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</si>
  <si>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</si>
  <si>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</si>
  <si>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</si>
  <si>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</si>
  <si>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</si>
  <si>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</si>
  <si>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</si>
  <si>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</si>
  <si>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</si>
  <si>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</si>
  <si>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</si>
  <si>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</si>
  <si>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</si>
  <si>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</si>
  <si>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</si>
  <si>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</si>
  <si>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</si>
  <si>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</si>
  <si>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</si>
  <si>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</si>
  <si>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</si>
  <si>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</si>
  <si>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</si>
  <si>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</si>
  <si>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</si>
  <si>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</si>
  <si>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</si>
  <si>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</si>
  <si>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</si>
  <si>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</si>
  <si>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</si>
  <si>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</si>
  <si>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</si>
  <si>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</si>
  <si>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</si>
  <si>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</si>
  <si>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</si>
  <si>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</si>
  <si>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</si>
  <si>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</si>
  <si>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</si>
  <si>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</si>
  <si>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</si>
  <si>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TOTAL HARD COSTS</t>
    </r>
    <r>
      <rPr>
        <b/>
        <sz val="9"/>
        <rFont val="Arial"/>
        <family val="2"/>
      </rPr>
      <t xml:space="preserve"> (TCHC)</t>
    </r>
  </si>
  <si>
    <t>Enter Zip Here</t>
  </si>
  <si>
    <t>N/A-4%</t>
  </si>
  <si>
    <r>
      <t xml:space="preserve">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</si>
  <si>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t>Applications that propose a site within walking distance of a transit hub. The hub must rest along a transit line that follows a fixed route and daily schedule serving the public no less than 5 days per week.</t>
  </si>
  <si>
    <t>Applications that propose a site within walking distance of a public transportation stop.</t>
  </si>
  <si>
    <t>Applications for which a publicly operated/sponsored on-call transportation service is available on-site. The service must serve the public no less than 5 days per week</t>
  </si>
  <si>
    <t>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</si>
  <si>
    <t>Sept 20, 2022 Core Application - 4% Only</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</si>
  <si>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</si>
  <si>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</si>
  <si>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</si>
  <si>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</si>
  <si>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</si>
  <si>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</si>
  <si>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</si>
  <si>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</si>
  <si>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</si>
  <si>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</si>
  <si>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</si>
  <si>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</si>
  <si>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</si>
  <si>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</si>
  <si>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</si>
  <si>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</si>
  <si>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</si>
  <si>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</si>
  <si>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</si>
  <si>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</si>
  <si>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</si>
  <si>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</si>
  <si>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</si>
  <si>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</si>
  <si>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</si>
  <si>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</si>
  <si>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</si>
  <si>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</si>
  <si>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</si>
  <si>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</si>
  <si>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</si>
  <si>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</si>
  <si>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</si>
  <si>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</si>
  <si>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</si>
  <si>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</si>
  <si>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</si>
  <si>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</si>
  <si>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</si>
  <si>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</si>
  <si>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</si>
  <si>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</si>
  <si>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</si>
  <si>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</si>
  <si>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</si>
  <si>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</si>
  <si>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</si>
  <si>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</si>
  <si>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</si>
  <si>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</si>
  <si>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</si>
  <si>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</si>
  <si>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</si>
  <si>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</si>
  <si>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</si>
  <si>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</si>
  <si>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</si>
  <si>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</si>
  <si>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</si>
  <si>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</si>
  <si>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</si>
  <si>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</si>
  <si>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</si>
  <si>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</si>
  <si>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</si>
  <si>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</si>
  <si>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</si>
  <si>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</si>
  <si>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</si>
  <si>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</si>
  <si>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</si>
  <si>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</si>
  <si>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</si>
  <si>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</si>
  <si>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</si>
  <si>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</si>
  <si>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</si>
  <si>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</si>
  <si>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</si>
  <si>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</si>
  <si>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</si>
  <si>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</si>
  <si>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</si>
  <si>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</si>
  <si>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</si>
  <si>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</si>
  <si>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</si>
  <si>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</si>
  <si>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</si>
  <si>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</si>
  <si>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</si>
  <si>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4% Credit/TE Bond</t>
  </si>
  <si>
    <t>Harrison Village Apartments</t>
  </si>
  <si>
    <t>City Limits</t>
  </si>
  <si>
    <t>Renee Sandell</t>
  </si>
  <si>
    <t>2730 Cumberland Boulevard, SE</t>
  </si>
  <si>
    <t>renee@pacesfoundation.org</t>
  </si>
  <si>
    <t>Beth Brown</t>
  </si>
  <si>
    <t>750 Pearl Nix Parkway</t>
  </si>
  <si>
    <t>Executive Director</t>
  </si>
  <si>
    <t>bbrown@gainesvillehousing.org</t>
  </si>
  <si>
    <t>Electric Heat Pump</t>
  </si>
  <si>
    <t>RAD</t>
  </si>
  <si>
    <t>N/a</t>
  </si>
  <si>
    <t>TBD (only if Option A)</t>
  </si>
  <si>
    <t>Redstone Capital Partners</t>
  </si>
  <si>
    <t>Amortizing</t>
  </si>
  <si>
    <t>DDA/QCT</t>
  </si>
  <si>
    <t>Georgia Department of Community Affairs</t>
  </si>
  <si>
    <t>HUD</t>
  </si>
  <si>
    <t>Agree</t>
  </si>
  <si>
    <t>N/Ap</t>
  </si>
  <si>
    <t>Gill Group</t>
  </si>
  <si>
    <t>One Consulting Group</t>
  </si>
  <si>
    <t>Ground lease/Option</t>
  </si>
  <si>
    <t>Building</t>
  </si>
  <si>
    <t>Gazebo</t>
  </si>
  <si>
    <t>The above amenities will be included in the final plans and specifications.</t>
  </si>
  <si>
    <t>Zeffert</t>
  </si>
  <si>
    <t xml:space="preserve">The applicant will engage a qualified Accessibility Consultant to perform the required requirement checks. The development will be in full compliance regarding all accessibility per the above. Development team has vast experience in Georgia and has systems in place to easily satisfy requirements. </t>
  </si>
  <si>
    <t>Yes - W&amp;D hookups installed in each unit</t>
  </si>
  <si>
    <t>N/A - no pre-app</t>
  </si>
  <si>
    <t xml:space="preserve">Applicant has met all Experience, Capacity, and Performance Requirements. </t>
  </si>
  <si>
    <t>Real Estate Tax Exempt Allowance</t>
  </si>
  <si>
    <t>The applicant will comply with any AFFH requirements.</t>
  </si>
  <si>
    <t>The Gainesville Housing Authority is the owner of the land, and an instrumentality of the Housing Authority is a GP of the partnership.  GHA will provide a long-term ground lease to the partnership.</t>
  </si>
  <si>
    <t>Applicant is not claiming points in this section.</t>
  </si>
  <si>
    <t>The applicant is not claiming points in this section as it is a 4% RAD Preservation.</t>
  </si>
  <si>
    <t xml:space="preserve">The applicant commits to 5% of Total Construction Hard Costs to a Minority and/or Women Owned Business. </t>
  </si>
  <si>
    <t>The applicant is not claiming points in this section.</t>
  </si>
  <si>
    <t>The project is Replacement Housing for GHA's Public Housing property Harrison Square Apartments. Harrison Square Apartments was constructed in 1971 and has had minimal rehabilitation since the time it was built. Evidence is provided with the application illustrating the age of the property is substantiating the points claimed.</t>
  </si>
  <si>
    <t>Applicant followed DCA's Underwriting Assumptions and properly sourced all project financial assumptions to ensure financial feasability. The project team is fully experienced and received a qualification determination during the pre-app process. The project meets all QAP standards and is appropriately sourced.</t>
  </si>
  <si>
    <t>The applicant will comply with all the applicable Required Services.</t>
  </si>
  <si>
    <t>The Development is a New Construction RAD Preservation.</t>
  </si>
  <si>
    <t>City of Gainesville</t>
  </si>
  <si>
    <t xml:space="preserve">Georgia Power </t>
  </si>
  <si>
    <t>Water and Sewer Availability Letters are included with the Application.</t>
  </si>
  <si>
    <t>Georgia Power Electric Availability is included with the Application.</t>
  </si>
  <si>
    <t>The Applicant will adhere to all Building Sustainability Standards and have completed the Required Building Sustainability Training.</t>
  </si>
  <si>
    <t>Applicant has not applied for Nonprofit Set-Aside.</t>
  </si>
  <si>
    <t>Applicant is not applying for the CHDO set-aside.</t>
  </si>
  <si>
    <t>Hillside Square (fka Oconee Spring)</t>
  </si>
  <si>
    <t>96-055</t>
  </si>
  <si>
    <t>Village Square (fka Oconee Springs II)</t>
  </si>
  <si>
    <t>2001-051</t>
  </si>
  <si>
    <t>Peaks of Oakwood</t>
  </si>
  <si>
    <t>2017-017</t>
  </si>
  <si>
    <t>2018-.37</t>
  </si>
  <si>
    <t>Myrtle Terraces</t>
  </si>
  <si>
    <t>Ridgecrest Apartments</t>
  </si>
  <si>
    <t xml:space="preserve">Walton Harbor </t>
  </si>
  <si>
    <t>2016-012</t>
  </si>
  <si>
    <t>2019-05</t>
  </si>
  <si>
    <t>Real Property Research Group</t>
  </si>
  <si>
    <t>Paces Preservation Partners, LLC</t>
  </si>
  <si>
    <t>VP of the Manager</t>
  </si>
  <si>
    <t xml:space="preserve">Tenants are being relocated after CO's are received for the property from Gainesville Housing Authority's adjacent Public Housing Property. </t>
  </si>
  <si>
    <t>This New Construction Preservation Transaction is part of a RAD Conversion of the Gainesville Housing Authority. The Households which will be relocated to this new housing are coming from Housing that is extremely dated, obselete, and possessing life safety issues. This will serve a target population desperately in need of modernized housing and provide Gainesville Housing Authority a revitalization of a percentage of their Public Housing portfolio. This property will also improve the City of Gainesville Affordable Housing stock.</t>
  </si>
  <si>
    <t xml:space="preserve">Applicant recently closed a tax tempt bond deal in Gainesville, GA, a DCA 2020 tax exempt bond deal Waterside Oaks Apartments.  The same architect, engineer, and contractors on Waterside are involved on this application Harrison Village Apartments.  There are elements added to the construction which will differ from Waterside Oaks to include some noise mitigating construction items, HUD RAD requirements to including wiring the project for WiFi, and internet.  </t>
  </si>
  <si>
    <t>Debt service payments do not deviate from the amount shown.</t>
  </si>
  <si>
    <t>Conceptual Site Plan has been submitted to the City of Gainesville.  Conceptual development plans are approved by City of Gainesville.</t>
  </si>
  <si>
    <t>N/A- This appliction is a new construction RAD Preservation.</t>
  </si>
  <si>
    <t>Arpeggio</t>
  </si>
  <si>
    <t>The environmental report did not identify any known environmental or historical issues, and the site is vacant land with no man made elements of concern.  There is a small noise issue, but a noise assessment study was completed, with a noise attenuation plan by a third party provider for the Environmental Consultant.  The developer has agreed to provide the design, and construction elements to achieve the noise level reduction recommendations in the noise attenuation plan  There is a small body of water on the property; a pond and an intermittent tributary of North Oconee River are located on the Subject Property. The pond is on the east side, while the intermittent stream flows from the pond northwest offsite. Contemplated developments are not planned within 150 feet of these surface waters.</t>
  </si>
  <si>
    <t>The Housing Authority of the City of Gainesville</t>
  </si>
  <si>
    <t>The Housing Authority of the City of Gainesville owns the land and has a Ground Lease Agreement with the Partnership.</t>
  </si>
  <si>
    <t>The project was previously zoned RII which is acceptable for the site plan and design.  Gainesville City Planning has reviewed the Conceptual Site plan and agreed the plan and density are acceptable.</t>
  </si>
  <si>
    <t>Applicant has obtained a legal opinion as to the validity of the real estate tax exemption since the Housing Authority of the City of Gainesville will be the land owner and lessor of the land to the partnership and can provide upon request.</t>
  </si>
  <si>
    <t xml:space="preserve">The Gainesville Housing Authority is using this project as replacement housing for their Public Housing Project in Harrison Square Apartments which is adjacent to the subject site. Occupancy has been maintained at Harrison Square at 95% or greater for the last 2+ years. We are providing with the Application 24 consecutive months of occupancy rates and substantiating rent rolls. </t>
  </si>
  <si>
    <t>2022-522</t>
  </si>
  <si>
    <t>Builders Risk Insurance</t>
  </si>
  <si>
    <t>JP Morgan Chase</t>
  </si>
  <si>
    <t>Bellwether (Freddie TEL)</t>
  </si>
  <si>
    <t>Leasing Commisions and Bonuses</t>
  </si>
  <si>
    <t>1. Current real estate taxes on the raw land is abated with GHA as the land owners.  The real estate is owned by The City of Gainesville Housing Authority and leased to the partnership, so will be exempt from property tax, and will simply pay some non-ad valorem municipal fees.  A legal opinion letter has been obtained and is available upon request.
2. The insurance was quoted by third party insurance providers, and consistent with existing insurance costs, and the applicants Waterside Oaks, and GHA's last tax credit deal.                    3. GHA will operate as the management company.  They have been accepted by DCA as an approved management company.  The salary, management fees, computer and software leasing, activities manager and activities/tenant services all come from previously owned transactions by GHA with historical reference.                                                                                                   4. Insurance, salaries, services, and professional services have all experienced significant inflationary escalations at properties throughout the principal portfolios, it is anticipated these costs will continue to stay escalated for the foreseeable future.                                                                                                                                                                                                   5. Tthe project will provide high speed internet and free Wifi in the common areas which will be an additional cost of the project.                                                                                           6.  The rents on the tax credit, non-subsidized 60% and 80% units were cut because GHA has some 60-80% renters who will be relocating over from their public housing property.  GHA tried to ensure the asking rents were at a level capable of accommodating those households.  The rents were not cut due to market concerns or recommendations for lower rents in the market area.</t>
  </si>
  <si>
    <t>Cost for bulders risk insurance which will be bid by both the partnership and GC.  The current price is indicative of the costs the developer has recently encountered for BR on construction projects lasting 16 months or longer.  This will require an extension of a policy which is why the cost is higher.</t>
  </si>
  <si>
    <t>The Housing Authority of the City of Gainesville Georgia has induced bonds for this transaction in the amount of $28,000,000, however at the time of this application the total construction debt needed is approximately $25,000,000. The project is a zoned piece of real estate adjacent to a Public Housing property owned by the Gainesville Housing Authority named Harrison Square Apartments, which was built in 1971, and has now become obsolete, and in poor condition.  The Gainesville Housing Authority ("GHA") has entered the RAD process, and been issued a CHAP from HUD to provide new replacement housing for the 75 households at Harrison Square Apartments.  These households will be relocated to the property, Harrison Village Apartments, which is an adjacent site and will contain 120 family units on site.  The 120 units will provide replacement housing for the 75 households at Harrison Square Apartments.   The Gainesville Housing Authority will be a partner in the property, and currently own the land which they shall ground lease back to the partnership.  The property will have 75 project based vouchers from the RAD Conversion of an existing GHA adjacent property.  The partnership will have 15 RAD PBRA units, and 60 Section 18 PBV provided in a HAP Contract from the RAD Conversion.  This is a preservation project and upon the relocation of the households from Harrison Square Apartments, those units will be demolished and GHA, with The Paces Foundation will rebuild a new property and a subsequent phased development.</t>
  </si>
  <si>
    <t xml:space="preserve">The project consists of five low-rise multifamily apartment buildings and are using DCA's North Georgia, low-rise apartment utility allowance calculations.  The Project is part of a RAD Conversion and is providing replacement housing for a Gainesville Housing Authority property and will pay all water-and sewer, and trash.  </t>
  </si>
  <si>
    <t>The Appraisal has been completed by the Gill Group, and is included with this application.  The land Seller is the Gainesville Housing Authority and they will be ground leasing to the ownership entity and not selling it to the partnership.</t>
  </si>
  <si>
    <t>3 months</t>
  </si>
  <si>
    <t>The market study prepared by RPRG indicates a very strong demand in the market place.  The overall capture rate is 1.4%.   The GHA has a waiting list of tenants of over 10,000 households and it is expected all their PBRA units will stay full, and the quality of design will attract many new renters to the property.</t>
  </si>
  <si>
    <t>W&amp;D installed in each unit</t>
  </si>
  <si>
    <t>Conceptual Site Plans have been completed and circulated to architect who is working to finalize the development plans with the civil engineer.  Project is expected to be submitted for final plan approval by August 1, 2023.</t>
  </si>
  <si>
    <t xml:space="preserve">The applicant will comply with all Architectural Design and Quality Standards, and W&amp;D will be supplied in each unit. </t>
  </si>
  <si>
    <t>Gainesville Housing Authority owns a Public Housing Property adjacent to the Project site called Harrison Square Apartments which was built in 1971.  This application is part of their RAD Conversion of the 75 units at Harrison Square, and will provide replacement housing for 100% of the households at Harrison Square Apartments.</t>
  </si>
  <si>
    <t>The developer has committed to budget $6,000 for Internet and communication expenditures to the project to include Internet access to each unit via Wi-Fi. The budget was based on a $50 per unit per year cost as noted in the "Revenues and Expenses" tab.</t>
  </si>
  <si>
    <t>The development has budgeted sufficient dollars to provide free Internet (Wi-Fi) services in the common areas, and connections to each unit in conjunction with discussions with local Internet providers such as but not limited to Comcast. Our budget was based on experience providing similar services to other developments in our large portfolio of family projects. We have had discussions with local Internet providers to confirm our budgets are well within sufficient per unit cost to provide robust Internet services.</t>
  </si>
  <si>
    <t xml:space="preserve">In December of 2022 the Housing Authority of Gainesville was awarded a Rental Assistance Demonstration (RAD) Conversion. The purpose of this award is to convert public housing to project-based assistance under Section 8 of the Housing Act of 1937. Our development consists of 75 RAD Units. This is allowing for a conversion of 62.5% of the units to PBRA units through the RAD Conversion. This is being completed in conjunction with the Housing Authority of the City of Gainesville. The corresponding CHAP Portfolio Award is enclosed in our exhibits. </t>
  </si>
  <si>
    <t>Our development consists of 120 total units and more than half of those units (75) will be PBRA/PBV Section 18 units based on the RAD Conversion. This RAD Conversion is in conjunction with the Housing Authority of the City of Gainesville. 75 of the units will be Replacement Housing of the RAD Conversion.</t>
  </si>
  <si>
    <t>All justification comments have been provided above.  The application is to provide replacement housing for the Gainesville Housing Authority's RAD Conversion.  The project will have 75 households relocating from an adjacent public housing site, and converting through the HUD RAD program.  The property has provided a HAP financing commitment from GHA, which includes the HUD CHAP for their existing property.  This will be some of GHA's last public housing conversions, and they are reserving all of their RAD Faircloth vouchers for the second phase of this development which shall include</t>
  </si>
  <si>
    <t>Gainesville Housing Authority</t>
  </si>
  <si>
    <t>The project is a new construction, and will be replacement housing for Gainesville Housing Authority's existing Public Housing property, Harrison Square Apartments, which is adjacent to the subject site.  There will be no temporary or interim relocation of households at Harrison Square.  The households will be relocated to the new property once their units have been completed.  The moving and relocation costs are contained within the operating budget and relocation plan provided in the application.  The Gainesville Housing Authority is acting as the manager and will handle the relocation of their 75 households from Harrison Square Apartments.  They have experience handling relocations of this nature on previous properties which also contained tax credits.  The budget for relocation is ample to handle.</t>
  </si>
  <si>
    <t>Local Government</t>
  </si>
  <si>
    <t>The applicant has provided an updated sources of funds based on the most recent and available financing information from our lending partners JP Morgan Chase, Bellwether as the Freddie TEL Lender, and Redstone Capital Partners, who was the investor in the Gainesville Housing Authority's last award winning tax credit deal.</t>
  </si>
  <si>
    <t>Builder's Risk is an eligible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</si>
</sst>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sz val="11"/>
      <color theme="0"/>
      <name val="Arial"/>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i/>
      <sz val="16"/>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s>
  <cellStyleXfs count="37">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3" fillId="0" borderId="0"/>
  </cellStyleXfs>
  <cellXfs count="405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228" fillId="0" borderId="0" xfId="0" applyFont="1" applyAlignment="1">
      <alignment horizontal="center"/>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7"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181" fontId="4" fillId="0" borderId="187"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8"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89"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89" xfId="0" applyNumberFormat="1" applyFont="1" applyFill="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1" xfId="0" applyNumberFormat="1" applyFont="1" applyFill="1" applyBorder="1" applyAlignment="1" applyProtection="1">
      <alignment horizontal="center" vertical="center"/>
      <protection locked="0"/>
    </xf>
    <xf numFmtId="38" fontId="8" fillId="13" borderId="191"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left"/>
    </xf>
    <xf numFmtId="0" fontId="95" fillId="0" borderId="0" xfId="0" applyFont="1" applyAlignment="1">
      <alignment horizontal="center"/>
    </xf>
    <xf numFmtId="0" fontId="95" fillId="0" borderId="0" xfId="0" applyFont="1" applyAlignment="1">
      <alignment horizontal="left" vertical="center"/>
    </xf>
    <xf numFmtId="0" fontId="243" fillId="0" borderId="0" xfId="0" applyFont="1" applyAlignment="1">
      <alignment horizontal="left"/>
    </xf>
    <xf numFmtId="0" fontId="95" fillId="0" borderId="0" xfId="0" applyFont="1" applyAlignment="1">
      <alignment horizontal="center" vertical="top"/>
    </xf>
    <xf numFmtId="0" fontId="95" fillId="0" borderId="0" xfId="0" applyFont="1" applyAlignment="1">
      <alignment vertical="top"/>
    </xf>
    <xf numFmtId="0" fontId="95" fillId="0" borderId="0" xfId="0" applyFont="1" applyAlignment="1">
      <alignment horizontal="left" vertical="top"/>
    </xf>
    <xf numFmtId="0" fontId="92" fillId="0" borderId="0" xfId="0" applyFont="1" applyAlignment="1">
      <alignment vertical="top"/>
    </xf>
    <xf numFmtId="0" fontId="228" fillId="0" borderId="0" xfId="0" applyFont="1"/>
    <xf numFmtId="0" fontId="95" fillId="0" borderId="0" xfId="0" applyFont="1" applyAlignment="1">
      <alignment vertical="top" wrapText="1"/>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4"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5" fillId="0" borderId="0" xfId="0" applyFont="1" applyAlignment="1">
      <alignment vertical="center"/>
    </xf>
    <xf numFmtId="0" fontId="245"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7"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6"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0" fontId="95" fillId="0" borderId="0" xfId="0" applyFont="1" applyAlignment="1">
      <alignment horizontal="center" wrapText="1"/>
    </xf>
    <xf numFmtId="0" fontId="95" fillId="0" borderId="0" xfId="0" applyFont="1" applyAlignment="1">
      <alignment horizontal="center" vertical="center" wrapText="1"/>
    </xf>
    <xf numFmtId="0" fontId="252" fillId="0" borderId="0" xfId="0" applyFont="1" applyAlignment="1">
      <alignment horizontal="left"/>
    </xf>
    <xf numFmtId="0" fontId="253" fillId="0" borderId="0" xfId="0" applyFont="1" applyAlignment="1">
      <alignment horizontal="center"/>
    </xf>
    <xf numFmtId="0" fontId="253" fillId="0" borderId="0" xfId="0" applyFont="1" applyAlignment="1">
      <alignment horizontal="left"/>
    </xf>
    <xf numFmtId="0" fontId="101" fillId="0" borderId="0" xfId="0" applyFont="1" applyAlignment="1" applyProtection="1">
      <alignment vertical="top"/>
      <protection locked="0"/>
    </xf>
    <xf numFmtId="0" fontId="129" fillId="0" borderId="0" xfId="0" applyFont="1" applyAlignment="1">
      <alignment vertical="center"/>
    </xf>
    <xf numFmtId="0" fontId="129" fillId="0" borderId="0" xfId="0" applyFont="1" applyAlignment="1">
      <alignment vertical="center" wrapText="1"/>
    </xf>
    <xf numFmtId="0" fontId="101" fillId="0" borderId="0" xfId="0" applyFont="1" applyAlignment="1" applyProtection="1">
      <alignment vertical="top" wrapText="1"/>
      <protection locked="0"/>
    </xf>
    <xf numFmtId="0" fontId="101" fillId="0" borderId="0" xfId="0" applyFont="1" applyAlignment="1">
      <alignment vertical="center" wrapText="1"/>
    </xf>
    <xf numFmtId="49" fontId="257" fillId="0" borderId="0" xfId="0" applyNumberFormat="1" applyFont="1" applyAlignment="1">
      <alignment vertical="center"/>
    </xf>
    <xf numFmtId="49" fontId="257" fillId="0" borderId="0" xfId="0" applyNumberFormat="1" applyFont="1" applyAlignment="1">
      <alignment vertical="center" wrapText="1"/>
    </xf>
    <xf numFmtId="0" fontId="233" fillId="0" borderId="0" xfId="0" applyFont="1" applyAlignment="1">
      <alignment horizontal="left" vertical="center"/>
    </xf>
    <xf numFmtId="0" fontId="101" fillId="0" borderId="0" xfId="0" applyFont="1" applyAlignment="1">
      <alignment horizontal="right" vertical="center"/>
    </xf>
    <xf numFmtId="0" fontId="91" fillId="0" borderId="0" xfId="0" applyFont="1" applyAlignment="1">
      <alignment vertical="center" wrapText="1"/>
    </xf>
    <xf numFmtId="0" fontId="101" fillId="0" borderId="0" xfId="0" applyFont="1" applyAlignment="1" applyProtection="1">
      <alignment vertical="center"/>
      <protection locked="0"/>
    </xf>
    <xf numFmtId="0" fontId="259" fillId="0" borderId="0" xfId="0" applyFont="1" applyAlignment="1">
      <alignment vertical="center"/>
    </xf>
    <xf numFmtId="0" fontId="259"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233" fillId="0" borderId="0" xfId="0" applyFont="1" applyAlignment="1" applyProtection="1">
      <alignment vertical="center"/>
      <protection locked="0"/>
    </xf>
    <xf numFmtId="0" fontId="94" fillId="0" borderId="0" xfId="0" quotePrefix="1" applyFont="1" applyAlignment="1">
      <alignment horizontal="center"/>
    </xf>
    <xf numFmtId="0" fontId="94" fillId="0" borderId="0" xfId="0" applyFont="1" applyAlignment="1">
      <alignment vertical="top" wrapText="1"/>
    </xf>
    <xf numFmtId="169" fontId="101" fillId="0" borderId="0" xfId="0" applyNumberFormat="1" applyFont="1" applyAlignment="1" applyProtection="1">
      <alignment vertical="center"/>
      <protection locked="0"/>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center" wrapText="1"/>
    </xf>
    <xf numFmtId="0" fontId="101" fillId="0" borderId="0" xfId="0" applyFont="1" applyAlignment="1" applyProtection="1">
      <alignment horizontal="left"/>
      <protection locked="0"/>
    </xf>
    <xf numFmtId="0" fontId="101" fillId="0" borderId="0" xfId="0" quotePrefix="1" applyFont="1" applyAlignment="1">
      <alignment horizontal="left" vertical="center"/>
    </xf>
    <xf numFmtId="177" fontId="101" fillId="0" borderId="0" xfId="0" applyNumberFormat="1" applyFont="1" applyAlignment="1" applyProtection="1">
      <alignment vertical="center"/>
      <protection locked="0"/>
    </xf>
    <xf numFmtId="0" fontId="101" fillId="0" borderId="0" xfId="0" applyFont="1" applyAlignment="1">
      <alignment horizontal="center" vertical="center" wrapText="1"/>
    </xf>
    <xf numFmtId="0" fontId="101" fillId="0" borderId="0" xfId="0" applyFont="1" applyAlignment="1">
      <alignment horizontal="left"/>
    </xf>
    <xf numFmtId="10" fontId="101" fillId="0" borderId="0" xfId="10" applyNumberFormat="1" applyFont="1" applyFill="1" applyBorder="1" applyAlignment="1" applyProtection="1">
      <alignment horizontal="center" vertical="center"/>
    </xf>
    <xf numFmtId="0" fontId="233" fillId="0" borderId="0" xfId="0" applyFont="1" applyAlignment="1">
      <alignment vertical="center"/>
    </xf>
    <xf numFmtId="0" fontId="101" fillId="0" borderId="0" xfId="0" applyFont="1" applyAlignment="1" applyProtection="1">
      <alignment horizontal="center"/>
      <protection locked="0"/>
    </xf>
    <xf numFmtId="6" fontId="101" fillId="0" borderId="0" xfId="0" applyNumberFormat="1" applyFont="1" applyAlignment="1" applyProtection="1">
      <alignment vertical="center"/>
      <protection locked="0"/>
    </xf>
    <xf numFmtId="0" fontId="233" fillId="0" borderId="0" xfId="0" applyFont="1" applyAlignment="1" applyProtection="1">
      <alignment vertical="top"/>
      <protection locked="0"/>
    </xf>
    <xf numFmtId="0" fontId="233" fillId="0" borderId="0" xfId="0" applyFont="1" applyAlignment="1" applyProtection="1">
      <alignment vertical="top" wrapText="1"/>
      <protection locked="0"/>
    </xf>
    <xf numFmtId="49" fontId="101" fillId="0" borderId="0" xfId="0" applyNumberFormat="1" applyFont="1" applyAlignment="1">
      <alignment vertical="center"/>
    </xf>
    <xf numFmtId="0" fontId="101" fillId="0" borderId="0" xfId="0" applyFont="1" applyProtection="1">
      <protection locked="0"/>
    </xf>
    <xf numFmtId="0" fontId="101" fillId="0" borderId="0" xfId="0" applyFont="1" applyAlignment="1" applyProtection="1">
      <alignment horizontal="left" vertical="center"/>
      <protection locked="0"/>
    </xf>
    <xf numFmtId="0" fontId="101" fillId="0" borderId="0" xfId="0" quotePrefix="1" applyFont="1" applyAlignment="1">
      <alignment horizontal="center" vertical="center"/>
    </xf>
    <xf numFmtId="167" fontId="101" fillId="0" borderId="0" xfId="0" applyNumberFormat="1" applyFont="1" applyAlignment="1" applyProtection="1">
      <alignment horizontal="center" vertical="center"/>
      <protection locked="0"/>
    </xf>
    <xf numFmtId="0" fontId="101" fillId="0" borderId="0" xfId="0" applyFont="1" applyAlignment="1">
      <alignment horizontal="right"/>
    </xf>
    <xf numFmtId="0" fontId="260" fillId="0" borderId="0" xfId="6" applyFont="1" applyFill="1" applyBorder="1" applyAlignment="1" applyProtection="1">
      <alignment vertical="center"/>
      <protection locked="0"/>
    </xf>
    <xf numFmtId="0" fontId="101" fillId="0" borderId="0" xfId="0" quotePrefix="1" applyFont="1"/>
    <xf numFmtId="0" fontId="111" fillId="0" borderId="0" xfId="6" applyFont="1" applyFill="1" applyBorder="1" applyAlignment="1" applyProtection="1">
      <alignment vertical="center"/>
      <protection locked="0"/>
    </xf>
    <xf numFmtId="0" fontId="233" fillId="0" borderId="0" xfId="0" applyFont="1" applyAlignment="1" applyProtection="1">
      <alignment horizontal="left" vertical="center"/>
      <protection locked="0"/>
    </xf>
    <xf numFmtId="1" fontId="101" fillId="0" borderId="0" xfId="0" applyNumberFormat="1" applyFont="1" applyAlignment="1" applyProtection="1">
      <alignment horizontal="center" vertical="center"/>
      <protection locked="0"/>
    </xf>
    <xf numFmtId="0" fontId="101" fillId="0" borderId="0" xfId="0" quotePrefix="1" applyFont="1" applyAlignment="1">
      <alignment horizontal="right"/>
    </xf>
    <xf numFmtId="0" fontId="101" fillId="0" borderId="0" xfId="0" quotePrefix="1" applyFont="1" applyAlignment="1">
      <alignment vertical="center"/>
    </xf>
    <xf numFmtId="167" fontId="101" fillId="0" borderId="0" xfId="0" applyNumberFormat="1" applyFont="1" applyProtection="1">
      <protection locked="0"/>
    </xf>
    <xf numFmtId="0" fontId="101" fillId="0" borderId="0" xfId="0" applyFont="1" applyAlignment="1" applyProtection="1">
      <alignment vertical="center" wrapText="1"/>
      <protection locked="0"/>
    </xf>
    <xf numFmtId="0" fontId="101" fillId="0" borderId="0" xfId="0" quotePrefix="1" applyFont="1" applyAlignment="1">
      <alignment vertical="top"/>
    </xf>
    <xf numFmtId="0" fontId="101" fillId="0" borderId="0" xfId="0" applyFont="1" applyAlignment="1">
      <alignment vertical="top"/>
    </xf>
    <xf numFmtId="0" fontId="101" fillId="0" borderId="0" xfId="0" applyFont="1" applyAlignment="1" applyProtection="1">
      <alignment horizontal="center" vertical="top"/>
      <protection locked="0"/>
    </xf>
    <xf numFmtId="0" fontId="94" fillId="0" borderId="0" xfId="0" applyFont="1" applyAlignment="1" applyProtection="1">
      <alignment vertical="top"/>
      <protection locked="0"/>
    </xf>
    <xf numFmtId="0" fontId="94" fillId="0" borderId="0" xfId="0" applyFont="1" applyAlignment="1" applyProtection="1">
      <alignment vertical="top" wrapText="1"/>
      <protection locked="0"/>
    </xf>
    <xf numFmtId="0" fontId="101" fillId="0" borderId="0" xfId="0" applyFont="1" applyAlignment="1">
      <alignment vertical="top" wrapText="1"/>
    </xf>
    <xf numFmtId="0" fontId="94" fillId="0" borderId="0" xfId="0" applyFont="1" applyAlignment="1">
      <alignment wrapText="1"/>
    </xf>
    <xf numFmtId="0" fontId="101" fillId="0" borderId="0" xfId="0" applyFont="1" applyAlignment="1">
      <alignment horizontal="center" vertical="top" wrapText="1"/>
    </xf>
    <xf numFmtId="0" fontId="94" fillId="0" borderId="0" xfId="0" applyFont="1" applyAlignment="1">
      <alignment vertical="top"/>
    </xf>
    <xf numFmtId="173" fontId="101" fillId="0" borderId="0" xfId="10" applyNumberFormat="1" applyFont="1" applyFill="1" applyBorder="1" applyAlignment="1" applyProtection="1">
      <alignment vertical="center"/>
    </xf>
    <xf numFmtId="0" fontId="233" fillId="0" borderId="0" xfId="0" applyFont="1"/>
    <xf numFmtId="49" fontId="253" fillId="0" borderId="0" xfId="0" applyNumberFormat="1" applyFont="1" applyAlignment="1">
      <alignment vertical="center"/>
    </xf>
    <xf numFmtId="37" fontId="101" fillId="0" borderId="0" xfId="0" applyNumberFormat="1" applyFont="1" applyAlignment="1" applyProtection="1">
      <alignment vertical="center"/>
      <protection locked="0"/>
    </xf>
    <xf numFmtId="0" fontId="91" fillId="0" borderId="0" xfId="0" applyFont="1" applyAlignment="1" applyProtection="1">
      <alignment vertical="center"/>
      <protection locked="0"/>
    </xf>
    <xf numFmtId="0" fontId="233" fillId="0" borderId="0" xfId="0" applyFont="1" applyAlignment="1">
      <alignment vertical="top" wrapText="1"/>
    </xf>
    <xf numFmtId="0" fontId="233" fillId="0" borderId="0" xfId="0" applyFont="1" applyAlignment="1">
      <alignment vertical="top"/>
    </xf>
    <xf numFmtId="3" fontId="101" fillId="0" borderId="0" xfId="0" applyNumberFormat="1" applyFont="1" applyAlignment="1" applyProtection="1">
      <alignment vertical="center"/>
      <protection locked="0"/>
    </xf>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Alignment="1">
      <alignment wrapText="1"/>
    </xf>
    <xf numFmtId="38" fontId="101" fillId="0" borderId="0" xfId="0" applyNumberFormat="1" applyFont="1" applyAlignment="1">
      <alignment vertical="center"/>
    </xf>
    <xf numFmtId="38" fontId="101" fillId="0" borderId="0" xfId="0" applyNumberFormat="1" applyFont="1" applyAlignment="1" applyProtection="1">
      <alignment vertical="center"/>
      <protection locked="0"/>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pplyProtection="1">
      <alignment horizontal="center" vertical="center"/>
      <protection locked="0"/>
    </xf>
    <xf numFmtId="38" fontId="101" fillId="0" borderId="0" xfId="0" applyNumberFormat="1" applyFont="1" applyAlignment="1" applyProtection="1">
      <alignment horizontal="center" vertical="center"/>
      <protection locked="0"/>
    </xf>
    <xf numFmtId="166" fontId="101" fillId="0" borderId="0" xfId="0" applyNumberFormat="1" applyFont="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60" fillId="0" borderId="0" xfId="0" applyFont="1" applyAlignment="1">
      <alignment vertical="center"/>
    </xf>
    <xf numFmtId="0" fontId="261" fillId="0" borderId="0" xfId="0" quotePrefix="1" applyFont="1" applyAlignment="1">
      <alignment vertical="center"/>
    </xf>
    <xf numFmtId="0" fontId="26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38" fontId="101" fillId="0" borderId="0" xfId="0" applyNumberFormat="1" applyFont="1" applyAlignment="1">
      <alignment horizontal="center" vertical="center"/>
    </xf>
    <xf numFmtId="0" fontId="253" fillId="0" borderId="0" xfId="0" applyFont="1" applyAlignment="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3" fillId="0" borderId="0" xfId="0" applyFont="1" applyAlignment="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Alignment="1" applyProtection="1">
      <alignment horizontal="right" vertical="center"/>
      <protection locked="0"/>
    </xf>
    <xf numFmtId="0" fontId="95" fillId="0" borderId="0" xfId="0" applyFont="1" applyAlignment="1" applyProtection="1">
      <alignment vertical="top" wrapText="1"/>
      <protection locked="0"/>
    </xf>
    <xf numFmtId="0" fontId="252" fillId="0" borderId="0" xfId="0" applyFont="1" applyAlignment="1">
      <alignment horizontal="center" vertical="center"/>
    </xf>
    <xf numFmtId="0" fontId="233" fillId="0" borderId="0" xfId="0" applyFont="1" applyAlignment="1" applyProtection="1">
      <alignment vertical="center" wrapText="1"/>
      <protection locked="0"/>
    </xf>
    <xf numFmtId="0" fontId="256" fillId="0" borderId="0" xfId="0" applyFont="1" applyAlignment="1">
      <alignment horizontal="right" vertical="center"/>
    </xf>
    <xf numFmtId="4" fontId="101" fillId="0" borderId="0" xfId="0" applyNumberFormat="1" applyFont="1" applyAlignment="1">
      <alignment horizontal="right" vertical="center"/>
    </xf>
    <xf numFmtId="0" fontId="94" fillId="0" borderId="0" xfId="0" applyFont="1" applyAlignment="1">
      <alignment horizontal="right" vertical="center"/>
    </xf>
    <xf numFmtId="3" fontId="101" fillId="0" borderId="0" xfId="0" applyNumberFormat="1" applyFont="1" applyAlignment="1">
      <alignment horizontal="center" vertical="center"/>
    </xf>
    <xf numFmtId="164" fontId="256" fillId="0" borderId="0" xfId="1" applyNumberFormat="1" applyFont="1" applyFill="1" applyBorder="1" applyAlignment="1" applyProtection="1">
      <alignment horizontal="right" vertical="center"/>
    </xf>
    <xf numFmtId="171" fontId="101" fillId="0" borderId="0" xfId="0" applyNumberFormat="1" applyFont="1" applyAlignment="1">
      <alignment vertical="center"/>
    </xf>
    <xf numFmtId="171" fontId="101" fillId="0" borderId="0" xfId="0" applyNumberFormat="1" applyFont="1" applyAlignment="1">
      <alignment horizontal="center" vertical="center"/>
    </xf>
    <xf numFmtId="166" fontId="233" fillId="0" borderId="0" xfId="0" applyNumberFormat="1" applyFont="1" applyAlignment="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Alignment="1">
      <alignment horizontal="center" vertical="center"/>
    </xf>
    <xf numFmtId="0" fontId="256" fillId="0" borderId="0" xfId="0" applyFont="1" applyAlignment="1">
      <alignment horizontal="left" vertical="center"/>
    </xf>
    <xf numFmtId="164" fontId="256" fillId="0" borderId="0" xfId="0" applyNumberFormat="1" applyFont="1" applyAlignment="1">
      <alignment vertical="center"/>
    </xf>
    <xf numFmtId="0" fontId="95" fillId="0" borderId="0" xfId="0" applyFont="1" applyAlignment="1" applyProtection="1">
      <alignment wrapText="1"/>
      <protection locked="0"/>
    </xf>
    <xf numFmtId="0" fontId="256" fillId="0" borderId="0" xfId="0" applyFont="1" applyAlignment="1">
      <alignment vertical="top"/>
    </xf>
    <xf numFmtId="0" fontId="256" fillId="0" borderId="0" xfId="0" applyFont="1" applyAlignment="1">
      <alignment vertical="center"/>
    </xf>
    <xf numFmtId="4" fontId="256" fillId="0" borderId="0" xfId="1" applyNumberFormat="1" applyFont="1" applyFill="1" applyBorder="1" applyAlignment="1" applyProtection="1">
      <alignment horizontal="right" vertical="center"/>
    </xf>
    <xf numFmtId="171" fontId="263" fillId="0" borderId="0" xfId="0" applyNumberFormat="1" applyFont="1" applyAlignment="1">
      <alignment horizontal="left" vertical="center"/>
    </xf>
    <xf numFmtId="4" fontId="256" fillId="0" borderId="0" xfId="1" applyNumberFormat="1" applyFont="1" applyFill="1" applyBorder="1" applyAlignment="1" applyProtection="1">
      <alignment vertical="center"/>
    </xf>
    <xf numFmtId="171" fontId="263" fillId="0" borderId="0" xfId="0" applyNumberFormat="1" applyFont="1" applyAlignment="1">
      <alignment vertical="center"/>
    </xf>
    <xf numFmtId="0" fontId="263" fillId="0" borderId="0" xfId="0" applyFont="1" applyAlignment="1">
      <alignment vertical="center"/>
    </xf>
    <xf numFmtId="0" fontId="258" fillId="0" borderId="0" xfId="0" applyFont="1" applyAlignment="1">
      <alignment horizontal="left" vertical="center"/>
    </xf>
    <xf numFmtId="4" fontId="256" fillId="0" borderId="0" xfId="0" applyNumberFormat="1" applyFont="1" applyAlignment="1">
      <alignment vertical="center"/>
    </xf>
    <xf numFmtId="4" fontId="101" fillId="0" borderId="0" xfId="0" applyNumberFormat="1" applyFont="1" applyAlignment="1">
      <alignment horizontal="left" vertical="center"/>
    </xf>
    <xf numFmtId="0" fontId="262"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63" fillId="0" borderId="0" xfId="0" applyFont="1" applyAlignment="1">
      <alignment horizontal="center" vertical="center"/>
    </xf>
    <xf numFmtId="37" fontId="256" fillId="0" borderId="0" xfId="0" applyNumberFormat="1" applyFont="1" applyAlignment="1">
      <alignment horizontal="center" vertical="center"/>
    </xf>
    <xf numFmtId="0" fontId="256" fillId="0" borderId="0" xfId="0" applyFont="1" applyAlignment="1" applyProtection="1">
      <alignment horizontal="center" vertical="center"/>
      <protection locked="0"/>
    </xf>
    <xf numFmtId="38" fontId="94" fillId="0" borderId="0" xfId="0" applyNumberFormat="1" applyFont="1" applyAlignment="1">
      <alignment horizontal="left" vertical="center"/>
    </xf>
    <xf numFmtId="38" fontId="91" fillId="0" borderId="0" xfId="0" applyNumberFormat="1" applyFont="1" applyAlignment="1">
      <alignment vertical="center"/>
    </xf>
    <xf numFmtId="164" fontId="101" fillId="0" borderId="0" xfId="1" applyNumberFormat="1" applyFont="1" applyFill="1" applyBorder="1" applyProtection="1"/>
    <xf numFmtId="38" fontId="263"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164" fontId="256"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Alignment="1">
      <alignment horizontal="right" vertical="center"/>
    </xf>
    <xf numFmtId="0" fontId="91" fillId="0" borderId="0" xfId="0" applyFont="1" applyAlignment="1" applyProtection="1">
      <alignment vertical="top" wrapText="1"/>
      <protection locked="0"/>
    </xf>
    <xf numFmtId="0" fontId="94" fillId="0" borderId="0" xfId="0" applyFont="1" applyAlignment="1">
      <alignment horizontal="left" vertical="center"/>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37" fontId="101" fillId="0" borderId="0" xfId="1" applyNumberFormat="1" applyFont="1" applyFill="1" applyBorder="1" applyAlignment="1" applyProtection="1">
      <alignment horizontal="center" vertical="center"/>
      <protection locked="0"/>
    </xf>
    <xf numFmtId="4" fontId="265" fillId="0" borderId="0" xfId="0" applyNumberFormat="1" applyFont="1" applyAlignment="1">
      <alignment vertical="center"/>
    </xf>
    <xf numFmtId="3" fontId="233" fillId="0" borderId="0" xfId="0" applyNumberFormat="1" applyFont="1" applyAlignment="1">
      <alignment horizontal="left" vertical="center"/>
    </xf>
    <xf numFmtId="164" fontId="94" fillId="0" borderId="0" xfId="1" applyNumberFormat="1" applyFont="1" applyFill="1" applyBorder="1" applyAlignment="1" applyProtection="1">
      <alignment vertical="center"/>
    </xf>
    <xf numFmtId="0" fontId="256" fillId="0" borderId="0" xfId="0" applyFont="1" applyAlignment="1">
      <alignment horizontal="center" vertical="center"/>
    </xf>
    <xf numFmtId="38" fontId="101"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53" fillId="0" borderId="0" xfId="0" applyFont="1" applyAlignment="1">
      <alignment horizontal="left" vertical="center"/>
    </xf>
    <xf numFmtId="3" fontId="94" fillId="0" borderId="0" xfId="0" applyNumberFormat="1"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3" fillId="0" borderId="0" xfId="0" applyFont="1" applyAlignment="1">
      <alignment horizontal="left" vertical="top"/>
    </xf>
    <xf numFmtId="0" fontId="262" fillId="0" borderId="0" xfId="0" applyFont="1" applyAlignment="1">
      <alignment horizontal="right" vertical="center"/>
    </xf>
    <xf numFmtId="0" fontId="265" fillId="0" borderId="0" xfId="0" applyFont="1" applyAlignment="1">
      <alignment vertical="center" wrapText="1"/>
    </xf>
    <xf numFmtId="10" fontId="101" fillId="0" borderId="0" xfId="0" applyNumberFormat="1" applyFont="1" applyAlignment="1" applyProtection="1">
      <alignment vertical="center"/>
      <protection locked="0"/>
    </xf>
    <xf numFmtId="10" fontId="101" fillId="0" borderId="0" xfId="0" applyNumberFormat="1" applyFont="1" applyAlignment="1">
      <alignment vertical="center"/>
    </xf>
    <xf numFmtId="0" fontId="94" fillId="0" borderId="0" xfId="0" applyFont="1" applyAlignment="1" applyProtection="1">
      <alignment vertical="center" wrapText="1"/>
      <protection locked="0"/>
    </xf>
    <xf numFmtId="0" fontId="101" fillId="0" borderId="0" xfId="0" quotePrefix="1" applyFont="1" applyAlignment="1">
      <alignment horizontal="right" vertical="center"/>
    </xf>
    <xf numFmtId="0" fontId="265"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pplyProtection="1">
      <alignment vertical="center"/>
      <protection locked="0"/>
    </xf>
    <xf numFmtId="0" fontId="129" fillId="0" borderId="0" xfId="13" applyFont="1" applyAlignment="1">
      <alignment vertical="center"/>
    </xf>
    <xf numFmtId="0" fontId="91" fillId="0" borderId="0" xfId="13" applyFont="1" applyAlignment="1">
      <alignment vertical="center"/>
    </xf>
    <xf numFmtId="0" fontId="257" fillId="0" borderId="0" xfId="13" applyFont="1" applyAlignment="1">
      <alignment vertical="top"/>
    </xf>
    <xf numFmtId="0" fontId="91" fillId="0" borderId="0" xfId="13" applyFont="1" applyAlignment="1">
      <alignment vertical="top"/>
    </xf>
    <xf numFmtId="0" fontId="267" fillId="0" borderId="0" xfId="13" applyFont="1" applyAlignment="1">
      <alignment horizontal="center" vertical="center"/>
    </xf>
    <xf numFmtId="0" fontId="94" fillId="0" borderId="0" xfId="13" applyFont="1" applyAlignment="1">
      <alignment horizontal="center" vertical="center"/>
    </xf>
    <xf numFmtId="0" fontId="94" fillId="0" borderId="0" xfId="13" applyFont="1"/>
    <xf numFmtId="0" fontId="94" fillId="0" borderId="0" xfId="13" applyFont="1" applyAlignment="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3"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xf>
    <xf numFmtId="0" fontId="94" fillId="0" borderId="0" xfId="13" applyFont="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49" fontId="91" fillId="0" borderId="0" xfId="0" applyNumberFormat="1" applyFont="1"/>
    <xf numFmtId="0" fontId="91" fillId="0" borderId="0" xfId="0" applyFont="1" applyAlignment="1">
      <alignment horizontal="left" vertical="center"/>
    </xf>
    <xf numFmtId="0" fontId="268" fillId="0" borderId="0" xfId="0" applyFont="1"/>
    <xf numFmtId="0" fontId="91" fillId="0" borderId="0" xfId="0" applyFont="1" applyAlignment="1" applyProtection="1">
      <alignment vertical="center" wrapText="1"/>
      <protection locked="0"/>
    </xf>
    <xf numFmtId="174" fontId="91" fillId="0" borderId="0" xfId="0" applyNumberFormat="1" applyFont="1" applyAlignment="1" applyProtection="1">
      <alignment vertical="center"/>
      <protection locked="0"/>
    </xf>
    <xf numFmtId="0" fontId="91" fillId="0" borderId="0" xfId="0" applyFont="1" applyAlignment="1" applyProtection="1">
      <alignment horizontal="center" vertical="center"/>
      <protection locked="0"/>
    </xf>
    <xf numFmtId="0" fontId="92" fillId="0" borderId="0" xfId="0" applyFont="1" applyAlignment="1" applyProtection="1">
      <alignment vertical="center"/>
      <protection locked="0"/>
    </xf>
    <xf numFmtId="3" fontId="94" fillId="0" borderId="0" xfId="0" applyNumberFormat="1" applyFont="1" applyAlignment="1">
      <alignment vertical="top"/>
    </xf>
    <xf numFmtId="0" fontId="95" fillId="0" borderId="0" xfId="0" applyFont="1" applyAlignment="1">
      <alignment wrapText="1"/>
    </xf>
    <xf numFmtId="0" fontId="95" fillId="0" borderId="0" xfId="0" applyFont="1" applyAlignment="1">
      <alignment textRotation="90" wrapText="1"/>
    </xf>
    <xf numFmtId="0" fontId="94" fillId="0" borderId="0" xfId="24" applyFont="1" applyAlignment="1">
      <alignment vertical="top"/>
    </xf>
    <xf numFmtId="49" fontId="91" fillId="0" borderId="0" xfId="0" quotePrefix="1" applyNumberFormat="1" applyFont="1" applyAlignment="1">
      <alignment vertical="center" wrapText="1"/>
    </xf>
    <xf numFmtId="3" fontId="91" fillId="0" borderId="0" xfId="0" applyNumberFormat="1" applyFont="1" applyAlignment="1" applyProtection="1">
      <alignment horizontal="center" vertical="center"/>
      <protection locked="0"/>
    </xf>
    <xf numFmtId="0" fontId="95" fillId="0" borderId="0" xfId="0" applyFont="1" applyAlignment="1">
      <alignment vertical="center" wrapText="1"/>
    </xf>
    <xf numFmtId="0" fontId="91"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pplyProtection="1">
      <alignment horizontal="center" vertical="center"/>
      <protection locked="0"/>
    </xf>
    <xf numFmtId="3" fontId="92" fillId="0" borderId="0" xfId="0" applyNumberFormat="1" applyFont="1" applyAlignment="1">
      <alignment horizontal="right" vertical="top"/>
    </xf>
    <xf numFmtId="0" fontId="94" fillId="0" borderId="0" xfId="0" applyFont="1" applyAlignment="1" applyProtection="1">
      <alignment vertical="center"/>
      <protection locked="0"/>
    </xf>
    <xf numFmtId="0" fontId="91" fillId="0" borderId="0" xfId="0" applyFont="1" applyAlignment="1">
      <alignment horizontal="center" vertical="center" wrapText="1"/>
    </xf>
    <xf numFmtId="0" fontId="270" fillId="0" borderId="0" xfId="0" applyFont="1" applyAlignment="1">
      <alignment vertical="center" wrapText="1"/>
    </xf>
    <xf numFmtId="0" fontId="272" fillId="0" borderId="0" xfId="0" applyFont="1" applyAlignment="1">
      <alignment horizontal="center" vertical="center" wrapText="1"/>
    </xf>
    <xf numFmtId="0" fontId="265" fillId="0" borderId="0" xfId="0" applyFont="1" applyAlignment="1">
      <alignment horizontal="center" vertical="center"/>
    </xf>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Alignment="1" applyProtection="1">
      <alignment horizontal="center" vertical="center"/>
      <protection locked="0"/>
    </xf>
    <xf numFmtId="0" fontId="95" fillId="0" borderId="0" xfId="0" applyFont="1" applyAlignment="1" applyProtection="1">
      <alignment horizontal="center" vertical="center"/>
      <protection locked="0"/>
    </xf>
    <xf numFmtId="3"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horizontal="center" vertical="center"/>
      <protection locked="0"/>
    </xf>
    <xf numFmtId="0" fontId="95" fillId="0" borderId="0" xfId="10" applyNumberFormat="1" applyFont="1" applyFill="1" applyBorder="1" applyAlignment="1" applyProtection="1">
      <alignment horizontal="center" vertical="center"/>
      <protection locked="0"/>
    </xf>
    <xf numFmtId="0" fontId="95"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Alignment="1">
      <alignment vertical="top"/>
    </xf>
    <xf numFmtId="0" fontId="94" fillId="0" borderId="0" xfId="0" applyFont="1" applyAlignment="1">
      <alignment horizontal="left" vertical="center" wrapText="1"/>
    </xf>
    <xf numFmtId="0" fontId="252" fillId="0" borderId="0" xfId="0" applyFont="1" applyAlignment="1">
      <alignment horizontal="left" vertical="center"/>
    </xf>
    <xf numFmtId="0" fontId="257" fillId="0" borderId="0" xfId="0" applyFont="1" applyAlignment="1">
      <alignment horizontal="center"/>
    </xf>
    <xf numFmtId="0" fontId="257" fillId="0" borderId="0" xfId="0" applyFont="1" applyAlignment="1">
      <alignment horizontal="right"/>
    </xf>
    <xf numFmtId="38" fontId="91" fillId="0" borderId="0" xfId="1" applyNumberFormat="1" applyFont="1" applyFill="1" applyBorder="1" applyAlignment="1" applyProtection="1">
      <alignment horizontal="right" vertical="center"/>
    </xf>
    <xf numFmtId="0" fontId="92" fillId="0" borderId="0" xfId="0" applyFont="1" applyAlignment="1">
      <alignment horizontal="left" vertical="center" wrapText="1"/>
    </xf>
    <xf numFmtId="0" fontId="251" fillId="0" borderId="0" xfId="0" applyFont="1" applyAlignment="1">
      <alignment vertical="center"/>
    </xf>
    <xf numFmtId="0" fontId="251" fillId="0" borderId="0" xfId="0" applyFont="1"/>
    <xf numFmtId="0" fontId="268" fillId="0" borderId="0" xfId="0" applyFont="1" applyAlignment="1">
      <alignment vertical="center"/>
    </xf>
    <xf numFmtId="0" fontId="273" fillId="0" borderId="0" xfId="0" applyFont="1" applyAlignment="1">
      <alignment vertical="center"/>
    </xf>
    <xf numFmtId="38" fontId="251" fillId="0" borderId="0" xfId="1" applyNumberFormat="1" applyFont="1" applyFill="1" applyBorder="1" applyAlignment="1" applyProtection="1">
      <alignment horizontal="right" vertical="center"/>
    </xf>
    <xf numFmtId="0" fontId="91" fillId="0" borderId="0" xfId="0" applyFont="1" applyAlignment="1">
      <alignment vertical="top" wrapText="1"/>
    </xf>
    <xf numFmtId="0" fontId="271"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91"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38" fontId="91" fillId="0" borderId="0" xfId="1" applyNumberFormat="1" applyFont="1" applyFill="1" applyBorder="1" applyAlignment="1" applyProtection="1">
      <alignment horizontal="right" vertical="center"/>
      <protection locked="0"/>
    </xf>
    <xf numFmtId="0" fontId="268" fillId="0" borderId="0" xfId="0" applyFont="1" applyAlignment="1">
      <alignment horizontal="left" vertical="center"/>
    </xf>
    <xf numFmtId="0" fontId="273" fillId="0" borderId="0" xfId="0" applyFont="1" applyAlignment="1">
      <alignment horizontal="left" vertical="center"/>
    </xf>
    <xf numFmtId="38" fontId="91" fillId="0" borderId="0" xfId="1" applyNumberFormat="1" applyFont="1" applyFill="1" applyBorder="1" applyAlignment="1" applyProtection="1">
      <alignment vertical="center"/>
    </xf>
    <xf numFmtId="38" fontId="251" fillId="0" borderId="0" xfId="1" applyNumberFormat="1" applyFont="1" applyFill="1" applyBorder="1" applyAlignment="1" applyProtection="1">
      <alignment vertical="center"/>
    </xf>
    <xf numFmtId="3" fontId="91" fillId="0" borderId="0" xfId="0" applyNumberFormat="1" applyFont="1" applyAlignment="1">
      <alignment vertical="center"/>
    </xf>
    <xf numFmtId="3" fontId="101" fillId="0" borderId="0" xfId="1" applyNumberFormat="1" applyFont="1" applyFill="1" applyBorder="1" applyAlignment="1" applyProtection="1">
      <alignment vertical="center"/>
    </xf>
    <xf numFmtId="0" fontId="91" fillId="0" borderId="0" xfId="0" quotePrefix="1" applyFont="1" applyAlignment="1">
      <alignment horizontal="center" vertical="center"/>
    </xf>
    <xf numFmtId="164" fontId="95" fillId="0" borderId="0" xfId="0" applyNumberFormat="1" applyFont="1" applyAlignment="1" applyProtection="1">
      <alignment vertical="center"/>
      <protection locked="0"/>
    </xf>
    <xf numFmtId="10" fontId="95" fillId="0" borderId="0" xfId="0" applyNumberFormat="1" applyFont="1" applyAlignment="1">
      <alignment vertical="center"/>
    </xf>
    <xf numFmtId="0" fontId="95" fillId="0" borderId="0" xfId="0" applyFont="1" applyAlignment="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5" fillId="0" borderId="0" xfId="0" applyNumberFormat="1" applyFont="1" applyAlignment="1" applyProtection="1">
      <alignment vertical="center"/>
      <protection locked="0"/>
    </xf>
    <xf numFmtId="3" fontId="91" fillId="0" borderId="0" xfId="0" applyNumberFormat="1" applyFont="1" applyAlignment="1" applyProtection="1">
      <alignment vertical="center"/>
      <protection locked="0"/>
    </xf>
    <xf numFmtId="0" fontId="95" fillId="0" borderId="0" xfId="0" applyFont="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91" fillId="0" borderId="0" xfId="0" applyFont="1" applyAlignment="1">
      <alignment horizontal="right" vertical="center"/>
    </xf>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Alignment="1">
      <alignment horizontal="right" vertical="center"/>
    </xf>
    <xf numFmtId="0" fontId="92" fillId="0" borderId="0" xfId="0" applyFont="1" applyAlignment="1">
      <alignment vertical="center" wrapText="1"/>
    </xf>
    <xf numFmtId="38" fontId="91" fillId="0" borderId="0" xfId="0" applyNumberFormat="1" applyFont="1" applyAlignment="1">
      <alignment horizontal="center" vertical="center"/>
    </xf>
    <xf numFmtId="38" fontId="92" fillId="0" borderId="0" xfId="0" applyNumberFormat="1" applyFont="1" applyAlignment="1" applyProtection="1">
      <alignment vertical="center" wrapText="1"/>
      <protection locked="0"/>
    </xf>
    <xf numFmtId="0" fontId="275" fillId="0" borderId="0" xfId="0" applyFont="1" applyAlignment="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6" fillId="0" borderId="0" xfId="0" applyNumberFormat="1" applyFont="1"/>
    <xf numFmtId="0" fontId="277" fillId="0" borderId="0" xfId="0" applyFont="1"/>
    <xf numFmtId="0" fontId="277" fillId="0" borderId="0" xfId="0" applyFont="1" applyAlignment="1">
      <alignment horizontal="center"/>
    </xf>
    <xf numFmtId="3" fontId="92" fillId="0" borderId="0" xfId="0" applyNumberFormat="1" applyFont="1" applyAlignment="1">
      <alignment horizontal="center" vertical="center"/>
    </xf>
    <xf numFmtId="3" fontId="95"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Alignment="1">
      <alignment horizontal="center"/>
    </xf>
    <xf numFmtId="3" fontId="91" fillId="0" borderId="0" xfId="0" applyNumberFormat="1" applyFont="1" applyAlignment="1">
      <alignment horizontal="right"/>
    </xf>
    <xf numFmtId="0" fontId="91" fillId="0" borderId="0" xfId="0" applyFont="1" applyAlignment="1">
      <alignment horizontal="right"/>
    </xf>
    <xf numFmtId="10" fontId="91" fillId="0" borderId="0" xfId="0" applyNumberFormat="1" applyFont="1" applyAlignment="1" applyProtection="1">
      <alignment horizontal="left"/>
      <protection locked="0"/>
    </xf>
    <xf numFmtId="0" fontId="91" fillId="0" borderId="0" xfId="0" applyFont="1" applyAlignment="1" applyProtection="1">
      <alignment horizontal="right" vertical="center"/>
      <protection locked="0"/>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Font="1" applyFill="1" applyBorder="1" applyProtection="1"/>
    <xf numFmtId="39" fontId="91" fillId="0" borderId="0" xfId="1" applyNumberFormat="1" applyFont="1" applyFill="1" applyBorder="1" applyAlignment="1" applyProtection="1">
      <alignment horizontal="right"/>
    </xf>
    <xf numFmtId="0" fontId="278" fillId="0" borderId="0" xfId="0" applyFont="1" applyAlignment="1">
      <alignment vertical="center"/>
    </xf>
    <xf numFmtId="49" fontId="91" fillId="0" borderId="0" xfId="0" applyNumberFormat="1" applyFont="1" applyAlignment="1">
      <alignment vertical="center"/>
    </xf>
    <xf numFmtId="0" fontId="129" fillId="0" borderId="0" xfId="0" applyFont="1"/>
    <xf numFmtId="0" fontId="267" fillId="0" borderId="0" xfId="0" applyFont="1" applyAlignment="1">
      <alignment vertical="center"/>
    </xf>
    <xf numFmtId="0" fontId="268" fillId="0" borderId="0" xfId="0" applyFont="1" applyAlignment="1">
      <alignment horizontal="left" vertical="top"/>
    </xf>
    <xf numFmtId="0" fontId="129" fillId="0" borderId="0" xfId="0" applyFont="1" applyAlignment="1">
      <alignment horizontal="center" vertical="center" wrapText="1"/>
    </xf>
    <xf numFmtId="0" fontId="91" fillId="0" borderId="0" xfId="0" applyFont="1" applyAlignment="1">
      <alignment horizontal="left" vertical="top"/>
    </xf>
    <xf numFmtId="0" fontId="92" fillId="0" borderId="0" xfId="0" applyFont="1" applyAlignment="1">
      <alignment horizontal="right" vertical="top" wrapText="1"/>
    </xf>
    <xf numFmtId="0" fontId="280" fillId="0" borderId="0" xfId="0" applyFont="1" applyAlignment="1">
      <alignment vertical="center" wrapText="1"/>
    </xf>
    <xf numFmtId="0" fontId="92" fillId="0" borderId="0" xfId="0" applyFont="1" applyAlignment="1" applyProtection="1">
      <alignment vertical="top" wrapText="1"/>
      <protection locked="0"/>
    </xf>
    <xf numFmtId="0" fontId="273" fillId="0" borderId="0" xfId="0" applyFont="1" applyAlignment="1">
      <alignment vertical="top"/>
    </xf>
    <xf numFmtId="0" fontId="273" fillId="0" borderId="0" xfId="0" applyFont="1" applyAlignment="1">
      <alignment vertical="top" wrapText="1"/>
    </xf>
    <xf numFmtId="0" fontId="92" fillId="0" borderId="0" xfId="0" applyFont="1" applyAlignment="1">
      <alignment horizontal="left" vertical="top" wrapText="1"/>
    </xf>
    <xf numFmtId="0" fontId="92" fillId="0" borderId="0" xfId="0" applyFont="1" applyAlignment="1">
      <alignment vertical="top" wrapText="1"/>
    </xf>
    <xf numFmtId="0" fontId="233" fillId="0" borderId="0" xfId="0" applyFont="1" applyAlignment="1">
      <alignment horizontal="left"/>
    </xf>
    <xf numFmtId="0" fontId="273" fillId="0" borderId="0" xfId="0" applyFont="1"/>
    <xf numFmtId="0" fontId="277" fillId="0" borderId="0" xfId="0" applyFont="1" applyAlignment="1">
      <alignment horizontal="right" vertical="center"/>
    </xf>
    <xf numFmtId="0" fontId="277" fillId="0" borderId="0" xfId="0" applyFont="1" applyAlignment="1">
      <alignment horizontal="center" vertical="center" wrapText="1"/>
    </xf>
    <xf numFmtId="0" fontId="92" fillId="0" borderId="0" xfId="0" applyFont="1" applyAlignment="1">
      <alignment horizontal="right" vertical="top"/>
    </xf>
    <xf numFmtId="0" fontId="92" fillId="0" borderId="0" xfId="0" applyFont="1" applyAlignment="1">
      <alignment horizontal="center" vertical="top"/>
    </xf>
    <xf numFmtId="0" fontId="92" fillId="0" borderId="0" xfId="0" applyFont="1" applyAlignment="1" applyProtection="1">
      <alignment vertical="top"/>
      <protection locked="0"/>
    </xf>
    <xf numFmtId="0" fontId="92" fillId="0" borderId="0" xfId="0" applyFont="1" applyAlignment="1">
      <alignment horizontal="left" vertical="top"/>
    </xf>
    <xf numFmtId="1" fontId="92" fillId="0" borderId="0" xfId="0" applyNumberFormat="1" applyFont="1" applyAlignment="1" applyProtection="1">
      <alignment horizontal="center" vertical="center"/>
      <protection locked="0"/>
    </xf>
    <xf numFmtId="1" fontId="92" fillId="0" borderId="0" xfId="0" applyNumberFormat="1" applyFont="1" applyAlignment="1">
      <alignment horizontal="center" vertical="center"/>
    </xf>
    <xf numFmtId="0" fontId="92" fillId="0" borderId="0" xfId="0" applyFont="1" applyAlignment="1">
      <alignment horizontal="right" vertical="center"/>
    </xf>
    <xf numFmtId="0" fontId="277" fillId="0" borderId="0" xfId="0" applyFont="1" applyAlignment="1">
      <alignment vertical="top"/>
    </xf>
    <xf numFmtId="0" fontId="92" fillId="0" borderId="0" xfId="0" applyFont="1" applyAlignment="1" applyProtection="1">
      <alignment horizontal="center" vertical="center"/>
      <protection locked="0"/>
    </xf>
    <xf numFmtId="0" fontId="95" fillId="0" borderId="0" xfId="0" applyFont="1" applyAlignment="1">
      <alignment horizontal="right" vertical="top"/>
    </xf>
    <xf numFmtId="0" fontId="92" fillId="0" borderId="0" xfId="0" applyFont="1" applyAlignment="1">
      <alignment horizontal="center" vertical="center" wrapText="1"/>
    </xf>
    <xf numFmtId="10" fontId="92" fillId="0" borderId="0" xfId="0" applyNumberFormat="1" applyFont="1" applyAlignment="1" applyProtection="1">
      <alignment vertical="center"/>
      <protection locked="0"/>
    </xf>
    <xf numFmtId="10" fontId="91" fillId="0" borderId="0" xfId="0" applyNumberFormat="1" applyFont="1" applyAlignment="1" applyProtection="1">
      <alignment vertical="center"/>
      <protection locked="0"/>
    </xf>
    <xf numFmtId="10" fontId="92" fillId="0" borderId="0" xfId="0" applyNumberFormat="1" applyFont="1" applyAlignment="1" applyProtection="1">
      <alignment horizontal="center" vertical="center"/>
      <protection locked="0"/>
    </xf>
    <xf numFmtId="10" fontId="92" fillId="0" borderId="0" xfId="0" applyNumberFormat="1" applyFont="1" applyAlignment="1">
      <alignment horizontal="center" vertical="center"/>
    </xf>
    <xf numFmtId="10" fontId="92" fillId="0" borderId="0" xfId="0" applyNumberFormat="1" applyFont="1" applyAlignment="1">
      <alignment vertical="center"/>
    </xf>
    <xf numFmtId="10" fontId="92" fillId="0" borderId="0" xfId="0" applyNumberFormat="1" applyFont="1" applyAlignment="1">
      <alignment horizontal="right" vertical="center"/>
    </xf>
    <xf numFmtId="175" fontId="92" fillId="0" borderId="0" xfId="0" applyNumberFormat="1" applyFont="1" applyAlignment="1" applyProtection="1">
      <alignment horizontal="center" vertical="center"/>
      <protection locked="0"/>
    </xf>
    <xf numFmtId="175" fontId="92" fillId="0" borderId="0" xfId="0" applyNumberFormat="1" applyFont="1" applyAlignment="1">
      <alignment horizontal="center" vertical="center"/>
    </xf>
    <xf numFmtId="0" fontId="92" fillId="0" borderId="0" xfId="0" applyFont="1" applyAlignment="1" applyProtection="1">
      <alignment horizontal="center" vertical="top"/>
      <protection locked="0"/>
    </xf>
    <xf numFmtId="166" fontId="92" fillId="0" borderId="0" xfId="0" applyNumberFormat="1" applyFont="1" applyAlignment="1" applyProtection="1">
      <alignment horizontal="center" vertical="center"/>
      <protection locked="0"/>
    </xf>
    <xf numFmtId="166" fontId="92" fillId="0" borderId="0" xfId="0" applyNumberFormat="1" applyFont="1" applyAlignment="1">
      <alignment horizontal="center" vertical="center"/>
    </xf>
    <xf numFmtId="0" fontId="92" fillId="0" borderId="0" xfId="0" applyFont="1" applyAlignment="1" applyProtection="1">
      <alignment vertical="center" wrapText="1"/>
      <protection locked="0"/>
    </xf>
    <xf numFmtId="175" fontId="95" fillId="0" borderId="0" xfId="0" applyNumberFormat="1" applyFont="1" applyAlignment="1" applyProtection="1">
      <alignment vertical="center"/>
      <protection locked="0"/>
    </xf>
    <xf numFmtId="0" fontId="92" fillId="0" borderId="0" xfId="0" applyFont="1" applyProtection="1">
      <protection locked="0"/>
    </xf>
    <xf numFmtId="0" fontId="91" fillId="0" borderId="0" xfId="0" applyFont="1" applyProtection="1">
      <protection locked="0"/>
    </xf>
    <xf numFmtId="0" fontId="92" fillId="0" borderId="0" xfId="0" applyFont="1" applyAlignment="1">
      <alignment horizontal="right"/>
    </xf>
    <xf numFmtId="0" fontId="91" fillId="0" borderId="0" xfId="0" applyFont="1" applyAlignment="1">
      <alignment horizontal="left" vertical="top" wrapText="1"/>
    </xf>
    <xf numFmtId="0" fontId="265" fillId="0" borderId="0" xfId="0" applyFont="1"/>
    <xf numFmtId="38" fontId="92" fillId="0" borderId="0" xfId="0" applyNumberFormat="1" applyFont="1" applyAlignment="1">
      <alignment horizontal="left" vertical="center"/>
    </xf>
    <xf numFmtId="0" fontId="282" fillId="0" borderId="0" xfId="0" applyFont="1"/>
    <xf numFmtId="0" fontId="282" fillId="0" borderId="0" xfId="0" applyFont="1" applyProtection="1">
      <protection locked="0"/>
    </xf>
    <xf numFmtId="0" fontId="129" fillId="0" borderId="0" xfId="0" applyFont="1" applyAlignment="1" applyProtection="1">
      <alignment vertical="center"/>
      <protection locked="0"/>
    </xf>
    <xf numFmtId="0" fontId="94" fillId="0" borderId="0" xfId="0" applyFont="1" applyAlignment="1">
      <alignment horizontal="center" vertical="center" wrapText="1"/>
    </xf>
    <xf numFmtId="4" fontId="233" fillId="0" borderId="0" xfId="0" applyNumberFormat="1" applyFont="1" applyAlignment="1" applyProtection="1">
      <alignment vertical="top" wrapText="1"/>
      <protection locked="0"/>
    </xf>
    <xf numFmtId="4" fontId="233" fillId="0" borderId="0" xfId="0" applyNumberFormat="1" applyFont="1" applyAlignment="1" applyProtection="1">
      <alignment horizontal="left" vertical="top" wrapText="1"/>
      <protection locked="0"/>
    </xf>
    <xf numFmtId="0" fontId="91" fillId="0" borderId="0" xfId="0" applyFont="1" applyAlignment="1" applyProtection="1">
      <alignment vertical="top"/>
      <protection locked="0"/>
    </xf>
    <xf numFmtId="0" fontId="277" fillId="0" borderId="0" xfId="0" applyFont="1" applyAlignment="1">
      <alignment horizontal="left"/>
    </xf>
    <xf numFmtId="174" fontId="92" fillId="0" borderId="0" xfId="0" applyNumberFormat="1" applyFont="1" applyAlignment="1" applyProtection="1">
      <alignment vertical="center"/>
      <protection locked="0"/>
    </xf>
    <xf numFmtId="174" fontId="92" fillId="0" borderId="0" xfId="0" applyNumberFormat="1" applyFont="1" applyAlignment="1">
      <alignment vertical="center"/>
    </xf>
    <xf numFmtId="3" fontId="92" fillId="0" borderId="0" xfId="0" applyNumberFormat="1" applyFont="1" applyAlignment="1">
      <alignment horizontal="center"/>
    </xf>
    <xf numFmtId="0" fontId="263" fillId="0" borderId="0" xfId="0" applyFont="1" applyAlignment="1">
      <alignment horizontal="left" vertical="center"/>
    </xf>
    <xf numFmtId="0" fontId="277" fillId="0" borderId="0" xfId="6" applyFont="1" applyFill="1" applyBorder="1" applyAlignment="1" applyProtection="1">
      <alignment horizontal="center"/>
    </xf>
    <xf numFmtId="0" fontId="282" fillId="0" borderId="0" xfId="0" applyFont="1" applyAlignment="1">
      <alignment vertical="center"/>
    </xf>
    <xf numFmtId="0" fontId="282" fillId="0" borderId="0" xfId="0" applyFont="1" applyAlignment="1" applyProtection="1">
      <alignment vertical="center"/>
      <protection locked="0"/>
    </xf>
    <xf numFmtId="0" fontId="92" fillId="0" borderId="0" xfId="0" applyFont="1" applyAlignment="1">
      <alignment horizontal="justify" vertical="center" wrapText="1"/>
    </xf>
    <xf numFmtId="0" fontId="277" fillId="0" borderId="0" xfId="0" applyFont="1" applyAlignment="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Alignment="1">
      <alignment horizontal="center" vertical="center"/>
    </xf>
    <xf numFmtId="0" fontId="92" fillId="0" borderId="0" xfId="0" applyFont="1" applyAlignment="1" applyProtection="1">
      <alignment horizontal="left"/>
      <protection locked="0"/>
    </xf>
    <xf numFmtId="0" fontId="257" fillId="0" borderId="0" xfId="0" applyFont="1" applyAlignment="1">
      <alignment vertical="center"/>
    </xf>
    <xf numFmtId="0" fontId="95" fillId="0" borderId="0" xfId="0" applyFont="1" applyProtection="1">
      <protection locked="0"/>
    </xf>
    <xf numFmtId="175" fontId="95" fillId="0" borderId="0" xfId="0" applyNumberFormat="1" applyFont="1" applyAlignment="1">
      <alignment horizontal="center" vertical="center"/>
    </xf>
    <xf numFmtId="38" fontId="92" fillId="0" borderId="0" xfId="0" applyNumberFormat="1" applyFont="1" applyAlignment="1">
      <alignment horizontal="center" vertical="center"/>
    </xf>
    <xf numFmtId="38" fontId="92" fillId="0" borderId="0" xfId="0" applyNumberFormat="1" applyFont="1" applyAlignment="1" applyProtection="1">
      <alignment horizontal="left" vertical="center"/>
      <protection locked="0"/>
    </xf>
    <xf numFmtId="0" fontId="92" fillId="0" borderId="0" xfId="0" applyFont="1" applyAlignment="1">
      <alignment horizontal="left" wrapText="1"/>
    </xf>
    <xf numFmtId="0" fontId="92" fillId="0" borderId="0" xfId="0" applyFont="1" applyAlignment="1" applyProtection="1">
      <alignment horizontal="center"/>
      <protection locked="0"/>
    </xf>
    <xf numFmtId="37" fontId="91" fillId="0" borderId="0" xfId="0" applyNumberFormat="1" applyFont="1" applyAlignment="1">
      <alignment vertical="center" wrapText="1"/>
    </xf>
    <xf numFmtId="0" fontId="92" fillId="0" borderId="0" xfId="0" quotePrefix="1" applyFont="1"/>
    <xf numFmtId="3" fontId="92" fillId="0" borderId="0" xfId="1" applyNumberFormat="1" applyFont="1" applyFill="1" applyBorder="1" applyAlignment="1" applyProtection="1">
      <alignment vertical="center"/>
      <protection locked="0"/>
    </xf>
    <xf numFmtId="3" fontId="92" fillId="0" borderId="0" xfId="0" applyNumberFormat="1" applyFont="1" applyAlignment="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1" fontId="92" fillId="0" borderId="0" xfId="0" applyNumberFormat="1" applyFont="1" applyAlignment="1">
      <alignment horizontal="left" vertical="center"/>
    </xf>
    <xf numFmtId="0" fontId="91" fillId="0" borderId="0" xfId="0" applyFont="1" applyAlignment="1">
      <alignment horizontal="center" wrapText="1"/>
    </xf>
    <xf numFmtId="0" fontId="129" fillId="0" borderId="0" xfId="0" applyFont="1" applyAlignment="1">
      <alignment horizontal="center" vertical="center"/>
    </xf>
    <xf numFmtId="181" fontId="91" fillId="0" borderId="0" xfId="0" applyNumberFormat="1" applyFont="1" applyAlignment="1">
      <alignment horizontal="center" vertical="center"/>
    </xf>
    <xf numFmtId="0" fontId="269" fillId="0" borderId="0" xfId="0" applyFont="1" applyAlignment="1">
      <alignment vertical="center"/>
    </xf>
    <xf numFmtId="0" fontId="251" fillId="0" borderId="0" xfId="0" quotePrefix="1" applyFont="1" applyAlignment="1">
      <alignment vertical="center"/>
    </xf>
    <xf numFmtId="0" fontId="94" fillId="0" borderId="0" xfId="0" quotePrefix="1" applyFont="1" applyAlignment="1">
      <alignment horizontal="center" vertical="center"/>
    </xf>
    <xf numFmtId="0" fontId="94" fillId="0" borderId="0" xfId="0" quotePrefix="1" applyFont="1" applyAlignment="1">
      <alignment horizontal="center" vertical="center" wrapText="1"/>
    </xf>
    <xf numFmtId="0" fontId="94" fillId="0" borderId="0" xfId="0" applyFont="1" applyAlignment="1">
      <alignment horizontal="left" vertical="top" wrapText="1"/>
    </xf>
    <xf numFmtId="38" fontId="92" fillId="0" borderId="0" xfId="0" applyNumberFormat="1" applyFont="1" applyAlignment="1">
      <alignment horizontal="center" vertical="top" wrapText="1"/>
    </xf>
    <xf numFmtId="0" fontId="265" fillId="0" borderId="0" xfId="0" applyFont="1" applyAlignment="1">
      <alignment vertical="top" wrapText="1"/>
    </xf>
    <xf numFmtId="0" fontId="91" fillId="0" borderId="0" xfId="0" applyFont="1" applyAlignment="1">
      <alignment horizontal="center" vertical="top" wrapText="1"/>
    </xf>
    <xf numFmtId="181" fontId="92" fillId="0" borderId="0" xfId="0" applyNumberFormat="1" applyFont="1" applyAlignment="1">
      <alignment horizontal="center" vertical="top" wrapText="1"/>
    </xf>
    <xf numFmtId="0" fontId="92" fillId="0" borderId="0" xfId="0" applyFont="1" applyAlignment="1">
      <alignment horizontal="center" vertical="top" wrapText="1"/>
    </xf>
    <xf numFmtId="9" fontId="273" fillId="0" borderId="0" xfId="0" applyNumberFormat="1" applyFont="1" applyAlignment="1">
      <alignment horizontal="center" vertical="center" wrapText="1"/>
    </xf>
    <xf numFmtId="38" fontId="92" fillId="0" borderId="0" xfId="0" applyNumberFormat="1" applyFont="1" applyAlignment="1">
      <alignment horizontal="center" vertical="center" wrapText="1"/>
    </xf>
    <xf numFmtId="0" fontId="233" fillId="0" borderId="0" xfId="0" applyFont="1" applyAlignment="1">
      <alignment horizontal="center" vertical="center"/>
    </xf>
    <xf numFmtId="181" fontId="92" fillId="0" borderId="0" xfId="0" applyNumberFormat="1" applyFont="1" applyAlignment="1">
      <alignment horizontal="center" vertical="center" wrapText="1"/>
    </xf>
    <xf numFmtId="0" fontId="283" fillId="0" borderId="0" xfId="0" applyFont="1" applyAlignment="1">
      <alignment vertical="center"/>
    </xf>
    <xf numFmtId="38" fontId="94" fillId="0" borderId="0" xfId="0" applyNumberFormat="1" applyFont="1" applyAlignment="1">
      <alignment horizontal="center" vertical="center" wrapText="1"/>
    </xf>
    <xf numFmtId="0" fontId="252" fillId="0" borderId="0" xfId="0" applyFont="1" applyAlignment="1">
      <alignment vertical="center" wrapText="1"/>
    </xf>
    <xf numFmtId="186" fontId="95" fillId="0" borderId="0" xfId="0" applyNumberFormat="1" applyFont="1" applyAlignment="1">
      <alignment horizontal="center" vertical="center"/>
    </xf>
    <xf numFmtId="0" fontId="284" fillId="0" borderId="0" xfId="0" applyFont="1" applyAlignment="1">
      <alignment horizontal="center" vertical="center"/>
    </xf>
    <xf numFmtId="0" fontId="95" fillId="0" borderId="0" xfId="0" quotePrefix="1" applyFont="1" applyAlignment="1">
      <alignment horizontal="left" vertical="top"/>
    </xf>
    <xf numFmtId="0" fontId="92" fillId="0" borderId="0" xfId="0" quotePrefix="1" applyFont="1" applyAlignment="1">
      <alignment horizontal="right" vertical="top"/>
    </xf>
    <xf numFmtId="0" fontId="92" fillId="0" borderId="0" xfId="0" quotePrefix="1" applyFont="1" applyAlignment="1">
      <alignment horizontal="right" vertical="center"/>
    </xf>
    <xf numFmtId="9" fontId="92" fillId="0" borderId="0" xfId="10" applyFont="1" applyFill="1" applyBorder="1" applyAlignment="1" applyProtection="1">
      <alignment horizontal="center" vertical="top" wrapText="1"/>
    </xf>
    <xf numFmtId="38" fontId="95" fillId="0" borderId="0" xfId="0" applyNumberFormat="1" applyFont="1" applyAlignment="1">
      <alignment horizontal="center" vertical="center"/>
    </xf>
    <xf numFmtId="0" fontId="233" fillId="0" borderId="0" xfId="0" applyFont="1" applyAlignment="1">
      <alignment vertical="center" wrapText="1"/>
    </xf>
    <xf numFmtId="0" fontId="280" fillId="0" borderId="0" xfId="0" applyFont="1" applyAlignment="1">
      <alignment vertical="center"/>
    </xf>
    <xf numFmtId="0" fontId="94" fillId="0" borderId="0" xfId="0" applyFont="1" applyAlignment="1">
      <alignment horizontal="center" vertical="top" wrapText="1"/>
    </xf>
    <xf numFmtId="0" fontId="251" fillId="0" borderId="0" xfId="0" quotePrefix="1" applyFont="1"/>
    <xf numFmtId="0" fontId="94" fillId="0" borderId="0" xfId="0" applyFont="1" applyAlignment="1">
      <alignment horizontal="right"/>
    </xf>
    <xf numFmtId="38" fontId="92" fillId="0" borderId="0" xfId="0" applyNumberFormat="1" applyFont="1" applyAlignment="1">
      <alignment horizontal="center"/>
    </xf>
    <xf numFmtId="0" fontId="268" fillId="0" borderId="0" xfId="0" applyFont="1" applyAlignment="1">
      <alignment horizontal="center" vertical="center"/>
    </xf>
    <xf numFmtId="38" fontId="92" fillId="0" borderId="0" xfId="0" applyNumberFormat="1" applyFont="1" applyAlignment="1">
      <alignment vertical="center"/>
    </xf>
    <xf numFmtId="0" fontId="95" fillId="0" borderId="0" xfId="0" quotePrefix="1" applyFont="1" applyAlignment="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Alignment="1">
      <alignment horizontal="center" vertical="center"/>
    </xf>
    <xf numFmtId="38" fontId="91" fillId="0" borderId="0" xfId="0" applyNumberFormat="1" applyFont="1" applyAlignment="1" applyProtection="1">
      <alignment horizontal="center" vertical="center"/>
      <protection locked="0"/>
    </xf>
    <xf numFmtId="0" fontId="95" fillId="0" borderId="0" xfId="0" applyFont="1" applyAlignment="1">
      <alignment horizontal="right"/>
    </xf>
    <xf numFmtId="9" fontId="95" fillId="0" borderId="0" xfId="10" applyFont="1" applyFill="1" applyBorder="1" applyAlignment="1" applyProtection="1">
      <alignment horizontal="center" vertical="top" wrapText="1"/>
    </xf>
    <xf numFmtId="1" fontId="95" fillId="0" borderId="0" xfId="0" applyNumberFormat="1" applyFont="1" applyAlignment="1" applyProtection="1">
      <alignment horizontal="center" vertical="center"/>
      <protection locked="0"/>
    </xf>
    <xf numFmtId="1" fontId="95" fillId="0" borderId="0" xfId="0" applyNumberFormat="1" applyFont="1" applyAlignment="1">
      <alignment horizontal="center" vertical="center"/>
    </xf>
    <xf numFmtId="38" fontId="95" fillId="0" borderId="0" xfId="0" applyNumberFormat="1" applyFont="1" applyAlignment="1">
      <alignment horizontal="center"/>
    </xf>
    <xf numFmtId="0" fontId="285" fillId="0" borderId="0" xfId="0" applyFont="1"/>
    <xf numFmtId="181" fontId="95" fillId="0" borderId="0" xfId="0" applyNumberFormat="1" applyFont="1" applyAlignment="1" applyProtection="1">
      <alignment horizontal="center" vertical="center"/>
      <protection locked="0"/>
    </xf>
    <xf numFmtId="181" fontId="95" fillId="0" borderId="0" xfId="0" applyNumberFormat="1" applyFont="1" applyAlignment="1">
      <alignment horizontal="center" vertical="center"/>
    </xf>
    <xf numFmtId="0" fontId="285" fillId="0" borderId="0" xfId="0" applyFont="1" applyAlignment="1">
      <alignment vertical="center"/>
    </xf>
    <xf numFmtId="0" fontId="273" fillId="0" borderId="0" xfId="0" applyFont="1" applyAlignment="1">
      <alignment horizontal="right" vertical="center"/>
    </xf>
    <xf numFmtId="0" fontId="257" fillId="0" borderId="0" xfId="0" applyFont="1" applyAlignment="1">
      <alignment vertical="center" wrapText="1"/>
    </xf>
    <xf numFmtId="0" fontId="270" fillId="0" borderId="0" xfId="0" applyFont="1" applyAlignment="1">
      <alignment horizontal="center" vertical="center" wrapText="1"/>
    </xf>
    <xf numFmtId="0" fontId="92" fillId="0" borderId="0" xfId="0" quotePrefix="1" applyFont="1" applyAlignment="1">
      <alignment horizontal="center" vertical="center"/>
    </xf>
    <xf numFmtId="0" fontId="94" fillId="0" borderId="0" xfId="0" quotePrefix="1" applyFont="1" applyAlignment="1">
      <alignment vertical="top"/>
    </xf>
    <xf numFmtId="168" fontId="94" fillId="0" borderId="0" xfId="0" applyNumberFormat="1" applyFont="1" applyAlignment="1" applyProtection="1">
      <alignment vertical="center"/>
      <protection locked="0"/>
    </xf>
    <xf numFmtId="168" fontId="233" fillId="0" borderId="0" xfId="0" applyNumberFormat="1" applyFont="1" applyAlignment="1">
      <alignment vertical="center"/>
    </xf>
    <xf numFmtId="0" fontId="270" fillId="0" borderId="0" xfId="0" applyFont="1" applyAlignment="1">
      <alignment vertical="top" wrapText="1"/>
    </xf>
    <xf numFmtId="0" fontId="286" fillId="0" borderId="0" xfId="0" applyFont="1" applyAlignment="1">
      <alignment vertical="center"/>
    </xf>
    <xf numFmtId="0" fontId="282" fillId="0" borderId="0" xfId="0" applyFont="1" applyAlignment="1">
      <alignment vertical="top"/>
    </xf>
    <xf numFmtId="0" fontId="92" fillId="0" borderId="0" xfId="0" quotePrefix="1" applyFont="1" applyAlignment="1">
      <alignment horizontal="center" vertical="top"/>
    </xf>
    <xf numFmtId="38" fontId="91" fillId="0" borderId="0" xfId="0" applyNumberFormat="1" applyFont="1" applyAlignment="1" applyProtection="1">
      <alignment horizontal="center" vertical="top"/>
      <protection locked="0"/>
    </xf>
    <xf numFmtId="38" fontId="91" fillId="0" borderId="0" xfId="0" applyNumberFormat="1" applyFont="1" applyAlignment="1">
      <alignment horizontal="center" vertical="top"/>
    </xf>
    <xf numFmtId="181" fontId="91" fillId="0" borderId="0" xfId="0" applyNumberFormat="1" applyFont="1" applyAlignment="1" applyProtection="1">
      <alignment horizontal="center" vertical="center"/>
      <protection locked="0"/>
    </xf>
    <xf numFmtId="0" fontId="263" fillId="0" borderId="0" xfId="0" applyFont="1" applyAlignment="1">
      <alignment horizontal="left" vertical="top"/>
    </xf>
    <xf numFmtId="185" fontId="94" fillId="0" borderId="0" xfId="0" applyNumberFormat="1" applyFont="1" applyAlignment="1" applyProtection="1">
      <alignment horizontal="center" vertical="center"/>
      <protection locked="0"/>
    </xf>
    <xf numFmtId="185" fontId="94" fillId="0" borderId="0" xfId="0" applyNumberFormat="1" applyFont="1" applyAlignment="1">
      <alignment horizontal="center" vertical="center"/>
    </xf>
    <xf numFmtId="0" fontId="268" fillId="0" borderId="0" xfId="0" applyFont="1" applyAlignment="1">
      <alignment horizontal="center" vertical="top"/>
    </xf>
    <xf numFmtId="167" fontId="94" fillId="0" borderId="0" xfId="0" applyNumberFormat="1" applyFont="1" applyAlignment="1" applyProtection="1">
      <alignment vertical="top" wrapText="1"/>
      <protection locked="0"/>
    </xf>
    <xf numFmtId="49" fontId="92" fillId="0" borderId="0" xfId="0" quotePrefix="1" applyNumberFormat="1" applyFont="1" applyAlignment="1">
      <alignment horizontal="center" vertical="top"/>
    </xf>
    <xf numFmtId="38" fontId="91" fillId="0" borderId="0" xfId="0" applyNumberFormat="1" applyFont="1" applyAlignment="1" applyProtection="1">
      <alignment vertical="center"/>
      <protection locked="0"/>
    </xf>
    <xf numFmtId="0" fontId="282" fillId="0" borderId="0" xfId="0" applyFont="1" applyAlignment="1">
      <alignment horizontal="center"/>
    </xf>
    <xf numFmtId="38" fontId="91" fillId="0" borderId="0" xfId="0" applyNumberFormat="1" applyFont="1" applyAlignment="1" applyProtection="1">
      <alignment vertical="top"/>
      <protection locked="0"/>
    </xf>
    <xf numFmtId="38" fontId="91" fillId="0" borderId="0" xfId="0" applyNumberFormat="1" applyFont="1" applyAlignment="1">
      <alignment vertical="top"/>
    </xf>
    <xf numFmtId="0" fontId="233" fillId="0" borderId="0" xfId="0" applyFont="1" applyAlignment="1">
      <alignment wrapText="1"/>
    </xf>
    <xf numFmtId="0" fontId="253" fillId="0" borderId="0" xfId="0" applyFont="1" applyAlignment="1">
      <alignment horizontal="right" vertical="center"/>
    </xf>
    <xf numFmtId="0" fontId="282" fillId="0" borderId="0" xfId="0" applyFont="1" applyAlignment="1">
      <alignment horizontal="left"/>
    </xf>
    <xf numFmtId="0" fontId="257" fillId="0" borderId="0" xfId="0" applyFont="1" applyAlignment="1">
      <alignment horizontal="right" vertical="center"/>
    </xf>
    <xf numFmtId="49" fontId="92" fillId="0" borderId="0" xfId="0" quotePrefix="1" applyNumberFormat="1" applyFont="1" applyAlignment="1">
      <alignment horizontal="center" vertical="center"/>
    </xf>
    <xf numFmtId="38" fontId="95" fillId="0" borderId="0" xfId="0" applyNumberFormat="1" applyFont="1" applyAlignment="1" applyProtection="1">
      <alignment horizontal="center" vertical="center"/>
      <protection locked="0"/>
    </xf>
    <xf numFmtId="0" fontId="282" fillId="0" borderId="0" xfId="0" applyFont="1" applyAlignment="1">
      <alignment horizontal="center" vertical="center"/>
    </xf>
    <xf numFmtId="38" fontId="95" fillId="0" borderId="0" xfId="0" applyNumberFormat="1" applyFont="1" applyAlignment="1" applyProtection="1">
      <alignment horizontal="center" vertical="top"/>
      <protection locked="0"/>
    </xf>
    <xf numFmtId="38" fontId="95" fillId="0" borderId="0" xfId="0" applyNumberFormat="1" applyFont="1" applyAlignment="1">
      <alignment horizontal="center" vertical="top"/>
    </xf>
    <xf numFmtId="0" fontId="286" fillId="0" borderId="0" xfId="0" applyFont="1"/>
    <xf numFmtId="0" fontId="264" fillId="0" borderId="0" xfId="0" applyFont="1" applyAlignment="1">
      <alignment horizontal="right" vertical="center"/>
    </xf>
    <xf numFmtId="0" fontId="274" fillId="0" borderId="0" xfId="0" applyFont="1" applyAlignment="1">
      <alignment horizontal="right" vertical="center"/>
    </xf>
    <xf numFmtId="0" fontId="91" fillId="0" borderId="0" xfId="0" applyFont="1" applyAlignment="1">
      <alignment horizontal="center" vertical="top"/>
    </xf>
    <xf numFmtId="0" fontId="94" fillId="0" borderId="0" xfId="0" applyFont="1" applyAlignment="1">
      <alignment horizontal="center" vertical="top"/>
    </xf>
    <xf numFmtId="0" fontId="287" fillId="0" borderId="0" xfId="0" applyFont="1" applyAlignment="1">
      <alignment horizontal="center" vertical="top" wrapText="1"/>
    </xf>
    <xf numFmtId="0" fontId="287" fillId="0" borderId="0" xfId="0" applyFont="1" applyAlignment="1">
      <alignment horizontal="center" vertical="center" wrapText="1"/>
    </xf>
    <xf numFmtId="0" fontId="253" fillId="0" borderId="0" xfId="0" applyFont="1" applyAlignment="1">
      <alignment vertical="center" wrapText="1"/>
    </xf>
    <xf numFmtId="0" fontId="95" fillId="0" borderId="0" xfId="0" quotePrefix="1" applyFont="1" applyAlignment="1">
      <alignment horizontal="center" vertical="center" wrapText="1"/>
    </xf>
    <xf numFmtId="1" fontId="92" fillId="0" borderId="0" xfId="0" applyNumberFormat="1" applyFont="1" applyAlignment="1">
      <alignment vertical="center"/>
    </xf>
    <xf numFmtId="0" fontId="92" fillId="0" borderId="0" xfId="0" quotePrefix="1" applyFont="1" applyAlignment="1">
      <alignment horizontal="left" vertical="center"/>
    </xf>
    <xf numFmtId="49" fontId="94" fillId="0" borderId="0" xfId="0" applyNumberFormat="1" applyFont="1" applyAlignment="1" applyProtection="1">
      <alignment vertical="center" wrapText="1"/>
      <protection locked="0"/>
    </xf>
    <xf numFmtId="0" fontId="274" fillId="0" borderId="0" xfId="0" applyFont="1"/>
    <xf numFmtId="10" fontId="95" fillId="0" borderId="0" xfId="0" applyNumberFormat="1" applyFont="1" applyAlignment="1" applyProtection="1">
      <alignment vertical="center"/>
      <protection locked="0"/>
    </xf>
    <xf numFmtId="10" fontId="95" fillId="0" borderId="0" xfId="0" applyNumberFormat="1" applyFont="1" applyAlignment="1">
      <alignment horizontal="center" vertical="center"/>
    </xf>
    <xf numFmtId="0" fontId="263" fillId="0" borderId="0" xfId="0" applyFont="1" applyAlignment="1">
      <alignment wrapText="1"/>
    </xf>
    <xf numFmtId="49"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vertical="center" wrapText="1"/>
      <protection locked="0"/>
    </xf>
    <xf numFmtId="49" fontId="95" fillId="0" borderId="0" xfId="0" applyNumberFormat="1" applyFont="1" applyAlignment="1" applyProtection="1">
      <alignment horizontal="center" vertical="center" wrapText="1"/>
      <protection locked="0"/>
    </xf>
    <xf numFmtId="10" fontId="95" fillId="0" borderId="0" xfId="0" applyNumberFormat="1" applyFont="1" applyAlignment="1">
      <alignment vertical="center" wrapText="1"/>
    </xf>
    <xf numFmtId="0" fontId="288" fillId="0" borderId="0" xfId="0" applyFont="1"/>
    <xf numFmtId="0" fontId="251" fillId="0" borderId="0" xfId="0" quotePrefix="1" applyFont="1" applyAlignment="1">
      <alignment horizontal="left" vertical="center"/>
    </xf>
    <xf numFmtId="0" fontId="273" fillId="0" borderId="0" xfId="0" applyFont="1" applyAlignment="1">
      <alignment horizontal="left"/>
    </xf>
    <xf numFmtId="175" fontId="92" fillId="0" borderId="0" xfId="0" applyNumberFormat="1" applyFont="1" applyAlignment="1" applyProtection="1">
      <alignment vertical="center"/>
      <protection locked="0"/>
    </xf>
    <xf numFmtId="0" fontId="283" fillId="0" borderId="0" xfId="0" applyFont="1" applyAlignment="1">
      <alignment vertical="center" wrapText="1"/>
    </xf>
    <xf numFmtId="0" fontId="287" fillId="0" borderId="0" xfId="0" applyFont="1" applyAlignment="1">
      <alignment vertical="center" wrapText="1"/>
    </xf>
    <xf numFmtId="0" fontId="270" fillId="0" borderId="0" xfId="0" applyFont="1" applyAlignment="1">
      <alignment wrapText="1"/>
    </xf>
    <xf numFmtId="0" fontId="289" fillId="0" borderId="0" xfId="0" quotePrefix="1" applyFont="1" applyAlignment="1">
      <alignment vertical="center"/>
    </xf>
    <xf numFmtId="0" fontId="251" fillId="0" borderId="0" xfId="0" quotePrefix="1" applyFont="1" applyAlignment="1">
      <alignment vertical="top"/>
    </xf>
    <xf numFmtId="0" fontId="92" fillId="0" borderId="0" xfId="0" quotePrefix="1" applyFont="1" applyAlignment="1">
      <alignment vertical="top"/>
    </xf>
    <xf numFmtId="0" fontId="92" fillId="0" borderId="0" xfId="0" quotePrefix="1" applyFont="1" applyAlignment="1">
      <alignment vertical="center"/>
    </xf>
    <xf numFmtId="0" fontId="257" fillId="0" borderId="0" xfId="0" applyFont="1" applyAlignment="1">
      <alignment vertical="top" wrapText="1"/>
    </xf>
    <xf numFmtId="0" fontId="268" fillId="0" borderId="0" xfId="0" quotePrefix="1" applyFont="1" applyAlignment="1">
      <alignment horizontal="left" vertical="center"/>
    </xf>
    <xf numFmtId="0" fontId="251" fillId="0" borderId="0" xfId="0" applyFont="1" applyAlignment="1">
      <alignment horizontal="center" vertical="center"/>
    </xf>
    <xf numFmtId="0" fontId="275" fillId="0" borderId="0" xfId="0" applyFont="1" applyAlignment="1">
      <alignment horizontal="right"/>
    </xf>
    <xf numFmtId="0" fontId="95" fillId="0" borderId="0" xfId="0" quotePrefix="1" applyFont="1" applyAlignment="1">
      <alignment horizontal="center" vertical="center"/>
    </xf>
    <xf numFmtId="0" fontId="92" fillId="0" borderId="0" xfId="0" quotePrefix="1" applyFont="1" applyAlignment="1">
      <alignment horizontal="left" vertical="top"/>
    </xf>
    <xf numFmtId="0" fontId="101" fillId="0" borderId="0" xfId="0" applyFont="1" applyAlignment="1">
      <alignment horizontal="left" vertical="center" wrapText="1"/>
    </xf>
    <xf numFmtId="0" fontId="265" fillId="0" borderId="0" xfId="0" applyFont="1" applyAlignment="1">
      <alignment vertical="center"/>
    </xf>
    <xf numFmtId="0" fontId="284" fillId="0" borderId="0" xfId="0" applyFont="1"/>
    <xf numFmtId="4" fontId="91" fillId="0" borderId="0" xfId="0" applyNumberFormat="1" applyFont="1" applyAlignment="1">
      <alignment vertical="center"/>
    </xf>
    <xf numFmtId="0" fontId="257" fillId="0" borderId="0" xfId="0" applyFont="1" applyAlignment="1">
      <alignment horizontal="left" vertical="center"/>
    </xf>
    <xf numFmtId="0" fontId="95" fillId="0" borderId="0" xfId="0" quotePrefix="1" applyFont="1" applyAlignment="1">
      <alignment horizontal="right" vertical="center"/>
    </xf>
    <xf numFmtId="3" fontId="95" fillId="0" borderId="0" xfId="0" applyNumberFormat="1" applyFont="1" applyAlignment="1">
      <alignment vertical="center"/>
    </xf>
    <xf numFmtId="0" fontId="95" fillId="0" borderId="0" xfId="0" quotePrefix="1" applyFont="1" applyAlignment="1">
      <alignment horizontal="right" vertical="top"/>
    </xf>
    <xf numFmtId="0" fontId="275" fillId="0" borderId="0" xfId="0" applyFont="1" applyAlignment="1">
      <alignment horizontal="right" vertical="center"/>
    </xf>
    <xf numFmtId="0" fontId="95" fillId="0" borderId="0" xfId="0" applyFont="1" applyAlignment="1">
      <alignment horizontal="right" vertical="center" wrapText="1"/>
    </xf>
    <xf numFmtId="0" fontId="275" fillId="0" borderId="0" xfId="0" applyFont="1"/>
    <xf numFmtId="38" fontId="257" fillId="0" borderId="0" xfId="0" applyNumberFormat="1" applyFont="1" applyAlignment="1">
      <alignment horizontal="center" vertical="center"/>
    </xf>
    <xf numFmtId="181" fontId="257" fillId="0" borderId="0" xfId="0" applyNumberFormat="1" applyFont="1" applyAlignment="1">
      <alignment horizontal="center" vertical="center"/>
    </xf>
    <xf numFmtId="0" fontId="273" fillId="0" borderId="0" xfId="0" applyFont="1" applyAlignment="1">
      <alignment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3" fillId="20" borderId="82" xfId="0" applyFont="1" applyFill="1" applyBorder="1" applyAlignment="1">
      <alignment horizontal="center" vertical="center" wrapText="1"/>
    </xf>
    <xf numFmtId="0" fontId="213" fillId="20" borderId="78" xfId="0" applyFont="1" applyFill="1" applyBorder="1" applyAlignment="1">
      <alignment horizontal="center" vertical="center" wrapText="1"/>
    </xf>
    <xf numFmtId="0" fontId="213" fillId="20" borderId="7"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8"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3" xfId="0" applyFont="1" applyFill="1" applyBorder="1" applyAlignment="1">
      <alignment horizontal="center" vertical="center" wrapText="1"/>
    </xf>
    <xf numFmtId="0" fontId="213"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4" xfId="0" applyNumberFormat="1" applyFont="1" applyBorder="1" applyAlignment="1">
      <alignment horizontal="center" vertical="center"/>
    </xf>
    <xf numFmtId="38" fontId="41" fillId="0" borderId="195"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2" xfId="0" applyNumberFormat="1" applyFont="1" applyBorder="1" applyAlignment="1">
      <alignment horizontal="center" vertical="center"/>
    </xf>
    <xf numFmtId="38" fontId="45" fillId="0" borderId="193"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Border="1" applyAlignment="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Alignment="1">
      <alignment horizontal="left" vertical="top" wrapText="1"/>
    </xf>
    <xf numFmtId="0" fontId="42" fillId="0" borderId="8" xfId="0" applyFont="1" applyBorder="1" applyAlignment="1">
      <alignment horizontal="left" vertical="top"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78" fillId="20" borderId="9" xfId="0" applyFont="1" applyFill="1" applyBorder="1" applyAlignment="1">
      <alignment horizontal="center" vertical="center" wrapText="1"/>
    </xf>
    <xf numFmtId="0" fontId="78" fillId="20" borderId="13" xfId="0" applyFont="1" applyFill="1" applyBorder="1" applyAlignment="1">
      <alignment horizontal="center" vertical="center" wrapText="1"/>
    </xf>
    <xf numFmtId="0" fontId="78" fillId="20" borderId="14" xfId="0" applyFont="1" applyFill="1" applyBorder="1" applyAlignment="1">
      <alignment horizontal="center" vertical="center" wrapText="1"/>
    </xf>
    <xf numFmtId="0" fontId="95"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84"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0" borderId="77" xfId="0" applyFont="1" applyBorder="1" applyAlignment="1">
      <alignment horizontal="center" vertical="center"/>
    </xf>
    <xf numFmtId="0" fontId="104" fillId="0" borderId="82" xfId="0" applyFont="1" applyBorder="1" applyAlignment="1">
      <alignment horizontal="center" vertical="center"/>
    </xf>
    <xf numFmtId="0" fontId="104" fillId="0" borderId="78" xfId="0" applyFont="1" applyBorder="1" applyAlignment="1">
      <alignment horizontal="center" vertical="center"/>
    </xf>
    <xf numFmtId="0" fontId="104" fillId="0" borderId="9" xfId="0" applyFont="1" applyBorder="1" applyAlignment="1">
      <alignment horizontal="center" vertical="center"/>
    </xf>
    <xf numFmtId="0" fontId="104" fillId="0" borderId="13" xfId="0" applyFont="1" applyBorder="1" applyAlignment="1">
      <alignment horizontal="center" vertical="center"/>
    </xf>
    <xf numFmtId="0" fontId="104" fillId="0" borderId="14" xfId="0" applyFont="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7">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10" xfId="36" xr:uid="{9B481B62-09EA-487B-A1DA-754EECAF22C7}"/>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43">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color theme="0"/>
      </font>
    </dxf>
    <dxf>
      <font>
        <color theme="0"/>
      </font>
    </dxf>
    <dxf>
      <font>
        <color theme="0"/>
      </font>
    </dxf>
    <dxf>
      <font>
        <b/>
        <i val="0"/>
        <color rgb="FFFF0000"/>
      </font>
      <fill>
        <patternFill>
          <bgColor rgb="FFFFFF00"/>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ont>
        <color rgb="FFFF0000"/>
      </font>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FFFFCC"/>
      <color rgb="FFFFFFFF"/>
      <color rgb="FFCCFFFF"/>
      <color rgb="FFFF99CC"/>
      <color rgb="FFCC9900"/>
      <color rgb="FF0000FF"/>
      <color rgb="FFCCEC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customWidth="1"/>
  </cols>
  <sheetData>
    <row r="1" spans="1:6" ht="15" customHeight="1">
      <c r="A1" s="665" t="s">
        <v>916</v>
      </c>
    </row>
    <row r="2" spans="1:6" ht="15" customHeight="1">
      <c r="A2" s="666" t="str">
        <f>'Part I-Project Identification'!F29</f>
        <v>Harrison Village Apartments</v>
      </c>
    </row>
    <row r="3" spans="1:6" ht="15" customHeight="1">
      <c r="A3" s="666" t="str">
        <f>CONCATENATE('Part I-Project Identification'!F30,", ", 'Part I-Project Identification'!J30," County")</f>
        <v>Gainesville, Hall County</v>
      </c>
    </row>
    <row r="4" spans="1:6" ht="12" customHeight="1">
      <c r="A4" s="1123"/>
    </row>
    <row r="5" spans="1:6" ht="72" customHeight="1">
      <c r="A5" s="2532" t="s">
        <v>6077</v>
      </c>
      <c r="B5" s="2533" t="s">
        <v>3901</v>
      </c>
      <c r="C5" s="2533"/>
      <c r="D5" s="2533"/>
      <c r="E5" s="2533"/>
      <c r="F5" s="2533"/>
    </row>
    <row r="6" spans="1:6" ht="6.6" customHeight="1">
      <c r="A6" s="2532"/>
      <c r="B6" s="2533"/>
      <c r="C6" s="2533"/>
      <c r="D6" s="2533"/>
      <c r="E6" s="2533"/>
      <c r="F6" s="2533"/>
    </row>
    <row r="7" spans="1:6" ht="72" customHeight="1">
      <c r="A7" s="2532"/>
      <c r="B7" s="2533"/>
      <c r="C7" s="2533"/>
      <c r="D7" s="2533"/>
      <c r="E7" s="2533"/>
      <c r="F7" s="2533"/>
    </row>
    <row r="8" spans="1:6" ht="6.6" customHeight="1">
      <c r="A8" s="2532"/>
    </row>
    <row r="9" spans="1:6" ht="72" customHeight="1">
      <c r="A9" s="2532"/>
    </row>
    <row r="10" spans="1:6" ht="6.6" customHeight="1">
      <c r="A10" s="2532"/>
    </row>
    <row r="11" spans="1:6" ht="72" customHeight="1">
      <c r="A11" s="2532"/>
    </row>
    <row r="12" spans="1:6" ht="6.6" customHeight="1">
      <c r="A12" s="2532"/>
    </row>
    <row r="13" spans="1:6" ht="72" customHeight="1">
      <c r="A13" s="2532"/>
    </row>
    <row r="14" spans="1:6" ht="6.6" customHeight="1">
      <c r="A14" s="2532"/>
    </row>
    <row r="15" spans="1:6" ht="72" customHeight="1">
      <c r="A15" s="2532"/>
    </row>
    <row r="16" spans="1:6" ht="6.6" customHeight="1">
      <c r="A16" s="2532"/>
    </row>
    <row r="17" spans="1:1" ht="72" customHeight="1">
      <c r="A17" s="2532"/>
    </row>
    <row r="18" spans="1:1" ht="6.6" customHeight="1">
      <c r="A18" s="2532"/>
    </row>
    <row r="19" spans="1:1" ht="72" customHeight="1">
      <c r="A19" s="2532"/>
    </row>
    <row r="20" spans="1:1" ht="6.6" customHeight="1">
      <c r="A20" s="2532"/>
    </row>
    <row r="21" spans="1:1" ht="72" customHeight="1">
      <c r="A21" s="2532"/>
    </row>
    <row r="22" spans="1:1" ht="6.6" customHeight="1">
      <c r="A22" s="2532"/>
    </row>
    <row r="23" spans="1:1" ht="72" customHeight="1">
      <c r="A23" s="2532"/>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10" zoomScaleNormal="100" workbookViewId="0">
      <selection activeCell="A257" sqref="A257"/>
    </sheetView>
  </sheetViews>
  <sheetFormatPr defaultColWidth="9.140625" defaultRowHeight="12.75"/>
  <cols>
    <col min="1" max="1" width="2.85546875" style="6" customWidth="1"/>
    <col min="2" max="2" width="10" style="6" customWidth="1"/>
    <col min="3" max="3" width="7.5703125" style="6" customWidth="1"/>
    <col min="4" max="4" width="6.42578125" style="6" customWidth="1"/>
    <col min="5" max="5" width="6.85546875" style="6" customWidth="1"/>
    <col min="6" max="6" width="8.140625" style="6" customWidth="1"/>
    <col min="7" max="8" width="9.85546875" style="6" customWidth="1"/>
    <col min="9" max="9" width="10.7109375" style="6" customWidth="1"/>
    <col min="10" max="10" width="11.85546875" style="6" customWidth="1"/>
    <col min="11" max="11" width="10.140625" style="6" customWidth="1"/>
    <col min="12" max="12" width="9.85546875" style="6" customWidth="1"/>
    <col min="13" max="14" width="11" style="6" customWidth="1"/>
    <col min="15" max="15" width="13.85546875" style="6" customWidth="1"/>
    <col min="16" max="16" width="15.42578125" style="6" customWidth="1"/>
    <col min="17" max="17" width="12.42578125" style="62" customWidth="1"/>
    <col min="18" max="18" width="9.85546875" style="62" customWidth="1"/>
    <col min="19" max="21" width="7.85546875" style="62" customWidth="1"/>
    <col min="22" max="22" width="59.140625" style="62" customWidth="1"/>
    <col min="23" max="23" width="47.85546875" style="62" customWidth="1"/>
    <col min="24" max="137" width="9.140625" style="357" customWidth="1"/>
    <col min="138" max="138" width="12.5703125" style="357" customWidth="1"/>
    <col min="139" max="139" width="8.140625" style="357" customWidth="1"/>
    <col min="140" max="143" width="7.140625" style="357" customWidth="1"/>
    <col min="144" max="144" width="8.140625" style="357" customWidth="1"/>
    <col min="145" max="148" width="7.140625" style="357" customWidth="1"/>
    <col min="149" max="158" width="9.140625" style="357" customWidth="1"/>
    <col min="159" max="159" width="8.140625" style="357" customWidth="1"/>
    <col min="160" max="163" width="7.140625" style="357" customWidth="1"/>
    <col min="164" max="168" width="9.140625" style="357" customWidth="1"/>
    <col min="169" max="169" width="8.140625" style="357" customWidth="1"/>
    <col min="170" max="173" width="7.140625" style="357" customWidth="1"/>
    <col min="174" max="253" width="9.140625" style="357" customWidth="1"/>
    <col min="254" max="258" width="11.140625" style="357" customWidth="1"/>
    <col min="259" max="273" width="9.140625" style="357" customWidth="1"/>
    <col min="274" max="274" width="10.140625" style="357" customWidth="1"/>
    <col min="275" max="278" width="10" style="357" customWidth="1"/>
    <col min="279" max="282" width="9.140625" style="357" customWidth="1"/>
    <col min="283" max="283" width="9.140625" style="1750" customWidth="1"/>
    <col min="284" max="287" width="9.140625" style="357" customWidth="1"/>
    <col min="288" max="288" width="9.140625" style="1750" customWidth="1"/>
    <col min="289" max="292" width="11.42578125" style="357" customWidth="1"/>
    <col min="293" max="293" width="11.42578125" style="1750" customWidth="1"/>
    <col min="294" max="297" width="11.42578125" style="357" customWidth="1"/>
    <col min="298" max="298" width="11.42578125" style="1750" customWidth="1"/>
    <col min="299" max="313" width="9.140625" style="1750" customWidth="1"/>
    <col min="314" max="318" width="11" style="1750" customWidth="1"/>
    <col min="319" max="319" width="9.140625" style="1750" customWidth="1"/>
    <col min="320" max="325" width="9.140625" style="357" customWidth="1"/>
    <col min="326" max="326" width="9.140625" style="361" customWidth="1"/>
    <col min="327" max="341" width="9.140625" style="357" customWidth="1"/>
    <col min="342" max="343" width="9.140625" style="361" customWidth="1"/>
    <col min="344" max="350" width="10.140625" style="357" customWidth="1"/>
    <col min="351" max="353" width="9.140625" style="357"/>
    <col min="354" max="354" width="10.42578125" style="357" customWidth="1"/>
    <col min="355" max="358" width="10.140625" style="357" customWidth="1"/>
    <col min="359" max="378" width="9.140625" style="115"/>
    <col min="379" max="379" width="9.140625" style="357"/>
    <col min="380" max="380" width="9.140625" style="1721"/>
    <col min="381" max="381" width="9.140625" style="357"/>
    <col min="382" max="493" width="9.140625" style="115"/>
    <col min="494" max="16384" width="9.140625" style="62"/>
  </cols>
  <sheetData>
    <row r="1" spans="1:493" s="1721" customFormat="1" hidden="1">
      <c r="B1" s="1721" t="s">
        <v>6402</v>
      </c>
      <c r="C1" s="1721" t="s">
        <v>164</v>
      </c>
      <c r="D1" s="1721" t="s">
        <v>166</v>
      </c>
      <c r="E1" s="1721" t="s">
        <v>6403</v>
      </c>
      <c r="F1" s="1721" t="s">
        <v>6404</v>
      </c>
      <c r="G1" s="1721" t="s">
        <v>6405</v>
      </c>
      <c r="H1" s="1721" t="s">
        <v>6406</v>
      </c>
      <c r="I1" s="1721" t="s">
        <v>6407</v>
      </c>
      <c r="J1" s="1721" t="s">
        <v>6408</v>
      </c>
      <c r="K1" s="1721" t="s">
        <v>3139</v>
      </c>
      <c r="L1" s="1721" t="s">
        <v>6409</v>
      </c>
      <c r="M1" s="1721" t="s">
        <v>6410</v>
      </c>
      <c r="N1" s="1721" t="s">
        <v>6411</v>
      </c>
      <c r="O1" s="1721" t="s">
        <v>6412</v>
      </c>
      <c r="P1" s="1721" t="s">
        <v>363</v>
      </c>
      <c r="Q1" s="1721" t="s">
        <v>6413</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50"/>
      <c r="JX1" s="357"/>
      <c r="JY1" s="357"/>
      <c r="JZ1" s="357"/>
      <c r="KA1" s="357"/>
      <c r="KB1" s="1750"/>
      <c r="KC1" s="357"/>
      <c r="KD1" s="357"/>
      <c r="KE1" s="357"/>
      <c r="KF1" s="357"/>
      <c r="KG1" s="1750"/>
      <c r="KH1" s="357"/>
      <c r="KI1" s="357"/>
      <c r="KJ1" s="357"/>
      <c r="KK1" s="357"/>
      <c r="KL1" s="1750"/>
      <c r="KM1" s="1750"/>
      <c r="KN1" s="1750"/>
      <c r="KO1" s="1750"/>
      <c r="KP1" s="1750"/>
      <c r="KQ1" s="1750"/>
      <c r="KR1" s="1750"/>
      <c r="KS1" s="1750"/>
      <c r="KT1" s="1750"/>
      <c r="KU1" s="1750"/>
      <c r="KV1" s="1750"/>
      <c r="KW1" s="1750"/>
      <c r="KX1" s="1750"/>
      <c r="KY1" s="1750"/>
      <c r="KZ1" s="1750"/>
      <c r="LA1" s="1750"/>
      <c r="LB1" s="1750"/>
      <c r="LC1" s="1750"/>
      <c r="LD1" s="1750"/>
      <c r="LE1" s="1750"/>
      <c r="LF1" s="1750"/>
      <c r="LG1" s="1750"/>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73"/>
      <c r="NS1" s="1973"/>
      <c r="NT1" s="1973"/>
      <c r="NU1" s="1973"/>
      <c r="NV1" s="1973"/>
      <c r="NW1" s="1973"/>
      <c r="NX1" s="1973"/>
      <c r="NY1" s="1973"/>
      <c r="NZ1" s="1973"/>
      <c r="OA1" s="1973"/>
      <c r="OB1" s="1973"/>
      <c r="OC1" s="1973"/>
      <c r="OD1" s="1973"/>
      <c r="OE1" s="1973"/>
      <c r="OF1" s="1973"/>
      <c r="OG1" s="1973"/>
      <c r="OH1" s="1973"/>
    </row>
    <row r="2" spans="1:493" s="69" customFormat="1" ht="14.1" customHeight="1">
      <c r="A2" s="3082" t="str">
        <f>CONCATENATE("PART FOUR - PROJECTED REVENUES &amp; EXPENSES","  -  ",'Part I-Project Identification'!$O$7," ",'Part I-Project Identification'!$F$29,", ",'Part I-Project Identification'!F30,", ",'Part I-Project Identification'!J30," County")</f>
        <v>PART FOUR - PROJECTED REVENUES &amp; EXPENSES  -  2022-522 Harrison Village Apartments, Gainesville, Hall County</v>
      </c>
      <c r="B2" s="3083"/>
      <c r="C2" s="3083"/>
      <c r="D2" s="3083"/>
      <c r="E2" s="3083"/>
      <c r="F2" s="3083"/>
      <c r="G2" s="3083"/>
      <c r="H2" s="3083"/>
      <c r="I2" s="3083"/>
      <c r="J2" s="3083"/>
      <c r="K2" s="3083"/>
      <c r="L2" s="3083"/>
      <c r="M2" s="3083"/>
      <c r="N2" s="3083"/>
      <c r="O2" s="3083"/>
      <c r="P2" s="3083"/>
      <c r="Q2" s="3084"/>
      <c r="T2" s="1429" t="str">
        <f>A2</f>
        <v>PART FOUR - PROJECTED REVENUES &amp; EXPENSES  -  2022-522 Harrison Village Apartments, Gainesville, Hall County</v>
      </c>
      <c r="U2" s="1429"/>
      <c r="V2" s="1429"/>
      <c r="W2" s="1429"/>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901"/>
      <c r="HY2" s="1901"/>
      <c r="HZ2" s="1901"/>
      <c r="IA2" s="1901"/>
      <c r="IB2" s="1901"/>
      <c r="IC2" s="1901"/>
      <c r="ID2" s="1901"/>
      <c r="IE2" s="1901"/>
      <c r="IF2" s="1901"/>
      <c r="IG2" s="1901"/>
      <c r="IH2" s="1901"/>
      <c r="II2" s="1901"/>
      <c r="IJ2" s="1901"/>
      <c r="IK2" s="1901"/>
      <c r="IL2" s="1901"/>
      <c r="IM2" s="1901"/>
      <c r="IN2" s="1901"/>
      <c r="IO2" s="1901"/>
      <c r="IP2" s="1901"/>
      <c r="IQ2" s="1901"/>
      <c r="IR2" s="1901"/>
      <c r="IS2" s="1901"/>
      <c r="IT2" s="1901"/>
      <c r="IU2" s="1901"/>
      <c r="IV2" s="1901"/>
      <c r="IW2" s="1901"/>
      <c r="IX2" s="1901"/>
      <c r="IY2" s="1901"/>
      <c r="IZ2" s="1901"/>
      <c r="JA2" s="1901"/>
      <c r="JB2" s="1901"/>
      <c r="JC2" s="1901"/>
      <c r="JD2" s="1901"/>
      <c r="JE2" s="1901"/>
      <c r="JF2" s="1901"/>
      <c r="JG2" s="1901"/>
      <c r="JH2" s="1901"/>
      <c r="JI2" s="1901"/>
      <c r="JJ2" s="1901"/>
      <c r="JK2" s="1901"/>
      <c r="JL2" s="1901"/>
      <c r="JM2" s="1901"/>
      <c r="JN2" s="1901"/>
      <c r="JO2" s="1901"/>
      <c r="JP2" s="1901"/>
      <c r="JQ2" s="1901"/>
      <c r="JR2" s="1901"/>
      <c r="JS2" s="1901"/>
      <c r="JT2" s="1901"/>
      <c r="JU2" s="1901"/>
      <c r="JV2" s="1901"/>
      <c r="JW2" s="1901"/>
      <c r="JX2" s="1901"/>
      <c r="JY2" s="1901"/>
      <c r="JZ2" s="1901"/>
      <c r="KA2" s="1901"/>
      <c r="KB2" s="1901"/>
      <c r="KC2" s="1901"/>
      <c r="KD2" s="1901"/>
      <c r="KE2" s="1901"/>
      <c r="KF2" s="1901"/>
      <c r="KG2" s="1901"/>
      <c r="KH2" s="1901"/>
      <c r="KI2" s="1901"/>
      <c r="KJ2" s="1901"/>
      <c r="KK2" s="1901"/>
      <c r="KL2" s="1901"/>
      <c r="KM2" s="359"/>
      <c r="KN2" s="359"/>
      <c r="KO2" s="1749"/>
      <c r="KP2" s="359"/>
      <c r="KQ2" s="359"/>
      <c r="KR2" s="359"/>
      <c r="KS2" s="359"/>
      <c r="KT2" s="1749"/>
      <c r="KU2" s="359"/>
      <c r="KV2" s="359"/>
      <c r="KW2" s="359"/>
      <c r="KX2" s="359"/>
      <c r="KY2" s="1749"/>
      <c r="KZ2" s="359"/>
      <c r="LA2" s="359"/>
      <c r="LB2" s="359"/>
      <c r="LC2" s="359"/>
      <c r="LD2" s="1749"/>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2"/>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3"/>
      <c r="IA3" s="1883"/>
      <c r="IB3" s="1883"/>
      <c r="IC3" s="1883"/>
      <c r="ID3" s="1883"/>
      <c r="IE3" s="1883"/>
      <c r="IF3" s="1883"/>
      <c r="IG3" s="1883"/>
      <c r="IH3" s="1883"/>
      <c r="II3" s="1883"/>
      <c r="IJ3" s="1883"/>
      <c r="IK3" s="1883"/>
      <c r="IL3" s="1883"/>
      <c r="IM3" s="1883"/>
      <c r="IN3" s="1883"/>
      <c r="IO3" s="1883"/>
      <c r="IP3" s="1883"/>
      <c r="IQ3" s="1883"/>
      <c r="IR3" s="1883"/>
      <c r="IS3" s="1883"/>
      <c r="IT3" s="1883"/>
      <c r="IU3" s="1883"/>
      <c r="IV3" s="1883"/>
      <c r="IW3" s="1883"/>
      <c r="IX3" s="1883"/>
      <c r="IY3" s="1883"/>
      <c r="IZ3" s="1883"/>
      <c r="JA3" s="1883"/>
      <c r="JB3" s="1883"/>
      <c r="JC3" s="1883"/>
      <c r="JD3" s="1883"/>
      <c r="JE3" s="1883"/>
      <c r="JF3" s="1883"/>
      <c r="JG3" s="1883"/>
      <c r="JH3" s="1883"/>
      <c r="JI3" s="1883"/>
      <c r="JJ3" s="1883"/>
      <c r="JK3" s="1883"/>
      <c r="JL3" s="1883"/>
      <c r="JM3" s="1883"/>
      <c r="JN3" s="1883"/>
      <c r="JO3" s="1883"/>
      <c r="JP3" s="1883"/>
      <c r="JQ3" s="1883"/>
      <c r="JR3" s="1883"/>
      <c r="JS3" s="1883"/>
      <c r="JT3" s="1883"/>
      <c r="JU3" s="1883"/>
      <c r="JV3" s="1883"/>
      <c r="JW3" s="1883"/>
      <c r="JX3" s="1883"/>
      <c r="JY3" s="1883"/>
      <c r="JZ3" s="1883"/>
      <c r="KA3" s="1883"/>
      <c r="KB3" s="1883"/>
      <c r="KC3" s="1883"/>
      <c r="KD3" s="1883"/>
      <c r="KE3" s="1883"/>
      <c r="KF3" s="1883"/>
      <c r="KG3" s="1883"/>
      <c r="KH3" s="1883"/>
      <c r="KI3" s="1883"/>
      <c r="KJ3" s="1883"/>
      <c r="KK3" s="1883"/>
      <c r="KL3" s="1883"/>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2184</v>
      </c>
      <c r="C4" s="1"/>
      <c r="D4" s="1517" t="s">
        <v>6099</v>
      </c>
      <c r="E4" s="1517"/>
      <c r="F4" s="1517"/>
      <c r="G4" s="1517"/>
      <c r="H4" s="1517"/>
      <c r="I4" s="1517"/>
      <c r="J4" s="1517"/>
      <c r="K4" s="93"/>
      <c r="L4" s="93"/>
      <c r="M4" s="93"/>
      <c r="O4" s="153" t="s">
        <v>534</v>
      </c>
      <c r="P4" s="3090" t="str">
        <f>'Part I-Project Identification'!$O$32</f>
        <v>Gainesville</v>
      </c>
      <c r="Q4" s="3090"/>
      <c r="T4" s="4" t="str">
        <f>B4</f>
        <v>RENT SCHEDULE</v>
      </c>
      <c r="U4" s="139"/>
      <c r="X4" s="1505"/>
      <c r="Y4" s="1505"/>
      <c r="Z4" s="1505"/>
      <c r="AA4" s="1505"/>
      <c r="AB4" s="1505"/>
      <c r="AC4" s="1505"/>
      <c r="AD4" s="1505"/>
      <c r="AE4" s="1505"/>
      <c r="AF4" s="1505"/>
      <c r="AG4" s="1505"/>
      <c r="AH4" s="1505"/>
      <c r="AI4" s="1505"/>
      <c r="AJ4" s="1505"/>
      <c r="AK4" s="1505"/>
      <c r="AL4" s="1505"/>
      <c r="AM4" s="1505"/>
      <c r="AN4" s="1505"/>
      <c r="AO4" s="1505"/>
      <c r="AP4" s="1505"/>
      <c r="AQ4" s="1505"/>
      <c r="AR4" s="1505"/>
      <c r="AS4" s="1505"/>
      <c r="AT4" s="1505"/>
      <c r="AU4" s="1505"/>
      <c r="AV4" s="1505"/>
      <c r="AW4" s="1505"/>
      <c r="AX4" s="1505"/>
      <c r="AY4" s="1505"/>
      <c r="AZ4" s="1505"/>
      <c r="BA4" s="1505"/>
      <c r="BB4" s="1505"/>
      <c r="BC4" s="1505"/>
      <c r="BD4" s="1505"/>
      <c r="BE4" s="1505"/>
      <c r="BF4" s="1505"/>
      <c r="BG4" s="1505"/>
      <c r="BH4" s="1505"/>
      <c r="BI4" s="1505"/>
      <c r="BJ4" s="1505"/>
      <c r="BK4" s="1505"/>
      <c r="BL4" s="1505"/>
      <c r="BM4" s="1505"/>
      <c r="BN4" s="1505"/>
      <c r="BO4" s="1505"/>
      <c r="BP4" s="1505"/>
      <c r="BQ4" s="1505"/>
      <c r="BR4" s="1505"/>
      <c r="BS4" s="1505"/>
      <c r="BT4" s="1505"/>
      <c r="BU4" s="1505"/>
      <c r="BV4" s="1505"/>
      <c r="BW4" s="1505"/>
      <c r="BX4" s="1505"/>
      <c r="BY4" s="1505"/>
      <c r="BZ4" s="1505"/>
      <c r="CA4" s="1505"/>
      <c r="CB4" s="1505"/>
      <c r="CC4" s="1505"/>
      <c r="CD4" s="1505"/>
      <c r="CE4" s="1505"/>
      <c r="CF4" s="1505"/>
      <c r="CG4" s="1505"/>
      <c r="CH4" s="1505"/>
      <c r="CI4" s="1505"/>
      <c r="CJ4" s="1505"/>
      <c r="CK4" s="1505"/>
      <c r="CL4" s="1505"/>
      <c r="CM4" s="1505"/>
      <c r="CN4" s="1505"/>
      <c r="CO4" s="1505"/>
      <c r="CP4" s="1505"/>
      <c r="CQ4" s="1505"/>
      <c r="CR4" s="1505"/>
      <c r="CS4" s="1505"/>
      <c r="CT4" s="1505"/>
      <c r="CU4" s="1505"/>
      <c r="CV4" s="1505"/>
      <c r="CW4" s="1505"/>
      <c r="CX4" s="1505"/>
      <c r="CY4" s="1505"/>
      <c r="CZ4" s="1505"/>
      <c r="DA4" s="1505"/>
      <c r="DB4" s="1505"/>
      <c r="DC4" s="1505"/>
      <c r="DD4" s="1505"/>
      <c r="DE4" s="1505"/>
      <c r="DF4" s="1505"/>
      <c r="DG4" s="1505"/>
      <c r="DH4" s="1505"/>
      <c r="DI4" s="1505"/>
      <c r="DJ4" s="1505"/>
      <c r="DK4" s="1505"/>
      <c r="DL4" s="1505"/>
      <c r="DM4" s="1505"/>
      <c r="DN4" s="1505"/>
      <c r="DO4" s="1505"/>
      <c r="DP4" s="1505"/>
      <c r="DQ4" s="1505"/>
      <c r="DR4" s="1505"/>
      <c r="DS4" s="1505"/>
      <c r="DT4" s="1505"/>
      <c r="DU4" s="1505"/>
      <c r="DV4" s="1505"/>
      <c r="DW4" s="1505"/>
      <c r="DX4" s="1505"/>
      <c r="DY4" s="1505"/>
      <c r="DZ4" s="1505"/>
      <c r="EA4" s="1505"/>
      <c r="EB4" s="1505"/>
      <c r="EC4" s="1505"/>
      <c r="ED4" s="1505"/>
      <c r="EE4" s="1505"/>
      <c r="EF4" s="1505"/>
      <c r="EG4" s="1505"/>
      <c r="EH4" s="1505"/>
      <c r="EI4" s="1505"/>
      <c r="EJ4" s="1505"/>
      <c r="EK4" s="1505"/>
      <c r="EL4" s="1505"/>
      <c r="EM4" s="1505"/>
      <c r="EN4" s="1505"/>
      <c r="EO4" s="1505"/>
      <c r="EP4" s="1505"/>
      <c r="EQ4" s="1505"/>
      <c r="ER4" s="1505"/>
      <c r="ES4" s="1505"/>
      <c r="ET4" s="1505"/>
      <c r="EU4" s="1505"/>
      <c r="EV4" s="1505"/>
      <c r="EW4" s="1505"/>
      <c r="EX4" s="1505"/>
      <c r="EY4" s="1505"/>
      <c r="EZ4" s="1505"/>
      <c r="FA4" s="1505"/>
      <c r="FB4" s="1505"/>
      <c r="FC4" s="1505"/>
      <c r="FD4" s="1505"/>
      <c r="FE4" s="1505"/>
      <c r="FF4" s="1505"/>
      <c r="FG4" s="1505"/>
      <c r="FH4" s="1505"/>
      <c r="FI4" s="1505"/>
      <c r="FJ4" s="1505"/>
      <c r="FK4" s="1505"/>
      <c r="FL4" s="1505"/>
      <c r="FM4" s="1505"/>
      <c r="FN4" s="1505"/>
      <c r="FO4" s="1505"/>
      <c r="FP4" s="1505"/>
      <c r="FQ4" s="1505"/>
      <c r="FR4" s="1505"/>
      <c r="FS4" s="1505"/>
      <c r="FT4" s="1505"/>
      <c r="FU4" s="1505"/>
      <c r="FV4" s="1505"/>
      <c r="FW4" s="1505"/>
      <c r="FX4" s="1505"/>
      <c r="FY4" s="1505"/>
      <c r="FZ4" s="1505"/>
      <c r="GA4" s="1505"/>
      <c r="GB4" s="1505"/>
      <c r="GC4" s="1505"/>
      <c r="GD4" s="1505"/>
      <c r="GE4" s="1505"/>
      <c r="GF4" s="1505"/>
      <c r="GG4" s="1505"/>
      <c r="GH4" s="1505"/>
      <c r="GI4" s="1505"/>
      <c r="GJ4" s="1505"/>
      <c r="GK4" s="1505"/>
      <c r="GL4" s="1505"/>
      <c r="GM4" s="1505"/>
      <c r="GN4" s="1505"/>
      <c r="GO4" s="1505"/>
      <c r="GP4" s="1505"/>
      <c r="GQ4" s="1505"/>
      <c r="GR4" s="1505"/>
      <c r="GS4" s="1505"/>
      <c r="GT4" s="1505"/>
      <c r="GU4" s="1505"/>
      <c r="GV4" s="1505"/>
      <c r="GW4" s="1505"/>
      <c r="GX4" s="1505"/>
      <c r="GY4" s="1505"/>
      <c r="GZ4" s="1505"/>
      <c r="HA4" s="1505"/>
      <c r="HB4" s="1505"/>
      <c r="HC4" s="1505"/>
      <c r="HD4" s="1505"/>
      <c r="HE4" s="1505"/>
      <c r="HF4" s="1505"/>
      <c r="HG4" s="1505"/>
      <c r="HH4" s="1505"/>
      <c r="HI4" s="1505"/>
      <c r="HJ4" s="1505"/>
      <c r="HK4" s="1505"/>
      <c r="HL4" s="1505"/>
      <c r="HM4" s="1505"/>
      <c r="HN4" s="1505"/>
      <c r="HO4" s="1505"/>
      <c r="HP4" s="1505"/>
      <c r="HQ4" s="1505"/>
      <c r="HR4" s="1505"/>
      <c r="HS4" s="1505"/>
      <c r="HT4" s="1505"/>
      <c r="HU4" s="1505"/>
      <c r="HV4" s="1505"/>
      <c r="HW4" s="1505"/>
      <c r="HX4" s="1505"/>
      <c r="HY4" s="1505"/>
      <c r="HZ4" s="1902"/>
      <c r="IA4" s="1902"/>
      <c r="IB4" s="1902"/>
      <c r="IC4" s="1902"/>
      <c r="ID4" s="1902"/>
      <c r="IE4" s="1883" t="s">
        <v>457</v>
      </c>
      <c r="IF4" s="1883" t="s">
        <v>2246</v>
      </c>
      <c r="IG4" s="1883" t="s">
        <v>2247</v>
      </c>
      <c r="IH4" s="1883" t="s">
        <v>2248</v>
      </c>
      <c r="II4" s="1883" t="s">
        <v>2249</v>
      </c>
      <c r="IJ4" s="1883" t="s">
        <v>457</v>
      </c>
      <c r="IK4" s="1883" t="s">
        <v>2246</v>
      </c>
      <c r="IL4" s="1883" t="s">
        <v>2247</v>
      </c>
      <c r="IM4" s="1883" t="s">
        <v>2248</v>
      </c>
      <c r="IN4" s="1883" t="s">
        <v>2249</v>
      </c>
      <c r="IO4" s="1902"/>
      <c r="IP4" s="1902"/>
      <c r="IQ4" s="1902"/>
      <c r="IR4" s="1902"/>
      <c r="IS4" s="1902"/>
      <c r="IT4" s="1902"/>
      <c r="IU4" s="1902"/>
      <c r="IV4" s="1902"/>
      <c r="IW4" s="1902"/>
      <c r="IX4" s="1902"/>
      <c r="IY4" s="1883" t="s">
        <v>457</v>
      </c>
      <c r="IZ4" s="1883" t="s">
        <v>2246</v>
      </c>
      <c r="JA4" s="1883" t="s">
        <v>2247</v>
      </c>
      <c r="JB4" s="1883" t="s">
        <v>2248</v>
      </c>
      <c r="JC4" s="1883" t="s">
        <v>2249</v>
      </c>
      <c r="JD4" s="1883" t="s">
        <v>457</v>
      </c>
      <c r="JE4" s="1883" t="s">
        <v>2246</v>
      </c>
      <c r="JF4" s="1883" t="s">
        <v>2247</v>
      </c>
      <c r="JG4" s="1883" t="s">
        <v>2248</v>
      </c>
      <c r="JH4" s="1883" t="s">
        <v>2249</v>
      </c>
      <c r="JI4" s="1883" t="s">
        <v>457</v>
      </c>
      <c r="JJ4" s="1883" t="s">
        <v>2246</v>
      </c>
      <c r="JK4" s="1883" t="s">
        <v>2247</v>
      </c>
      <c r="JL4" s="1883" t="s">
        <v>2248</v>
      </c>
      <c r="JM4" s="1883" t="s">
        <v>2249</v>
      </c>
      <c r="JN4" s="1883" t="s">
        <v>457</v>
      </c>
      <c r="JO4" s="1883" t="s">
        <v>2246</v>
      </c>
      <c r="JP4" s="1883" t="s">
        <v>2247</v>
      </c>
      <c r="JQ4" s="1883" t="s">
        <v>2248</v>
      </c>
      <c r="JR4" s="1883" t="s">
        <v>2249</v>
      </c>
      <c r="JS4" s="1883" t="s">
        <v>457</v>
      </c>
      <c r="JT4" s="1883" t="s">
        <v>2246</v>
      </c>
      <c r="JU4" s="1883" t="s">
        <v>2247</v>
      </c>
      <c r="JV4" s="1883" t="s">
        <v>2248</v>
      </c>
      <c r="JW4" s="1883" t="s">
        <v>2249</v>
      </c>
      <c r="JX4" s="1883" t="s">
        <v>457</v>
      </c>
      <c r="JY4" s="1883" t="s">
        <v>2246</v>
      </c>
      <c r="JZ4" s="1883" t="s">
        <v>2247</v>
      </c>
      <c r="KA4" s="1883" t="s">
        <v>2248</v>
      </c>
      <c r="KB4" s="1883" t="s">
        <v>2249</v>
      </c>
      <c r="KC4" s="1883" t="s">
        <v>457</v>
      </c>
      <c r="KD4" s="1883" t="s">
        <v>2246</v>
      </c>
      <c r="KE4" s="1883" t="s">
        <v>2247</v>
      </c>
      <c r="KF4" s="1883" t="s">
        <v>2248</v>
      </c>
      <c r="KG4" s="1883" t="s">
        <v>2249</v>
      </c>
      <c r="KH4" s="1883" t="s">
        <v>457</v>
      </c>
      <c r="KI4" s="1883" t="s">
        <v>2246</v>
      </c>
      <c r="KJ4" s="1883" t="s">
        <v>2247</v>
      </c>
      <c r="KK4" s="1883" t="s">
        <v>2248</v>
      </c>
      <c r="KL4" s="1883" t="s">
        <v>2249</v>
      </c>
      <c r="KM4" s="1883" t="s">
        <v>457</v>
      </c>
      <c r="KN4" s="1883" t="s">
        <v>2246</v>
      </c>
      <c r="KO4" s="1883" t="s">
        <v>2247</v>
      </c>
      <c r="KP4" s="1883" t="s">
        <v>2248</v>
      </c>
      <c r="KQ4" s="1883" t="s">
        <v>2249</v>
      </c>
      <c r="KR4" s="1883" t="s">
        <v>457</v>
      </c>
      <c r="KS4" s="1883" t="s">
        <v>2246</v>
      </c>
      <c r="KT4" s="1883" t="s">
        <v>2247</v>
      </c>
      <c r="KU4" s="1883" t="s">
        <v>2248</v>
      </c>
      <c r="KV4" s="1883" t="s">
        <v>2249</v>
      </c>
      <c r="KW4" s="1883" t="s">
        <v>457</v>
      </c>
      <c r="KX4" s="1883" t="s">
        <v>2246</v>
      </c>
      <c r="KY4" s="1883" t="s">
        <v>2247</v>
      </c>
      <c r="KZ4" s="1883" t="s">
        <v>2248</v>
      </c>
      <c r="LA4" s="1883" t="s">
        <v>2249</v>
      </c>
      <c r="LB4" s="1883" t="s">
        <v>457</v>
      </c>
      <c r="LC4" s="1883" t="s">
        <v>2246</v>
      </c>
      <c r="LD4" s="1883" t="s">
        <v>2247</v>
      </c>
      <c r="LE4" s="1883" t="s">
        <v>2248</v>
      </c>
      <c r="LF4" s="1883" t="s">
        <v>2249</v>
      </c>
      <c r="LG4" s="1505"/>
      <c r="LH4" s="1505"/>
      <c r="LI4" s="1505"/>
      <c r="LJ4" s="1505"/>
      <c r="LK4" s="1505"/>
      <c r="LL4" s="1505"/>
      <c r="LM4" s="1505"/>
      <c r="LN4" s="1505"/>
      <c r="LO4" s="1505"/>
      <c r="LP4" s="1505"/>
      <c r="LQ4" s="1505"/>
      <c r="LR4" s="1505"/>
      <c r="LS4" s="1505"/>
      <c r="LT4" s="1505"/>
      <c r="LU4" s="1505"/>
      <c r="LV4" s="1505"/>
      <c r="LW4" s="1505"/>
      <c r="LX4" s="1505"/>
      <c r="LY4" s="1505"/>
      <c r="LZ4" s="1505"/>
      <c r="MA4" s="1505"/>
      <c r="MB4" s="1505"/>
      <c r="MC4" s="1505"/>
      <c r="MD4" s="1505"/>
      <c r="ME4" s="1505"/>
      <c r="MF4" s="3159" t="s">
        <v>3048</v>
      </c>
      <c r="MG4" s="3159" t="s">
        <v>3049</v>
      </c>
      <c r="MH4" s="3159" t="s">
        <v>3050</v>
      </c>
      <c r="MI4" s="3159" t="s">
        <v>3051</v>
      </c>
      <c r="MJ4" s="3159" t="s">
        <v>3052</v>
      </c>
      <c r="MK4" s="1505"/>
      <c r="ML4" s="1505"/>
      <c r="MM4" s="1505"/>
      <c r="MN4" s="1505"/>
      <c r="MO4" s="1505"/>
      <c r="MP4" s="1505"/>
      <c r="MQ4" s="1505"/>
      <c r="MR4" s="1505"/>
      <c r="MS4" s="1505"/>
      <c r="MT4" s="1505"/>
      <c r="MU4" s="72"/>
      <c r="MV4" s="72"/>
      <c r="MW4" s="72"/>
      <c r="MX4" s="72"/>
      <c r="MY4" s="72"/>
      <c r="MZ4" s="72"/>
      <c r="NA4" s="72"/>
      <c r="NB4" s="72"/>
      <c r="NC4" s="72"/>
      <c r="ND4" s="72"/>
      <c r="NE4" s="72"/>
      <c r="NF4" s="72"/>
      <c r="NG4" s="72"/>
      <c r="NH4" s="72"/>
      <c r="NI4" s="72"/>
      <c r="NJ4" s="72"/>
      <c r="NK4" s="72"/>
      <c r="NL4" s="72"/>
      <c r="NM4" s="72"/>
      <c r="NN4" s="72"/>
      <c r="NO4" s="359"/>
      <c r="NP4" s="1722"/>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7"/>
      <c r="E5" s="1517"/>
      <c r="F5" s="1517"/>
      <c r="G5" s="1517"/>
      <c r="H5" s="1517"/>
      <c r="I5" s="1517"/>
      <c r="J5" s="1517"/>
      <c r="K5" s="1"/>
      <c r="L5" s="1"/>
      <c r="M5" s="1"/>
      <c r="N5" s="1"/>
      <c r="P5" s="1508"/>
      <c r="Q5" s="3160" t="s">
        <v>3207</v>
      </c>
      <c r="R5" s="830"/>
      <c r="S5" s="337"/>
      <c r="T5" s="337"/>
      <c r="U5" s="337"/>
      <c r="W5" s="338"/>
      <c r="X5" s="3159" t="s">
        <v>3685</v>
      </c>
      <c r="Y5" s="3159" t="s">
        <v>3686</v>
      </c>
      <c r="Z5" s="3159" t="s">
        <v>3687</v>
      </c>
      <c r="AA5" s="3159" t="s">
        <v>3688</v>
      </c>
      <c r="AB5" s="3159" t="s">
        <v>3689</v>
      </c>
      <c r="AC5" s="3159" t="s">
        <v>3690</v>
      </c>
      <c r="AD5" s="3159" t="s">
        <v>3691</v>
      </c>
      <c r="AE5" s="3159" t="s">
        <v>3692</v>
      </c>
      <c r="AF5" s="3159" t="s">
        <v>3693</v>
      </c>
      <c r="AG5" s="3159" t="s">
        <v>3694</v>
      </c>
      <c r="AH5" s="3159" t="s">
        <v>861</v>
      </c>
      <c r="AI5" s="3159" t="s">
        <v>705</v>
      </c>
      <c r="AJ5" s="3159" t="s">
        <v>706</v>
      </c>
      <c r="AK5" s="3159" t="s">
        <v>707</v>
      </c>
      <c r="AL5" s="3159" t="s">
        <v>708</v>
      </c>
      <c r="AM5" s="3159" t="s">
        <v>862</v>
      </c>
      <c r="AN5" s="3159" t="s">
        <v>2132</v>
      </c>
      <c r="AO5" s="3159" t="s">
        <v>2133</v>
      </c>
      <c r="AP5" s="3159" t="s">
        <v>2134</v>
      </c>
      <c r="AQ5" s="3159" t="s">
        <v>2135</v>
      </c>
      <c r="AR5" s="3159" t="s">
        <v>3696</v>
      </c>
      <c r="AS5" s="3159" t="s">
        <v>3697</v>
      </c>
      <c r="AT5" s="3159" t="s">
        <v>3698</v>
      </c>
      <c r="AU5" s="3159" t="s">
        <v>3699</v>
      </c>
      <c r="AV5" s="3159" t="s">
        <v>3695</v>
      </c>
      <c r="AW5" s="3159" t="s">
        <v>863</v>
      </c>
      <c r="AX5" s="3159" t="s">
        <v>2136</v>
      </c>
      <c r="AY5" s="3159" t="s">
        <v>2137</v>
      </c>
      <c r="AZ5" s="3159" t="s">
        <v>2138</v>
      </c>
      <c r="BA5" s="3159" t="s">
        <v>2139</v>
      </c>
      <c r="BB5" s="3159" t="s">
        <v>3700</v>
      </c>
      <c r="BC5" s="3159" t="s">
        <v>3701</v>
      </c>
      <c r="BD5" s="3159" t="s">
        <v>3702</v>
      </c>
      <c r="BE5" s="3159" t="s">
        <v>3703</v>
      </c>
      <c r="BF5" s="3159" t="s">
        <v>3704</v>
      </c>
      <c r="BG5" s="3159" t="s">
        <v>123</v>
      </c>
      <c r="BH5" s="3159" t="s">
        <v>2140</v>
      </c>
      <c r="BI5" s="3159" t="s">
        <v>2141</v>
      </c>
      <c r="BJ5" s="3159" t="s">
        <v>2142</v>
      </c>
      <c r="BK5" s="3159" t="s">
        <v>1081</v>
      </c>
      <c r="BL5" s="3159" t="s">
        <v>3705</v>
      </c>
      <c r="BM5" s="3159" t="s">
        <v>3706</v>
      </c>
      <c r="BN5" s="3159" t="s">
        <v>3707</v>
      </c>
      <c r="BO5" s="3159" t="s">
        <v>3708</v>
      </c>
      <c r="BP5" s="3159" t="s">
        <v>3709</v>
      </c>
      <c r="BQ5" s="3159" t="s">
        <v>517</v>
      </c>
      <c r="BR5" s="3159" t="s">
        <v>518</v>
      </c>
      <c r="BS5" s="3159" t="s">
        <v>535</v>
      </c>
      <c r="BT5" s="3159" t="s">
        <v>536</v>
      </c>
      <c r="BU5" s="3159" t="s">
        <v>537</v>
      </c>
      <c r="BV5" s="3159" t="s">
        <v>3710</v>
      </c>
      <c r="BW5" s="3159" t="s">
        <v>3711</v>
      </c>
      <c r="BX5" s="3159" t="s">
        <v>3712</v>
      </c>
      <c r="BY5" s="3159" t="s">
        <v>3713</v>
      </c>
      <c r="BZ5" s="3159" t="s">
        <v>3714</v>
      </c>
      <c r="CA5" s="3159" t="s">
        <v>538</v>
      </c>
      <c r="CB5" s="3159" t="s">
        <v>539</v>
      </c>
      <c r="CC5" s="3159" t="s">
        <v>540</v>
      </c>
      <c r="CD5" s="3159" t="s">
        <v>541</v>
      </c>
      <c r="CE5" s="3159" t="s">
        <v>542</v>
      </c>
      <c r="CF5" s="3159" t="s">
        <v>543</v>
      </c>
      <c r="CG5" s="3159" t="s">
        <v>544</v>
      </c>
      <c r="CH5" s="3159" t="s">
        <v>872</v>
      </c>
      <c r="CI5" s="3159" t="s">
        <v>873</v>
      </c>
      <c r="CJ5" s="3159" t="s">
        <v>874</v>
      </c>
      <c r="CK5" s="3159" t="s">
        <v>3720</v>
      </c>
      <c r="CL5" s="3159" t="s">
        <v>3721</v>
      </c>
      <c r="CM5" s="3159" t="s">
        <v>3722</v>
      </c>
      <c r="CN5" s="3159" t="s">
        <v>3723</v>
      </c>
      <c r="CO5" s="3159" t="s">
        <v>3724</v>
      </c>
      <c r="CP5" s="3159" t="s">
        <v>3715</v>
      </c>
      <c r="CQ5" s="3159" t="s">
        <v>3716</v>
      </c>
      <c r="CR5" s="3159" t="s">
        <v>3717</v>
      </c>
      <c r="CS5" s="3159" t="s">
        <v>3718</v>
      </c>
      <c r="CT5" s="3159" t="s">
        <v>3719</v>
      </c>
      <c r="CU5" s="3159" t="s">
        <v>3725</v>
      </c>
      <c r="CV5" s="3159" t="s">
        <v>3726</v>
      </c>
      <c r="CW5" s="3159" t="s">
        <v>3727</v>
      </c>
      <c r="CX5" s="3159" t="s">
        <v>3728</v>
      </c>
      <c r="CY5" s="3159" t="s">
        <v>3729</v>
      </c>
      <c r="CZ5" s="3159" t="s">
        <v>466</v>
      </c>
      <c r="DA5" s="3159" t="s">
        <v>467</v>
      </c>
      <c r="DB5" s="3159" t="s">
        <v>468</v>
      </c>
      <c r="DC5" s="3159" t="s">
        <v>469</v>
      </c>
      <c r="DD5" s="3159" t="s">
        <v>470</v>
      </c>
      <c r="DE5" s="3159" t="s">
        <v>3730</v>
      </c>
      <c r="DF5" s="3159" t="s">
        <v>3731</v>
      </c>
      <c r="DG5" s="3159" t="s">
        <v>3732</v>
      </c>
      <c r="DH5" s="3159" t="s">
        <v>3733</v>
      </c>
      <c r="DI5" s="3159" t="s">
        <v>3734</v>
      </c>
      <c r="DJ5" s="3159" t="s">
        <v>822</v>
      </c>
      <c r="DK5" s="3159" t="s">
        <v>823</v>
      </c>
      <c r="DL5" s="3159" t="s">
        <v>824</v>
      </c>
      <c r="DM5" s="3159" t="s">
        <v>825</v>
      </c>
      <c r="DN5" s="3159" t="s">
        <v>826</v>
      </c>
      <c r="DO5" s="3159" t="s">
        <v>827</v>
      </c>
      <c r="DP5" s="3159" t="s">
        <v>828</v>
      </c>
      <c r="DQ5" s="3159" t="s">
        <v>829</v>
      </c>
      <c r="DR5" s="3159" t="s">
        <v>830</v>
      </c>
      <c r="DS5" s="3159" t="s">
        <v>831</v>
      </c>
      <c r="DT5" s="3159" t="s">
        <v>3735</v>
      </c>
      <c r="DU5" s="3159" t="s">
        <v>3736</v>
      </c>
      <c r="DV5" s="3159" t="s">
        <v>3737</v>
      </c>
      <c r="DW5" s="3159" t="s">
        <v>3738</v>
      </c>
      <c r="DX5" s="3159" t="s">
        <v>3739</v>
      </c>
      <c r="DY5" s="3159" t="s">
        <v>3740</v>
      </c>
      <c r="DZ5" s="3159" t="s">
        <v>3741</v>
      </c>
      <c r="EA5" s="3159" t="s">
        <v>3742</v>
      </c>
      <c r="EB5" s="3159" t="s">
        <v>3743</v>
      </c>
      <c r="EC5" s="3159" t="s">
        <v>3744</v>
      </c>
      <c r="ED5" s="3159" t="s">
        <v>2236</v>
      </c>
      <c r="EE5" s="3159" t="s">
        <v>2237</v>
      </c>
      <c r="EF5" s="3159" t="s">
        <v>2238</v>
      </c>
      <c r="EG5" s="3159" t="s">
        <v>2239</v>
      </c>
      <c r="EH5" s="3159" t="s">
        <v>2240</v>
      </c>
      <c r="EI5" s="3159" t="s">
        <v>3745</v>
      </c>
      <c r="EJ5" s="3159" t="s">
        <v>3746</v>
      </c>
      <c r="EK5" s="3159" t="s">
        <v>3747</v>
      </c>
      <c r="EL5" s="3159" t="s">
        <v>3748</v>
      </c>
      <c r="EM5" s="3159" t="s">
        <v>3749</v>
      </c>
      <c r="EN5" s="3159" t="s">
        <v>3750</v>
      </c>
      <c r="EO5" s="3159" t="s">
        <v>3751</v>
      </c>
      <c r="EP5" s="3159" t="s">
        <v>3752</v>
      </c>
      <c r="EQ5" s="3159" t="s">
        <v>3753</v>
      </c>
      <c r="ER5" s="3159" t="s">
        <v>3754</v>
      </c>
      <c r="ES5" s="3159" t="s">
        <v>111</v>
      </c>
      <c r="ET5" s="3159" t="s">
        <v>1084</v>
      </c>
      <c r="EU5" s="3159" t="s">
        <v>1085</v>
      </c>
      <c r="EV5" s="3159" t="s">
        <v>1140</v>
      </c>
      <c r="EW5" s="3159" t="s">
        <v>1141</v>
      </c>
      <c r="EX5" s="3159" t="s">
        <v>126</v>
      </c>
      <c r="EY5" s="3159" t="s">
        <v>1142</v>
      </c>
      <c r="EZ5" s="3159" t="s">
        <v>1143</v>
      </c>
      <c r="FA5" s="3159" t="s">
        <v>1144</v>
      </c>
      <c r="FB5" s="3159" t="s">
        <v>1145</v>
      </c>
      <c r="FC5" s="3159" t="s">
        <v>3755</v>
      </c>
      <c r="FD5" s="3159" t="s">
        <v>3756</v>
      </c>
      <c r="FE5" s="3159" t="s">
        <v>3757</v>
      </c>
      <c r="FF5" s="3159" t="s">
        <v>3758</v>
      </c>
      <c r="FG5" s="3159" t="s">
        <v>3759</v>
      </c>
      <c r="FH5" s="3159" t="s">
        <v>125</v>
      </c>
      <c r="FI5" s="3159" t="s">
        <v>853</v>
      </c>
      <c r="FJ5" s="3159" t="s">
        <v>854</v>
      </c>
      <c r="FK5" s="3159" t="s">
        <v>855</v>
      </c>
      <c r="FL5" s="3159" t="s">
        <v>856</v>
      </c>
      <c r="FM5" s="3159" t="s">
        <v>3760</v>
      </c>
      <c r="FN5" s="3159" t="s">
        <v>3761</v>
      </c>
      <c r="FO5" s="3159" t="s">
        <v>3762</v>
      </c>
      <c r="FP5" s="3159" t="s">
        <v>3763</v>
      </c>
      <c r="FQ5" s="3159" t="s">
        <v>3764</v>
      </c>
      <c r="FR5" s="3159" t="s">
        <v>124</v>
      </c>
      <c r="FS5" s="3159" t="s">
        <v>857</v>
      </c>
      <c r="FT5" s="3159" t="s">
        <v>858</v>
      </c>
      <c r="FU5" s="3159" t="s">
        <v>859</v>
      </c>
      <c r="FV5" s="3159" t="s">
        <v>860</v>
      </c>
      <c r="FW5" s="3159" t="s">
        <v>752</v>
      </c>
      <c r="FX5" s="3159" t="s">
        <v>753</v>
      </c>
      <c r="FY5" s="3159" t="s">
        <v>754</v>
      </c>
      <c r="FZ5" s="3159" t="s">
        <v>755</v>
      </c>
      <c r="GA5" s="3159" t="s">
        <v>756</v>
      </c>
      <c r="GB5" s="3159" t="s">
        <v>897</v>
      </c>
      <c r="GC5" s="3159" t="s">
        <v>898</v>
      </c>
      <c r="GD5" s="3159" t="s">
        <v>899</v>
      </c>
      <c r="GE5" s="3159" t="s">
        <v>900</v>
      </c>
      <c r="GF5" s="3159" t="s">
        <v>2235</v>
      </c>
      <c r="GG5" s="3159" t="s">
        <v>1345</v>
      </c>
      <c r="GH5" s="3159" t="s">
        <v>1346</v>
      </c>
      <c r="GI5" s="3159" t="s">
        <v>1347</v>
      </c>
      <c r="GJ5" s="3159" t="s">
        <v>1348</v>
      </c>
      <c r="GK5" s="3159" t="s">
        <v>1349</v>
      </c>
      <c r="GL5" s="3159" t="s">
        <v>411</v>
      </c>
      <c r="GM5" s="3159" t="s">
        <v>412</v>
      </c>
      <c r="GN5" s="3159" t="s">
        <v>413</v>
      </c>
      <c r="GO5" s="3159" t="s">
        <v>414</v>
      </c>
      <c r="GP5" s="3159" t="s">
        <v>415</v>
      </c>
      <c r="GQ5" s="3159" t="s">
        <v>14</v>
      </c>
      <c r="GR5" s="3159" t="s">
        <v>15</v>
      </c>
      <c r="GS5" s="3159" t="s">
        <v>16</v>
      </c>
      <c r="GT5" s="3159" t="s">
        <v>17</v>
      </c>
      <c r="GU5" s="3159" t="s">
        <v>18</v>
      </c>
      <c r="GV5" s="3159" t="s">
        <v>214</v>
      </c>
      <c r="GW5" s="3159" t="s">
        <v>215</v>
      </c>
      <c r="GX5" s="3159" t="s">
        <v>216</v>
      </c>
      <c r="GY5" s="3159" t="s">
        <v>1681</v>
      </c>
      <c r="GZ5" s="3159" t="s">
        <v>1682</v>
      </c>
      <c r="HA5" s="3159" t="s">
        <v>1683</v>
      </c>
      <c r="HB5" s="3159" t="s">
        <v>550</v>
      </c>
      <c r="HC5" s="3159" t="s">
        <v>551</v>
      </c>
      <c r="HD5" s="3159" t="s">
        <v>552</v>
      </c>
      <c r="HE5" s="3159" t="s">
        <v>553</v>
      </c>
      <c r="HF5" s="3159" t="s">
        <v>19</v>
      </c>
      <c r="HG5" s="3159" t="s">
        <v>20</v>
      </c>
      <c r="HH5" s="3159" t="s">
        <v>21</v>
      </c>
      <c r="HI5" s="3159" t="s">
        <v>22</v>
      </c>
      <c r="HJ5" s="3159" t="s">
        <v>23</v>
      </c>
      <c r="HK5" s="3159" t="s">
        <v>465</v>
      </c>
      <c r="HL5" s="3159" t="s">
        <v>407</v>
      </c>
      <c r="HM5" s="3159" t="s">
        <v>408</v>
      </c>
      <c r="HN5" s="3159" t="s">
        <v>409</v>
      </c>
      <c r="HO5" s="3159" t="s">
        <v>410</v>
      </c>
      <c r="HP5" s="3159" t="s">
        <v>2043</v>
      </c>
      <c r="HQ5" s="3159" t="s">
        <v>2044</v>
      </c>
      <c r="HR5" s="3159" t="s">
        <v>2045</v>
      </c>
      <c r="HS5" s="3159" t="s">
        <v>1386</v>
      </c>
      <c r="HT5" s="3159" t="s">
        <v>1387</v>
      </c>
      <c r="HU5" s="3159" t="s">
        <v>24</v>
      </c>
      <c r="HV5" s="3159" t="s">
        <v>25</v>
      </c>
      <c r="HW5" s="3159" t="s">
        <v>26</v>
      </c>
      <c r="HX5" s="3159" t="s">
        <v>27</v>
      </c>
      <c r="HY5" s="3159" t="s">
        <v>28</v>
      </c>
      <c r="HZ5" s="1902"/>
      <c r="IA5" s="1902"/>
      <c r="IB5" s="1902"/>
      <c r="IC5" s="1902"/>
      <c r="ID5" s="1902"/>
      <c r="IE5" s="1902"/>
      <c r="IF5" s="1902"/>
      <c r="IG5" s="1902"/>
      <c r="IH5" s="1902"/>
      <c r="II5" s="1902"/>
      <c r="IJ5" s="1902"/>
      <c r="IK5" s="1902"/>
      <c r="IL5" s="1902"/>
      <c r="IM5" s="1902"/>
      <c r="IN5" s="1902"/>
      <c r="IO5" s="1902"/>
      <c r="IP5" s="1902"/>
      <c r="IQ5" s="1902"/>
      <c r="IR5" s="1902"/>
      <c r="IS5" s="1902"/>
      <c r="IT5" s="1902"/>
      <c r="IU5" s="1902"/>
      <c r="IV5" s="1902"/>
      <c r="IW5" s="1902"/>
      <c r="IX5" s="1902"/>
      <c r="IY5" s="1902"/>
      <c r="IZ5" s="1902"/>
      <c r="JA5" s="1902"/>
      <c r="JB5" s="1902"/>
      <c r="JC5" s="1902"/>
      <c r="JD5" s="1902"/>
      <c r="JE5" s="1902"/>
      <c r="JF5" s="1902"/>
      <c r="JG5" s="1902"/>
      <c r="JH5" s="1902"/>
      <c r="JI5" s="1902"/>
      <c r="JJ5" s="1902"/>
      <c r="JK5" s="1902"/>
      <c r="JL5" s="1902"/>
      <c r="JM5" s="1902"/>
      <c r="JN5" s="1902"/>
      <c r="JO5" s="1902"/>
      <c r="JP5" s="1902"/>
      <c r="JQ5" s="1902"/>
      <c r="JR5" s="1902"/>
      <c r="JS5" s="1902"/>
      <c r="JT5" s="1902"/>
      <c r="JU5" s="1902"/>
      <c r="JV5" s="1902"/>
      <c r="JW5" s="1902"/>
      <c r="JX5" s="1902"/>
      <c r="JY5" s="1902"/>
      <c r="JZ5" s="1902"/>
      <c r="KA5" s="1902"/>
      <c r="KB5" s="1902"/>
      <c r="KC5" s="1902"/>
      <c r="KD5" s="1902"/>
      <c r="KE5" s="1902"/>
      <c r="KF5" s="1902"/>
      <c r="KG5" s="1902"/>
      <c r="KH5" s="1902"/>
      <c r="KI5" s="1902"/>
      <c r="KJ5" s="1902"/>
      <c r="KK5" s="1902"/>
      <c r="KL5" s="1902"/>
      <c r="KM5" s="1505"/>
      <c r="KN5" s="1505"/>
      <c r="KO5" s="1505"/>
      <c r="KP5" s="1505"/>
      <c r="KQ5" s="1505"/>
      <c r="KR5" s="1505"/>
      <c r="KS5" s="1505"/>
      <c r="KT5" s="1505"/>
      <c r="KU5" s="1505"/>
      <c r="KV5" s="1505"/>
      <c r="KW5" s="1505"/>
      <c r="KX5" s="1505"/>
      <c r="KY5" s="1505"/>
      <c r="KZ5" s="1505"/>
      <c r="LA5" s="1505"/>
      <c r="LB5" s="1505"/>
      <c r="LC5" s="1505"/>
      <c r="LD5" s="1505"/>
      <c r="LE5" s="1505"/>
      <c r="LF5" s="1505"/>
      <c r="LG5" s="3159" t="s">
        <v>1519</v>
      </c>
      <c r="LH5" s="3159" t="s">
        <v>2322</v>
      </c>
      <c r="LI5" s="3159" t="s">
        <v>2323</v>
      </c>
      <c r="LJ5" s="3159" t="s">
        <v>364</v>
      </c>
      <c r="LK5" s="3159" t="s">
        <v>365</v>
      </c>
      <c r="LL5" s="3159" t="s">
        <v>366</v>
      </c>
      <c r="LM5" s="3159" t="s">
        <v>367</v>
      </c>
      <c r="LN5" s="3159" t="s">
        <v>368</v>
      </c>
      <c r="LO5" s="3159" t="s">
        <v>369</v>
      </c>
      <c r="LP5" s="3159" t="s">
        <v>370</v>
      </c>
      <c r="LQ5" s="3159" t="s">
        <v>195</v>
      </c>
      <c r="LR5" s="3159" t="s">
        <v>196</v>
      </c>
      <c r="LS5" s="3159" t="s">
        <v>197</v>
      </c>
      <c r="LT5" s="3159" t="s">
        <v>198</v>
      </c>
      <c r="LU5" s="3159" t="s">
        <v>199</v>
      </c>
      <c r="LV5" s="3159" t="s">
        <v>200</v>
      </c>
      <c r="LW5" s="3159" t="s">
        <v>201</v>
      </c>
      <c r="LX5" s="3159" t="s">
        <v>202</v>
      </c>
      <c r="LY5" s="3159" t="s">
        <v>203</v>
      </c>
      <c r="LZ5" s="3159" t="s">
        <v>204</v>
      </c>
      <c r="MA5" s="3159" t="s">
        <v>205</v>
      </c>
      <c r="MB5" s="3159" t="s">
        <v>206</v>
      </c>
      <c r="MC5" s="3159" t="s">
        <v>207</v>
      </c>
      <c r="MD5" s="3159" t="s">
        <v>208</v>
      </c>
      <c r="ME5" s="3159" t="s">
        <v>209</v>
      </c>
      <c r="MF5" s="3159"/>
      <c r="MG5" s="3159"/>
      <c r="MH5" s="3159"/>
      <c r="MI5" s="3159"/>
      <c r="MJ5" s="3159"/>
      <c r="MK5" s="1505"/>
      <c r="ML5" s="1505"/>
      <c r="MM5" s="1505"/>
      <c r="MN5" s="1505"/>
      <c r="MO5" s="1505"/>
      <c r="MP5" s="1505"/>
      <c r="MQ5" s="1505"/>
      <c r="MR5" s="1505"/>
      <c r="MS5" s="1505"/>
      <c r="MT5" s="1505"/>
      <c r="MU5" s="72"/>
      <c r="MV5" s="72"/>
      <c r="MW5" s="72"/>
      <c r="MX5" s="72"/>
      <c r="MY5" s="72"/>
      <c r="MZ5" s="72"/>
      <c r="NA5" s="72"/>
      <c r="NB5" s="72"/>
      <c r="NC5" s="72"/>
      <c r="ND5" s="72"/>
      <c r="NE5" s="72"/>
      <c r="NF5" s="72"/>
      <c r="NG5" s="72"/>
      <c r="NH5" s="72"/>
      <c r="NI5" s="72"/>
      <c r="NJ5" s="72"/>
      <c r="NK5" s="72"/>
      <c r="NL5" s="72"/>
      <c r="NM5" s="72"/>
      <c r="NN5" s="72"/>
      <c r="NO5" s="359"/>
      <c r="NP5" s="1722"/>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179" t="str">
        <f>IF(A49&gt;0,"Finish Row!","")</f>
        <v/>
      </c>
      <c r="B6" s="141" t="s">
        <v>6100</v>
      </c>
      <c r="D6" s="1517"/>
      <c r="E6" s="1517"/>
      <c r="F6" s="1517"/>
      <c r="G6" s="1213" t="s">
        <v>194</v>
      </c>
      <c r="H6" s="3085" t="s">
        <v>6102</v>
      </c>
      <c r="I6" s="3086"/>
      <c r="J6" s="3086"/>
      <c r="K6" s="686" t="s">
        <v>3139</v>
      </c>
      <c r="L6" s="3195" t="str">
        <f>'Part I-Project Identification'!$A$6</f>
        <v>Sept 20, 2022 Core Application - 4% Only</v>
      </c>
      <c r="M6" s="3195"/>
      <c r="N6" s="3195"/>
      <c r="O6" s="1719" t="s">
        <v>6082</v>
      </c>
      <c r="P6" s="1507">
        <v>87400</v>
      </c>
      <c r="Q6" s="3160"/>
      <c r="R6" s="830"/>
      <c r="S6" s="72"/>
      <c r="U6" s="72"/>
      <c r="X6" s="3159"/>
      <c r="Y6" s="3159"/>
      <c r="Z6" s="3159"/>
      <c r="AA6" s="3159"/>
      <c r="AB6" s="3159"/>
      <c r="AC6" s="3159"/>
      <c r="AD6" s="3159"/>
      <c r="AE6" s="3159"/>
      <c r="AF6" s="3159"/>
      <c r="AG6" s="3159"/>
      <c r="AH6" s="3159"/>
      <c r="AI6" s="3159"/>
      <c r="AJ6" s="3159"/>
      <c r="AK6" s="3159"/>
      <c r="AL6" s="3159"/>
      <c r="AM6" s="3159"/>
      <c r="AN6" s="3159"/>
      <c r="AO6" s="3159"/>
      <c r="AP6" s="3159"/>
      <c r="AQ6" s="3159"/>
      <c r="AR6" s="3159"/>
      <c r="AS6" s="3159"/>
      <c r="AT6" s="3159"/>
      <c r="AU6" s="3159"/>
      <c r="AV6" s="3159"/>
      <c r="AW6" s="3159"/>
      <c r="AX6" s="3159"/>
      <c r="AY6" s="3159"/>
      <c r="AZ6" s="3159"/>
      <c r="BA6" s="3159"/>
      <c r="BB6" s="3159"/>
      <c r="BC6" s="3159"/>
      <c r="BD6" s="3159"/>
      <c r="BE6" s="3159"/>
      <c r="BF6" s="3159"/>
      <c r="BG6" s="3159"/>
      <c r="BH6" s="3159"/>
      <c r="BI6" s="3159"/>
      <c r="BJ6" s="3159"/>
      <c r="BK6" s="3159"/>
      <c r="BL6" s="3159"/>
      <c r="BM6" s="3159"/>
      <c r="BN6" s="3159"/>
      <c r="BO6" s="3159"/>
      <c r="BP6" s="3159"/>
      <c r="BQ6" s="3159"/>
      <c r="BR6" s="3159"/>
      <c r="BS6" s="3159"/>
      <c r="BT6" s="3159"/>
      <c r="BU6" s="3159"/>
      <c r="BV6" s="3159"/>
      <c r="BW6" s="3159"/>
      <c r="BX6" s="3159"/>
      <c r="BY6" s="3159"/>
      <c r="BZ6" s="3159"/>
      <c r="CA6" s="3159"/>
      <c r="CB6" s="3159"/>
      <c r="CC6" s="3159"/>
      <c r="CD6" s="3159"/>
      <c r="CE6" s="3159"/>
      <c r="CF6" s="3159"/>
      <c r="CG6" s="3159"/>
      <c r="CH6" s="3159"/>
      <c r="CI6" s="3159"/>
      <c r="CJ6" s="3159"/>
      <c r="CK6" s="3159"/>
      <c r="CL6" s="3159"/>
      <c r="CM6" s="3159"/>
      <c r="CN6" s="3159"/>
      <c r="CO6" s="3159"/>
      <c r="CP6" s="3159"/>
      <c r="CQ6" s="3159"/>
      <c r="CR6" s="3159"/>
      <c r="CS6" s="3159"/>
      <c r="CT6" s="3159"/>
      <c r="CU6" s="3159"/>
      <c r="CV6" s="3159"/>
      <c r="CW6" s="3159"/>
      <c r="CX6" s="3159"/>
      <c r="CY6" s="3159"/>
      <c r="CZ6" s="3159"/>
      <c r="DA6" s="3159"/>
      <c r="DB6" s="3159"/>
      <c r="DC6" s="3159"/>
      <c r="DD6" s="3159"/>
      <c r="DE6" s="3159"/>
      <c r="DF6" s="3159"/>
      <c r="DG6" s="3159"/>
      <c r="DH6" s="3159"/>
      <c r="DI6" s="3159"/>
      <c r="DJ6" s="3159"/>
      <c r="DK6" s="3159"/>
      <c r="DL6" s="3159"/>
      <c r="DM6" s="3159"/>
      <c r="DN6" s="3159"/>
      <c r="DO6" s="3159"/>
      <c r="DP6" s="3159"/>
      <c r="DQ6" s="3159"/>
      <c r="DR6" s="3159"/>
      <c r="DS6" s="3159"/>
      <c r="DT6" s="3159"/>
      <c r="DU6" s="3159"/>
      <c r="DV6" s="3159"/>
      <c r="DW6" s="3159"/>
      <c r="DX6" s="3159"/>
      <c r="DY6" s="3159"/>
      <c r="DZ6" s="3159"/>
      <c r="EA6" s="3159"/>
      <c r="EB6" s="3159"/>
      <c r="EC6" s="3159"/>
      <c r="ED6" s="3159"/>
      <c r="EE6" s="3159"/>
      <c r="EF6" s="3159"/>
      <c r="EG6" s="3159"/>
      <c r="EH6" s="3159"/>
      <c r="EI6" s="3159"/>
      <c r="EJ6" s="3159"/>
      <c r="EK6" s="3159"/>
      <c r="EL6" s="3159"/>
      <c r="EM6" s="3159"/>
      <c r="EN6" s="3159"/>
      <c r="EO6" s="3159"/>
      <c r="EP6" s="3159"/>
      <c r="EQ6" s="3159"/>
      <c r="ER6" s="3159"/>
      <c r="ES6" s="3159"/>
      <c r="ET6" s="3159"/>
      <c r="EU6" s="3159"/>
      <c r="EV6" s="3159"/>
      <c r="EW6" s="3159"/>
      <c r="EX6" s="3159"/>
      <c r="EY6" s="3159"/>
      <c r="EZ6" s="3159"/>
      <c r="FA6" s="3159"/>
      <c r="FB6" s="3159"/>
      <c r="FC6" s="3159"/>
      <c r="FD6" s="3159"/>
      <c r="FE6" s="3159"/>
      <c r="FF6" s="3159"/>
      <c r="FG6" s="3159"/>
      <c r="FH6" s="3159"/>
      <c r="FI6" s="3159"/>
      <c r="FJ6" s="3159"/>
      <c r="FK6" s="3159"/>
      <c r="FL6" s="3159"/>
      <c r="FM6" s="3159"/>
      <c r="FN6" s="3159"/>
      <c r="FO6" s="3159"/>
      <c r="FP6" s="3159"/>
      <c r="FQ6" s="3159"/>
      <c r="FR6" s="3159"/>
      <c r="FS6" s="3159"/>
      <c r="FT6" s="3159"/>
      <c r="FU6" s="3159"/>
      <c r="FV6" s="3159"/>
      <c r="FW6" s="3159"/>
      <c r="FX6" s="3159"/>
      <c r="FY6" s="3159"/>
      <c r="FZ6" s="3159"/>
      <c r="GA6" s="3159"/>
      <c r="GB6" s="3159"/>
      <c r="GC6" s="3159"/>
      <c r="GD6" s="3159"/>
      <c r="GE6" s="3159"/>
      <c r="GF6" s="3159"/>
      <c r="GG6" s="3159"/>
      <c r="GH6" s="3159"/>
      <c r="GI6" s="3159"/>
      <c r="GJ6" s="3159"/>
      <c r="GK6" s="3159"/>
      <c r="GL6" s="3159"/>
      <c r="GM6" s="3159"/>
      <c r="GN6" s="3159"/>
      <c r="GO6" s="3159"/>
      <c r="GP6" s="3159"/>
      <c r="GQ6" s="3159"/>
      <c r="GR6" s="3159"/>
      <c r="GS6" s="3159"/>
      <c r="GT6" s="3159"/>
      <c r="GU6" s="3159"/>
      <c r="GV6" s="3159"/>
      <c r="GW6" s="3159"/>
      <c r="GX6" s="3159"/>
      <c r="GY6" s="3159"/>
      <c r="GZ6" s="3159"/>
      <c r="HA6" s="3159"/>
      <c r="HB6" s="3159"/>
      <c r="HC6" s="3159"/>
      <c r="HD6" s="3159"/>
      <c r="HE6" s="3159"/>
      <c r="HF6" s="3159"/>
      <c r="HG6" s="3159"/>
      <c r="HH6" s="3159"/>
      <c r="HI6" s="3159"/>
      <c r="HJ6" s="3159"/>
      <c r="HK6" s="3159"/>
      <c r="HL6" s="3159"/>
      <c r="HM6" s="3159"/>
      <c r="HN6" s="3159"/>
      <c r="HO6" s="3159"/>
      <c r="HP6" s="3159"/>
      <c r="HQ6" s="3159"/>
      <c r="HR6" s="3159"/>
      <c r="HS6" s="3159"/>
      <c r="HT6" s="3159"/>
      <c r="HU6" s="3159"/>
      <c r="HV6" s="3159"/>
      <c r="HW6" s="3159"/>
      <c r="HX6" s="3159"/>
      <c r="HY6" s="3159"/>
      <c r="HZ6" s="1902"/>
      <c r="IA6" s="1902"/>
      <c r="IB6" s="1902"/>
      <c r="IC6" s="1902"/>
      <c r="ID6" s="1902"/>
      <c r="IE6" s="1902"/>
      <c r="IF6" s="1902"/>
      <c r="IG6" s="1902"/>
      <c r="IH6" s="1902"/>
      <c r="II6" s="1902"/>
      <c r="IJ6" s="1902"/>
      <c r="IK6" s="1902"/>
      <c r="IL6" s="1902"/>
      <c r="IM6" s="1902"/>
      <c r="IN6" s="1902"/>
      <c r="IO6" s="1902"/>
      <c r="IP6" s="1902"/>
      <c r="IQ6" s="1902"/>
      <c r="IR6" s="1902"/>
      <c r="IS6" s="1902"/>
      <c r="IT6" s="1902"/>
      <c r="IU6" s="1902"/>
      <c r="IV6" s="1902"/>
      <c r="IW6" s="1902"/>
      <c r="IX6" s="1902"/>
      <c r="IY6" s="1902"/>
      <c r="IZ6" s="1902"/>
      <c r="JA6" s="1902"/>
      <c r="JB6" s="1902"/>
      <c r="JC6" s="1902"/>
      <c r="JD6" s="1902"/>
      <c r="JE6" s="1902"/>
      <c r="JF6" s="1902"/>
      <c r="JG6" s="1902"/>
      <c r="JH6" s="1902"/>
      <c r="JI6" s="1902"/>
      <c r="JJ6" s="1902"/>
      <c r="JK6" s="1902"/>
      <c r="JL6" s="1902"/>
      <c r="JM6" s="1902"/>
      <c r="JN6" s="1902"/>
      <c r="JO6" s="1902"/>
      <c r="JP6" s="1902"/>
      <c r="JQ6" s="1902"/>
      <c r="JR6" s="1902"/>
      <c r="JS6" s="1902"/>
      <c r="JT6" s="1902"/>
      <c r="JU6" s="1902"/>
      <c r="JV6" s="1902"/>
      <c r="JW6" s="1902"/>
      <c r="JX6" s="1902"/>
      <c r="JY6" s="1902"/>
      <c r="JZ6" s="1902"/>
      <c r="KA6" s="1902"/>
      <c r="KB6" s="1902"/>
      <c r="KC6" s="1902"/>
      <c r="KD6" s="1902"/>
      <c r="KE6" s="1902"/>
      <c r="KF6" s="1902"/>
      <c r="KG6" s="1902"/>
      <c r="KH6" s="1902"/>
      <c r="KI6" s="1902"/>
      <c r="KJ6" s="1902"/>
      <c r="KK6" s="1902"/>
      <c r="KL6" s="1902"/>
      <c r="KM6" s="1505"/>
      <c r="KN6" s="1505"/>
      <c r="KO6" s="1505"/>
      <c r="KP6" s="1505"/>
      <c r="KQ6" s="1505"/>
      <c r="KR6" s="1505"/>
      <c r="KS6" s="1505"/>
      <c r="KT6" s="1505"/>
      <c r="KU6" s="1505"/>
      <c r="KV6" s="1505"/>
      <c r="KW6" s="1505"/>
      <c r="KX6" s="1505"/>
      <c r="KY6" s="1505"/>
      <c r="KZ6" s="1505"/>
      <c r="LA6" s="1505"/>
      <c r="LB6" s="1505"/>
      <c r="LC6" s="1505"/>
      <c r="LD6" s="1505"/>
      <c r="LE6" s="1505"/>
      <c r="LF6" s="1505"/>
      <c r="LG6" s="3159"/>
      <c r="LH6" s="3159"/>
      <c r="LI6" s="3159"/>
      <c r="LJ6" s="3159"/>
      <c r="LK6" s="3159"/>
      <c r="LL6" s="3159"/>
      <c r="LM6" s="3159"/>
      <c r="LN6" s="3159"/>
      <c r="LO6" s="3159"/>
      <c r="LP6" s="3159"/>
      <c r="LQ6" s="3159"/>
      <c r="LR6" s="3159"/>
      <c r="LS6" s="3159"/>
      <c r="LT6" s="3159"/>
      <c r="LU6" s="3159"/>
      <c r="LV6" s="3159"/>
      <c r="LW6" s="3159"/>
      <c r="LX6" s="3159"/>
      <c r="LY6" s="3159"/>
      <c r="LZ6" s="3159"/>
      <c r="MA6" s="3159"/>
      <c r="MB6" s="3159"/>
      <c r="MC6" s="3159"/>
      <c r="MD6" s="3159"/>
      <c r="ME6" s="3159"/>
      <c r="MF6" s="3159"/>
      <c r="MG6" s="3159"/>
      <c r="MH6" s="3159"/>
      <c r="MI6" s="3159"/>
      <c r="MJ6" s="3159"/>
      <c r="MK6" s="3178" t="s">
        <v>3043</v>
      </c>
      <c r="ML6" s="3178" t="s">
        <v>3044</v>
      </c>
      <c r="MM6" s="3178" t="s">
        <v>3045</v>
      </c>
      <c r="MN6" s="3178" t="s">
        <v>3046</v>
      </c>
      <c r="MO6" s="3178" t="s">
        <v>3047</v>
      </c>
      <c r="MP6" s="3159" t="s">
        <v>6289</v>
      </c>
      <c r="MQ6" s="3159" t="s">
        <v>6290</v>
      </c>
      <c r="MR6" s="3159" t="s">
        <v>6291</v>
      </c>
      <c r="MS6" s="3159" t="s">
        <v>6292</v>
      </c>
      <c r="MT6" s="3159" t="s">
        <v>6293</v>
      </c>
      <c r="MU6" s="72"/>
      <c r="MV6" s="72"/>
      <c r="MW6" s="72"/>
      <c r="MX6" s="72"/>
      <c r="MY6" s="72"/>
      <c r="MZ6" s="72"/>
      <c r="NA6" s="72"/>
      <c r="NB6" s="72"/>
      <c r="NC6" s="72"/>
      <c r="ND6" s="72"/>
      <c r="NE6" s="72"/>
      <c r="NF6" s="72"/>
      <c r="NG6" s="72"/>
      <c r="NH6" s="72"/>
      <c r="NI6" s="72"/>
      <c r="NJ6" s="72"/>
      <c r="NK6" s="72"/>
      <c r="NL6" s="72"/>
      <c r="NM6" s="72"/>
      <c r="NN6" s="72"/>
      <c r="NO6" s="359"/>
      <c r="NP6" s="1722"/>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179"/>
      <c r="B7" s="23" t="s">
        <v>6101</v>
      </c>
      <c r="E7" s="4"/>
      <c r="G7" s="1248" t="s">
        <v>2655</v>
      </c>
      <c r="I7" s="3184" t="s">
        <v>4076</v>
      </c>
      <c r="J7" s="686" t="s">
        <v>742</v>
      </c>
      <c r="K7" s="686" t="s">
        <v>3186</v>
      </c>
      <c r="L7" s="3195"/>
      <c r="M7" s="3195"/>
      <c r="N7" s="3195"/>
      <c r="O7" s="1720" t="s">
        <v>6081</v>
      </c>
      <c r="P7" s="1545">
        <v>45065</v>
      </c>
      <c r="Q7" s="3160"/>
      <c r="R7" s="3175" t="s">
        <v>2459</v>
      </c>
      <c r="S7" s="3175"/>
      <c r="X7" s="3159"/>
      <c r="Y7" s="3159"/>
      <c r="Z7" s="3159"/>
      <c r="AA7" s="3159"/>
      <c r="AB7" s="3159"/>
      <c r="AC7" s="3159"/>
      <c r="AD7" s="3159"/>
      <c r="AE7" s="3159"/>
      <c r="AF7" s="3159"/>
      <c r="AG7" s="3159"/>
      <c r="AH7" s="3159"/>
      <c r="AI7" s="3159"/>
      <c r="AJ7" s="3159"/>
      <c r="AK7" s="3159"/>
      <c r="AL7" s="3159"/>
      <c r="AM7" s="3159"/>
      <c r="AN7" s="3159"/>
      <c r="AO7" s="3159"/>
      <c r="AP7" s="3159"/>
      <c r="AQ7" s="3159"/>
      <c r="AR7" s="3159"/>
      <c r="AS7" s="3159"/>
      <c r="AT7" s="3159"/>
      <c r="AU7" s="3159"/>
      <c r="AV7" s="3159"/>
      <c r="AW7" s="3159"/>
      <c r="AX7" s="3159"/>
      <c r="AY7" s="3159"/>
      <c r="AZ7" s="3159"/>
      <c r="BA7" s="3159"/>
      <c r="BB7" s="3159"/>
      <c r="BC7" s="3159"/>
      <c r="BD7" s="3159"/>
      <c r="BE7" s="3159"/>
      <c r="BF7" s="3159"/>
      <c r="BG7" s="3159"/>
      <c r="BH7" s="3159"/>
      <c r="BI7" s="3159"/>
      <c r="BJ7" s="3159"/>
      <c r="BK7" s="3159"/>
      <c r="BL7" s="3159"/>
      <c r="BM7" s="3159"/>
      <c r="BN7" s="3159"/>
      <c r="BO7" s="3159"/>
      <c r="BP7" s="3159"/>
      <c r="BQ7" s="3159"/>
      <c r="BR7" s="3159"/>
      <c r="BS7" s="3159"/>
      <c r="BT7" s="3159"/>
      <c r="BU7" s="3159"/>
      <c r="BV7" s="3159"/>
      <c r="BW7" s="3159"/>
      <c r="BX7" s="3159"/>
      <c r="BY7" s="3159"/>
      <c r="BZ7" s="3159"/>
      <c r="CA7" s="3159"/>
      <c r="CB7" s="3159"/>
      <c r="CC7" s="3159"/>
      <c r="CD7" s="3159"/>
      <c r="CE7" s="3159"/>
      <c r="CF7" s="3159"/>
      <c r="CG7" s="3159"/>
      <c r="CH7" s="3159"/>
      <c r="CI7" s="3159"/>
      <c r="CJ7" s="3159"/>
      <c r="CK7" s="3159"/>
      <c r="CL7" s="3159"/>
      <c r="CM7" s="3159"/>
      <c r="CN7" s="3159"/>
      <c r="CO7" s="3159"/>
      <c r="CP7" s="3159"/>
      <c r="CQ7" s="3159"/>
      <c r="CR7" s="3159"/>
      <c r="CS7" s="3159"/>
      <c r="CT7" s="3159"/>
      <c r="CU7" s="3159"/>
      <c r="CV7" s="3159"/>
      <c r="CW7" s="3159"/>
      <c r="CX7" s="3159"/>
      <c r="CY7" s="3159"/>
      <c r="CZ7" s="3159"/>
      <c r="DA7" s="3159"/>
      <c r="DB7" s="3159"/>
      <c r="DC7" s="3159"/>
      <c r="DD7" s="3159"/>
      <c r="DE7" s="3159"/>
      <c r="DF7" s="3159"/>
      <c r="DG7" s="3159"/>
      <c r="DH7" s="3159"/>
      <c r="DI7" s="3159"/>
      <c r="DJ7" s="3159"/>
      <c r="DK7" s="3159"/>
      <c r="DL7" s="3159"/>
      <c r="DM7" s="3159"/>
      <c r="DN7" s="3159"/>
      <c r="DO7" s="3159"/>
      <c r="DP7" s="3159"/>
      <c r="DQ7" s="3159"/>
      <c r="DR7" s="3159"/>
      <c r="DS7" s="3159"/>
      <c r="DT7" s="3159"/>
      <c r="DU7" s="3159"/>
      <c r="DV7" s="3159"/>
      <c r="DW7" s="3159"/>
      <c r="DX7" s="3159"/>
      <c r="DY7" s="3159"/>
      <c r="DZ7" s="3159"/>
      <c r="EA7" s="3159"/>
      <c r="EB7" s="3159"/>
      <c r="EC7" s="3159"/>
      <c r="ED7" s="3159"/>
      <c r="EE7" s="3159"/>
      <c r="EF7" s="3159"/>
      <c r="EG7" s="3159"/>
      <c r="EH7" s="3159"/>
      <c r="EI7" s="3159"/>
      <c r="EJ7" s="3159"/>
      <c r="EK7" s="3159"/>
      <c r="EL7" s="3159"/>
      <c r="EM7" s="3159"/>
      <c r="EN7" s="3159"/>
      <c r="EO7" s="3159"/>
      <c r="EP7" s="3159"/>
      <c r="EQ7" s="3159"/>
      <c r="ER7" s="3159"/>
      <c r="ES7" s="3159"/>
      <c r="ET7" s="3159"/>
      <c r="EU7" s="3159"/>
      <c r="EV7" s="3159"/>
      <c r="EW7" s="3159"/>
      <c r="EX7" s="3159"/>
      <c r="EY7" s="3159"/>
      <c r="EZ7" s="3159"/>
      <c r="FA7" s="3159"/>
      <c r="FB7" s="3159"/>
      <c r="FC7" s="3159"/>
      <c r="FD7" s="3159"/>
      <c r="FE7" s="3159"/>
      <c r="FF7" s="3159"/>
      <c r="FG7" s="3159"/>
      <c r="FH7" s="3159"/>
      <c r="FI7" s="3159"/>
      <c r="FJ7" s="3159"/>
      <c r="FK7" s="3159"/>
      <c r="FL7" s="3159"/>
      <c r="FM7" s="3159"/>
      <c r="FN7" s="3159"/>
      <c r="FO7" s="3159"/>
      <c r="FP7" s="3159"/>
      <c r="FQ7" s="3159"/>
      <c r="FR7" s="3159"/>
      <c r="FS7" s="3159"/>
      <c r="FT7" s="3159"/>
      <c r="FU7" s="3159"/>
      <c r="FV7" s="3159"/>
      <c r="FW7" s="3159"/>
      <c r="FX7" s="3159"/>
      <c r="FY7" s="3159"/>
      <c r="FZ7" s="3159"/>
      <c r="GA7" s="3159"/>
      <c r="GB7" s="3159"/>
      <c r="GC7" s="3159"/>
      <c r="GD7" s="3159"/>
      <c r="GE7" s="3159"/>
      <c r="GF7" s="3159"/>
      <c r="GG7" s="3159"/>
      <c r="GH7" s="3159"/>
      <c r="GI7" s="3159"/>
      <c r="GJ7" s="3159"/>
      <c r="GK7" s="3159"/>
      <c r="GL7" s="3159"/>
      <c r="GM7" s="3159"/>
      <c r="GN7" s="3159"/>
      <c r="GO7" s="3159"/>
      <c r="GP7" s="3159"/>
      <c r="GQ7" s="3159"/>
      <c r="GR7" s="3159"/>
      <c r="GS7" s="3159"/>
      <c r="GT7" s="3159"/>
      <c r="GU7" s="3159"/>
      <c r="GV7" s="3159"/>
      <c r="GW7" s="3159"/>
      <c r="GX7" s="3159"/>
      <c r="GY7" s="3159"/>
      <c r="GZ7" s="3159"/>
      <c r="HA7" s="3159"/>
      <c r="HB7" s="3159"/>
      <c r="HC7" s="3159"/>
      <c r="HD7" s="3159"/>
      <c r="HE7" s="3159"/>
      <c r="HF7" s="3159"/>
      <c r="HG7" s="3159"/>
      <c r="HH7" s="3159"/>
      <c r="HI7" s="3159"/>
      <c r="HJ7" s="3159"/>
      <c r="HK7" s="3159"/>
      <c r="HL7" s="3159"/>
      <c r="HM7" s="3159"/>
      <c r="HN7" s="3159"/>
      <c r="HO7" s="3159"/>
      <c r="HP7" s="3159"/>
      <c r="HQ7" s="3159"/>
      <c r="HR7" s="3159"/>
      <c r="HS7" s="3159"/>
      <c r="HT7" s="3159"/>
      <c r="HU7" s="3159"/>
      <c r="HV7" s="3159"/>
      <c r="HW7" s="3159"/>
      <c r="HX7" s="3159"/>
      <c r="HY7" s="3159"/>
      <c r="HZ7" s="1902"/>
      <c r="IA7" s="1902"/>
      <c r="IB7" s="1902"/>
      <c r="IC7" s="1902"/>
      <c r="ID7" s="1902"/>
      <c r="IE7" s="1902"/>
      <c r="IF7" s="1902"/>
      <c r="IG7" s="1902"/>
      <c r="IH7" s="1902"/>
      <c r="II7" s="1902"/>
      <c r="IJ7" s="1902"/>
      <c r="IK7" s="1902"/>
      <c r="IL7" s="1902"/>
      <c r="IM7" s="1902"/>
      <c r="IN7" s="1902"/>
      <c r="IO7" s="1902"/>
      <c r="IP7" s="1902"/>
      <c r="IQ7" s="1902"/>
      <c r="IR7" s="1902"/>
      <c r="IS7" s="1902"/>
      <c r="IT7" s="1902"/>
      <c r="IU7" s="1902"/>
      <c r="IV7" s="1902"/>
      <c r="IW7" s="1902"/>
      <c r="IX7" s="1902"/>
      <c r="IY7" s="1902"/>
      <c r="IZ7" s="1902"/>
      <c r="JA7" s="1902"/>
      <c r="JB7" s="1902"/>
      <c r="JC7" s="1902"/>
      <c r="JD7" s="1902"/>
      <c r="JE7" s="1902"/>
      <c r="JF7" s="1902"/>
      <c r="JG7" s="1902"/>
      <c r="JH7" s="1902"/>
      <c r="JI7" s="1902"/>
      <c r="JJ7" s="1902"/>
      <c r="JK7" s="1902"/>
      <c r="JL7" s="1902"/>
      <c r="JM7" s="1902"/>
      <c r="JN7" s="1902"/>
      <c r="JO7" s="1902"/>
      <c r="JP7" s="1902"/>
      <c r="JQ7" s="1902"/>
      <c r="JR7" s="1902"/>
      <c r="JS7" s="1902"/>
      <c r="JT7" s="1902"/>
      <c r="JU7" s="1902"/>
      <c r="JV7" s="1902"/>
      <c r="JW7" s="1902"/>
      <c r="JX7" s="1902"/>
      <c r="JY7" s="1902"/>
      <c r="JZ7" s="1902"/>
      <c r="KA7" s="1902"/>
      <c r="KB7" s="1902"/>
      <c r="KC7" s="1902"/>
      <c r="KD7" s="1902"/>
      <c r="KE7" s="1902"/>
      <c r="KF7" s="1902"/>
      <c r="KG7" s="1902"/>
      <c r="KH7" s="1902"/>
      <c r="KI7" s="1902"/>
      <c r="KJ7" s="1902"/>
      <c r="KK7" s="1902"/>
      <c r="KL7" s="1902"/>
      <c r="KM7" s="1505"/>
      <c r="KN7" s="1505"/>
      <c r="KO7" s="1505"/>
      <c r="KP7" s="1505"/>
      <c r="KQ7" s="1505"/>
      <c r="KR7" s="1505"/>
      <c r="KS7" s="1505"/>
      <c r="KT7" s="1505"/>
      <c r="KU7" s="1505"/>
      <c r="KV7" s="1505"/>
      <c r="KW7" s="1505"/>
      <c r="KX7" s="1505"/>
      <c r="KY7" s="1505"/>
      <c r="KZ7" s="1505"/>
      <c r="LA7" s="1505"/>
      <c r="LB7" s="1505"/>
      <c r="LC7" s="1505"/>
      <c r="LD7" s="1505"/>
      <c r="LE7" s="1505"/>
      <c r="LF7" s="1505"/>
      <c r="LG7" s="3159"/>
      <c r="LH7" s="3159"/>
      <c r="LI7" s="3159"/>
      <c r="LJ7" s="3159"/>
      <c r="LK7" s="3159"/>
      <c r="LL7" s="3159"/>
      <c r="LM7" s="3159"/>
      <c r="LN7" s="3159"/>
      <c r="LO7" s="3159"/>
      <c r="LP7" s="3159"/>
      <c r="LQ7" s="3159"/>
      <c r="LR7" s="3159"/>
      <c r="LS7" s="3159"/>
      <c r="LT7" s="3159"/>
      <c r="LU7" s="3159"/>
      <c r="LV7" s="3159"/>
      <c r="LW7" s="3159"/>
      <c r="LX7" s="3159"/>
      <c r="LY7" s="3159"/>
      <c r="LZ7" s="3159"/>
      <c r="MA7" s="3159"/>
      <c r="MB7" s="3159"/>
      <c r="MC7" s="3159"/>
      <c r="MD7" s="3159"/>
      <c r="ME7" s="3159"/>
      <c r="MF7" s="3159"/>
      <c r="MG7" s="3159"/>
      <c r="MH7" s="3159"/>
      <c r="MI7" s="3159"/>
      <c r="MJ7" s="3159"/>
      <c r="MK7" s="3178"/>
      <c r="ML7" s="3178"/>
      <c r="MM7" s="3178"/>
      <c r="MN7" s="3178"/>
      <c r="MO7" s="3178"/>
      <c r="MP7" s="3159"/>
      <c r="MQ7" s="3159"/>
      <c r="MR7" s="3159"/>
      <c r="MS7" s="3159"/>
      <c r="MT7" s="3159"/>
      <c r="MU7" s="72"/>
      <c r="MV7" s="72"/>
      <c r="MW7" s="72"/>
      <c r="MX7" s="72"/>
      <c r="MY7" s="72"/>
      <c r="MZ7" s="72"/>
      <c r="NA7" s="72"/>
      <c r="NB7" s="72"/>
      <c r="NC7" s="72"/>
      <c r="ND7" s="72"/>
      <c r="NE7" s="72"/>
      <c r="NF7" s="72"/>
      <c r="NG7" s="72"/>
      <c r="NH7" s="72"/>
      <c r="NI7" s="72"/>
      <c r="NJ7" s="72"/>
      <c r="NK7" s="72"/>
      <c r="NL7" s="72"/>
      <c r="NM7" s="72"/>
      <c r="NN7" s="72"/>
      <c r="NO7" s="359"/>
      <c r="NP7" s="1722"/>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179"/>
      <c r="B8" s="831" t="s">
        <v>3767</v>
      </c>
      <c r="C8" s="1"/>
      <c r="E8" s="1"/>
      <c r="F8" s="1"/>
      <c r="I8" s="3184"/>
      <c r="J8" s="686" t="s">
        <v>743</v>
      </c>
      <c r="K8" s="686" t="s">
        <v>3187</v>
      </c>
      <c r="L8" s="667"/>
      <c r="M8" s="667"/>
      <c r="N8" s="1718" t="s">
        <v>6487</v>
      </c>
      <c r="O8" s="3186" t="s">
        <v>6932</v>
      </c>
      <c r="P8" s="3187"/>
      <c r="Q8" s="3160"/>
      <c r="R8" s="668"/>
      <c r="S8" s="670" t="s">
        <v>2456</v>
      </c>
      <c r="T8" s="337"/>
      <c r="W8" s="338"/>
      <c r="X8" s="3159"/>
      <c r="Y8" s="3159"/>
      <c r="Z8" s="3159"/>
      <c r="AA8" s="3159"/>
      <c r="AB8" s="3159"/>
      <c r="AC8" s="3159"/>
      <c r="AD8" s="3159"/>
      <c r="AE8" s="3159"/>
      <c r="AF8" s="3159"/>
      <c r="AG8" s="3159"/>
      <c r="AH8" s="3159"/>
      <c r="AI8" s="3159"/>
      <c r="AJ8" s="3159"/>
      <c r="AK8" s="3159"/>
      <c r="AL8" s="3159"/>
      <c r="AM8" s="3159"/>
      <c r="AN8" s="3159"/>
      <c r="AO8" s="3159"/>
      <c r="AP8" s="3159"/>
      <c r="AQ8" s="3159"/>
      <c r="AR8" s="3159"/>
      <c r="AS8" s="3159"/>
      <c r="AT8" s="3159"/>
      <c r="AU8" s="3159"/>
      <c r="AV8" s="3159"/>
      <c r="AW8" s="3159"/>
      <c r="AX8" s="3159"/>
      <c r="AY8" s="3159"/>
      <c r="AZ8" s="3159"/>
      <c r="BA8" s="3159"/>
      <c r="BB8" s="3159"/>
      <c r="BC8" s="3159"/>
      <c r="BD8" s="3159"/>
      <c r="BE8" s="3159"/>
      <c r="BF8" s="3159"/>
      <c r="BG8" s="3159"/>
      <c r="BH8" s="3159"/>
      <c r="BI8" s="3159"/>
      <c r="BJ8" s="3159"/>
      <c r="BK8" s="3159"/>
      <c r="BL8" s="3159"/>
      <c r="BM8" s="3159"/>
      <c r="BN8" s="3159"/>
      <c r="BO8" s="3159"/>
      <c r="BP8" s="3159"/>
      <c r="BQ8" s="3159"/>
      <c r="BR8" s="3159"/>
      <c r="BS8" s="3159"/>
      <c r="BT8" s="3159"/>
      <c r="BU8" s="3159"/>
      <c r="BV8" s="3159"/>
      <c r="BW8" s="3159"/>
      <c r="BX8" s="3159"/>
      <c r="BY8" s="3159"/>
      <c r="BZ8" s="3159"/>
      <c r="CA8" s="3159"/>
      <c r="CB8" s="3159"/>
      <c r="CC8" s="3159"/>
      <c r="CD8" s="3159"/>
      <c r="CE8" s="3159"/>
      <c r="CF8" s="3159"/>
      <c r="CG8" s="3159"/>
      <c r="CH8" s="3159"/>
      <c r="CI8" s="3159"/>
      <c r="CJ8" s="3159"/>
      <c r="CK8" s="3159"/>
      <c r="CL8" s="3159"/>
      <c r="CM8" s="3159"/>
      <c r="CN8" s="3159"/>
      <c r="CO8" s="3159"/>
      <c r="CP8" s="3159"/>
      <c r="CQ8" s="3159"/>
      <c r="CR8" s="3159"/>
      <c r="CS8" s="3159"/>
      <c r="CT8" s="3159"/>
      <c r="CU8" s="3159"/>
      <c r="CV8" s="3159"/>
      <c r="CW8" s="3159"/>
      <c r="CX8" s="3159"/>
      <c r="CY8" s="3159"/>
      <c r="CZ8" s="3159"/>
      <c r="DA8" s="3159"/>
      <c r="DB8" s="3159"/>
      <c r="DC8" s="3159"/>
      <c r="DD8" s="3159"/>
      <c r="DE8" s="3159"/>
      <c r="DF8" s="3159"/>
      <c r="DG8" s="3159"/>
      <c r="DH8" s="3159"/>
      <c r="DI8" s="3159"/>
      <c r="DJ8" s="3159"/>
      <c r="DK8" s="3159"/>
      <c r="DL8" s="3159"/>
      <c r="DM8" s="3159"/>
      <c r="DN8" s="3159"/>
      <c r="DO8" s="3159"/>
      <c r="DP8" s="3159"/>
      <c r="DQ8" s="3159"/>
      <c r="DR8" s="3159"/>
      <c r="DS8" s="3159"/>
      <c r="DT8" s="3159"/>
      <c r="DU8" s="3159"/>
      <c r="DV8" s="3159"/>
      <c r="DW8" s="3159"/>
      <c r="DX8" s="3159"/>
      <c r="DY8" s="3159"/>
      <c r="DZ8" s="3159"/>
      <c r="EA8" s="3159"/>
      <c r="EB8" s="3159"/>
      <c r="EC8" s="3159"/>
      <c r="ED8" s="3159"/>
      <c r="EE8" s="3159"/>
      <c r="EF8" s="3159"/>
      <c r="EG8" s="3159"/>
      <c r="EH8" s="3159"/>
      <c r="EI8" s="3159"/>
      <c r="EJ8" s="3159"/>
      <c r="EK8" s="3159"/>
      <c r="EL8" s="3159"/>
      <c r="EM8" s="3159"/>
      <c r="EN8" s="3159"/>
      <c r="EO8" s="3159"/>
      <c r="EP8" s="3159"/>
      <c r="EQ8" s="3159"/>
      <c r="ER8" s="3159"/>
      <c r="ES8" s="3159"/>
      <c r="ET8" s="3159"/>
      <c r="EU8" s="3159"/>
      <c r="EV8" s="3159"/>
      <c r="EW8" s="3159"/>
      <c r="EX8" s="3159"/>
      <c r="EY8" s="3159"/>
      <c r="EZ8" s="3159"/>
      <c r="FA8" s="3159"/>
      <c r="FB8" s="3159"/>
      <c r="FC8" s="3159"/>
      <c r="FD8" s="3159"/>
      <c r="FE8" s="3159"/>
      <c r="FF8" s="3159"/>
      <c r="FG8" s="3159"/>
      <c r="FH8" s="3159"/>
      <c r="FI8" s="3159"/>
      <c r="FJ8" s="3159"/>
      <c r="FK8" s="3159"/>
      <c r="FL8" s="3159"/>
      <c r="FM8" s="3159"/>
      <c r="FN8" s="3159"/>
      <c r="FO8" s="3159"/>
      <c r="FP8" s="3159"/>
      <c r="FQ8" s="3159"/>
      <c r="FR8" s="3159"/>
      <c r="FS8" s="3159"/>
      <c r="FT8" s="3159"/>
      <c r="FU8" s="3159"/>
      <c r="FV8" s="3159"/>
      <c r="FW8" s="3159"/>
      <c r="FX8" s="3159"/>
      <c r="FY8" s="3159"/>
      <c r="FZ8" s="3159"/>
      <c r="GA8" s="3159"/>
      <c r="GB8" s="3159"/>
      <c r="GC8" s="3159"/>
      <c r="GD8" s="3159"/>
      <c r="GE8" s="3159"/>
      <c r="GF8" s="3159"/>
      <c r="GG8" s="3159"/>
      <c r="GH8" s="3159"/>
      <c r="GI8" s="3159"/>
      <c r="GJ8" s="3159"/>
      <c r="GK8" s="3159"/>
      <c r="GL8" s="3159"/>
      <c r="GM8" s="3159"/>
      <c r="GN8" s="3159"/>
      <c r="GO8" s="3159"/>
      <c r="GP8" s="3159"/>
      <c r="GQ8" s="3159"/>
      <c r="GR8" s="3159"/>
      <c r="GS8" s="3159"/>
      <c r="GT8" s="3159"/>
      <c r="GU8" s="3159"/>
      <c r="GV8" s="3159"/>
      <c r="GW8" s="3159"/>
      <c r="GX8" s="3159"/>
      <c r="GY8" s="3159"/>
      <c r="GZ8" s="3159"/>
      <c r="HA8" s="3159"/>
      <c r="HB8" s="3159"/>
      <c r="HC8" s="3159"/>
      <c r="HD8" s="3159"/>
      <c r="HE8" s="3159"/>
      <c r="HF8" s="3159"/>
      <c r="HG8" s="3159"/>
      <c r="HH8" s="3159"/>
      <c r="HI8" s="3159"/>
      <c r="HJ8" s="3159"/>
      <c r="HK8" s="3159"/>
      <c r="HL8" s="3159"/>
      <c r="HM8" s="3159"/>
      <c r="HN8" s="3159"/>
      <c r="HO8" s="3159"/>
      <c r="HP8" s="3159"/>
      <c r="HQ8" s="3159"/>
      <c r="HR8" s="3159"/>
      <c r="HS8" s="3159"/>
      <c r="HT8" s="3159"/>
      <c r="HU8" s="3159"/>
      <c r="HV8" s="3159"/>
      <c r="HW8" s="3159"/>
      <c r="HX8" s="3159"/>
      <c r="HY8" s="3159"/>
      <c r="HZ8" s="1902"/>
      <c r="IA8" s="1902"/>
      <c r="IB8" s="1902"/>
      <c r="IC8" s="1902"/>
      <c r="ID8" s="1902"/>
      <c r="IE8" s="1902"/>
      <c r="IF8" s="1902"/>
      <c r="IG8" s="1902"/>
      <c r="IH8" s="1902"/>
      <c r="II8" s="1902"/>
      <c r="IJ8" s="1902"/>
      <c r="IK8" s="1902"/>
      <c r="IL8" s="1902"/>
      <c r="IM8" s="1902"/>
      <c r="IN8" s="1902"/>
      <c r="IO8" s="1902"/>
      <c r="IP8" s="1902"/>
      <c r="IQ8" s="1902"/>
      <c r="IR8" s="1902"/>
      <c r="IS8" s="1902"/>
      <c r="IT8" s="1902"/>
      <c r="IU8" s="1902"/>
      <c r="IV8" s="1902"/>
      <c r="IW8" s="1902"/>
      <c r="IX8" s="1902"/>
      <c r="IY8" s="1883" t="s">
        <v>526</v>
      </c>
      <c r="IZ8" s="1883" t="s">
        <v>2246</v>
      </c>
      <c r="JA8" s="1883" t="s">
        <v>2247</v>
      </c>
      <c r="JB8" s="1883" t="s">
        <v>2248</v>
      </c>
      <c r="JC8" s="1883" t="s">
        <v>2249</v>
      </c>
      <c r="JD8" s="1883" t="s">
        <v>526</v>
      </c>
      <c r="JE8" s="1883" t="s">
        <v>2246</v>
      </c>
      <c r="JF8" s="1883" t="s">
        <v>2247</v>
      </c>
      <c r="JG8" s="1883" t="s">
        <v>2248</v>
      </c>
      <c r="JH8" s="1883" t="s">
        <v>2249</v>
      </c>
      <c r="JI8" s="1883" t="s">
        <v>526</v>
      </c>
      <c r="JJ8" s="1883" t="s">
        <v>2246</v>
      </c>
      <c r="JK8" s="1883" t="s">
        <v>2247</v>
      </c>
      <c r="JL8" s="1883" t="s">
        <v>2248</v>
      </c>
      <c r="JM8" s="1883" t="s">
        <v>2249</v>
      </c>
      <c r="JN8" s="1883" t="s">
        <v>526</v>
      </c>
      <c r="JO8" s="1883" t="s">
        <v>2246</v>
      </c>
      <c r="JP8" s="1883" t="s">
        <v>2247</v>
      </c>
      <c r="JQ8" s="1883" t="s">
        <v>2248</v>
      </c>
      <c r="JR8" s="1883" t="s">
        <v>2249</v>
      </c>
      <c r="JS8" s="1883" t="s">
        <v>526</v>
      </c>
      <c r="JT8" s="1883" t="s">
        <v>2246</v>
      </c>
      <c r="JU8" s="1883" t="s">
        <v>2247</v>
      </c>
      <c r="JV8" s="1883" t="s">
        <v>2248</v>
      </c>
      <c r="JW8" s="1883" t="s">
        <v>2249</v>
      </c>
      <c r="JX8" s="1883" t="s">
        <v>526</v>
      </c>
      <c r="JY8" s="1883" t="s">
        <v>2246</v>
      </c>
      <c r="JZ8" s="1883" t="s">
        <v>2247</v>
      </c>
      <c r="KA8" s="1883" t="s">
        <v>2248</v>
      </c>
      <c r="KB8" s="1883" t="s">
        <v>2249</v>
      </c>
      <c r="KC8" s="1883" t="s">
        <v>526</v>
      </c>
      <c r="KD8" s="1883" t="s">
        <v>2246</v>
      </c>
      <c r="KE8" s="1883" t="s">
        <v>2247</v>
      </c>
      <c r="KF8" s="1883" t="s">
        <v>2248</v>
      </c>
      <c r="KG8" s="1883" t="s">
        <v>2249</v>
      </c>
      <c r="KH8" s="1883" t="s">
        <v>526</v>
      </c>
      <c r="KI8" s="1883" t="s">
        <v>2246</v>
      </c>
      <c r="KJ8" s="1883" t="s">
        <v>2247</v>
      </c>
      <c r="KK8" s="1883" t="s">
        <v>2248</v>
      </c>
      <c r="KL8" s="1883" t="s">
        <v>2249</v>
      </c>
      <c r="KM8" s="1883" t="s">
        <v>526</v>
      </c>
      <c r="KN8" s="1883" t="s">
        <v>2246</v>
      </c>
      <c r="KO8" s="1883" t="s">
        <v>2247</v>
      </c>
      <c r="KP8" s="1883" t="s">
        <v>2248</v>
      </c>
      <c r="KQ8" s="1883" t="s">
        <v>2249</v>
      </c>
      <c r="KR8" s="1883" t="s">
        <v>526</v>
      </c>
      <c r="KS8" s="1883" t="s">
        <v>2246</v>
      </c>
      <c r="KT8" s="1883" t="s">
        <v>2247</v>
      </c>
      <c r="KU8" s="1883" t="s">
        <v>2248</v>
      </c>
      <c r="KV8" s="1883" t="s">
        <v>2249</v>
      </c>
      <c r="KW8" s="1883" t="s">
        <v>526</v>
      </c>
      <c r="KX8" s="1883" t="s">
        <v>2246</v>
      </c>
      <c r="KY8" s="1883" t="s">
        <v>2247</v>
      </c>
      <c r="KZ8" s="1883" t="s">
        <v>2248</v>
      </c>
      <c r="LA8" s="1883" t="s">
        <v>2249</v>
      </c>
      <c r="LB8" s="1883" t="s">
        <v>526</v>
      </c>
      <c r="LC8" s="1883" t="s">
        <v>2246</v>
      </c>
      <c r="LD8" s="1883" t="s">
        <v>2247</v>
      </c>
      <c r="LE8" s="1883" t="s">
        <v>2248</v>
      </c>
      <c r="LF8" s="1883" t="s">
        <v>2249</v>
      </c>
      <c r="LG8" s="3159"/>
      <c r="LH8" s="3159"/>
      <c r="LI8" s="3159"/>
      <c r="LJ8" s="3159"/>
      <c r="LK8" s="3159"/>
      <c r="LL8" s="3159"/>
      <c r="LM8" s="3159"/>
      <c r="LN8" s="3159"/>
      <c r="LO8" s="3159"/>
      <c r="LP8" s="3159"/>
      <c r="LQ8" s="3159"/>
      <c r="LR8" s="3159"/>
      <c r="LS8" s="3159"/>
      <c r="LT8" s="3159"/>
      <c r="LU8" s="3159"/>
      <c r="LV8" s="3159"/>
      <c r="LW8" s="3159"/>
      <c r="LX8" s="3159"/>
      <c r="LY8" s="3159"/>
      <c r="LZ8" s="3159"/>
      <c r="MA8" s="3159"/>
      <c r="MB8" s="3159"/>
      <c r="MC8" s="3159"/>
      <c r="MD8" s="3159"/>
      <c r="ME8" s="3159"/>
      <c r="MF8" s="3159"/>
      <c r="MG8" s="3159"/>
      <c r="MH8" s="3159"/>
      <c r="MI8" s="3159"/>
      <c r="MJ8" s="3159"/>
      <c r="MK8" s="3178"/>
      <c r="ML8" s="3178"/>
      <c r="MM8" s="3178"/>
      <c r="MN8" s="3178"/>
      <c r="MO8" s="3178"/>
      <c r="MP8" s="3159"/>
      <c r="MQ8" s="3159"/>
      <c r="MR8" s="3159"/>
      <c r="MS8" s="3159"/>
      <c r="MT8" s="3159"/>
      <c r="MU8" s="72"/>
      <c r="MV8" s="72"/>
      <c r="MW8" s="72"/>
      <c r="MX8" s="72"/>
      <c r="MY8" s="72"/>
      <c r="MZ8" s="72"/>
      <c r="NA8" s="72"/>
      <c r="NB8" s="72"/>
      <c r="NC8" s="72"/>
      <c r="ND8" s="72"/>
      <c r="NE8" s="72"/>
      <c r="NF8" s="72"/>
      <c r="NG8" s="72"/>
      <c r="NH8" s="72"/>
      <c r="NI8" s="72"/>
      <c r="NJ8" s="72"/>
      <c r="NK8" s="72"/>
      <c r="NL8" s="72"/>
      <c r="NM8" s="72"/>
      <c r="NN8" s="72"/>
      <c r="NO8" s="359"/>
      <c r="NP8" s="1722"/>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179"/>
      <c r="B9" s="1111" t="s">
        <v>3768</v>
      </c>
      <c r="C9" s="686" t="s">
        <v>165</v>
      </c>
      <c r="D9" s="686" t="s">
        <v>510</v>
      </c>
      <c r="E9" s="686" t="s">
        <v>1383</v>
      </c>
      <c r="F9" s="686" t="s">
        <v>1383</v>
      </c>
      <c r="G9" s="3184" t="s">
        <v>6097</v>
      </c>
      <c r="H9" s="830" t="s">
        <v>3306</v>
      </c>
      <c r="I9" s="3184"/>
      <c r="J9" s="3180" t="s">
        <v>6091</v>
      </c>
      <c r="K9" s="686" t="s">
        <v>2218</v>
      </c>
      <c r="L9" s="3176" t="s">
        <v>139</v>
      </c>
      <c r="M9" s="3177"/>
      <c r="N9" s="686" t="s">
        <v>2185</v>
      </c>
      <c r="O9" s="686" t="s">
        <v>6490</v>
      </c>
      <c r="P9" s="3182" t="s">
        <v>6253</v>
      </c>
      <c r="Q9" s="3160"/>
      <c r="R9" s="686" t="s">
        <v>2455</v>
      </c>
      <c r="S9" s="686" t="s">
        <v>2457</v>
      </c>
      <c r="T9" s="339"/>
      <c r="W9" s="340"/>
      <c r="X9" s="3159"/>
      <c r="Y9" s="3159"/>
      <c r="Z9" s="3159"/>
      <c r="AA9" s="3159"/>
      <c r="AB9" s="3159"/>
      <c r="AC9" s="3159"/>
      <c r="AD9" s="3159"/>
      <c r="AE9" s="3159"/>
      <c r="AF9" s="3159"/>
      <c r="AG9" s="3159"/>
      <c r="AH9" s="3159"/>
      <c r="AI9" s="3159"/>
      <c r="AJ9" s="3159"/>
      <c r="AK9" s="3159"/>
      <c r="AL9" s="3159"/>
      <c r="AM9" s="3159"/>
      <c r="AN9" s="3159"/>
      <c r="AO9" s="3159"/>
      <c r="AP9" s="3159"/>
      <c r="AQ9" s="3159"/>
      <c r="AR9" s="3159"/>
      <c r="AS9" s="3159"/>
      <c r="AT9" s="3159"/>
      <c r="AU9" s="3159"/>
      <c r="AV9" s="3159"/>
      <c r="AW9" s="3159"/>
      <c r="AX9" s="3159"/>
      <c r="AY9" s="3159"/>
      <c r="AZ9" s="3159"/>
      <c r="BA9" s="3159"/>
      <c r="BB9" s="3159"/>
      <c r="BC9" s="3159"/>
      <c r="BD9" s="3159"/>
      <c r="BE9" s="3159"/>
      <c r="BF9" s="3159"/>
      <c r="BG9" s="3159"/>
      <c r="BH9" s="3159"/>
      <c r="BI9" s="3159"/>
      <c r="BJ9" s="3159"/>
      <c r="BK9" s="3159"/>
      <c r="BL9" s="3159"/>
      <c r="BM9" s="3159"/>
      <c r="BN9" s="3159"/>
      <c r="BO9" s="3159"/>
      <c r="BP9" s="3159"/>
      <c r="BQ9" s="3159"/>
      <c r="BR9" s="3159"/>
      <c r="BS9" s="3159"/>
      <c r="BT9" s="3159"/>
      <c r="BU9" s="3159"/>
      <c r="BV9" s="3159"/>
      <c r="BW9" s="3159"/>
      <c r="BX9" s="3159"/>
      <c r="BY9" s="3159"/>
      <c r="BZ9" s="3159"/>
      <c r="CA9" s="3159"/>
      <c r="CB9" s="3159"/>
      <c r="CC9" s="3159"/>
      <c r="CD9" s="3159"/>
      <c r="CE9" s="3159"/>
      <c r="CF9" s="3159"/>
      <c r="CG9" s="3159"/>
      <c r="CH9" s="3159"/>
      <c r="CI9" s="3159"/>
      <c r="CJ9" s="3159"/>
      <c r="CK9" s="3159"/>
      <c r="CL9" s="3159"/>
      <c r="CM9" s="3159"/>
      <c r="CN9" s="3159"/>
      <c r="CO9" s="3159"/>
      <c r="CP9" s="3159"/>
      <c r="CQ9" s="3159"/>
      <c r="CR9" s="3159"/>
      <c r="CS9" s="3159"/>
      <c r="CT9" s="3159"/>
      <c r="CU9" s="3159"/>
      <c r="CV9" s="3159"/>
      <c r="CW9" s="3159"/>
      <c r="CX9" s="3159"/>
      <c r="CY9" s="3159"/>
      <c r="CZ9" s="3159"/>
      <c r="DA9" s="3159"/>
      <c r="DB9" s="3159"/>
      <c r="DC9" s="3159"/>
      <c r="DD9" s="3159"/>
      <c r="DE9" s="3159"/>
      <c r="DF9" s="3159"/>
      <c r="DG9" s="3159"/>
      <c r="DH9" s="3159"/>
      <c r="DI9" s="3159"/>
      <c r="DJ9" s="3159"/>
      <c r="DK9" s="3159"/>
      <c r="DL9" s="3159"/>
      <c r="DM9" s="3159"/>
      <c r="DN9" s="3159"/>
      <c r="DO9" s="3159"/>
      <c r="DP9" s="3159"/>
      <c r="DQ9" s="3159"/>
      <c r="DR9" s="3159"/>
      <c r="DS9" s="3159"/>
      <c r="DT9" s="3159"/>
      <c r="DU9" s="3159"/>
      <c r="DV9" s="3159"/>
      <c r="DW9" s="3159"/>
      <c r="DX9" s="3159"/>
      <c r="DY9" s="3159"/>
      <c r="DZ9" s="3159"/>
      <c r="EA9" s="3159"/>
      <c r="EB9" s="3159"/>
      <c r="EC9" s="3159"/>
      <c r="ED9" s="3159"/>
      <c r="EE9" s="3159"/>
      <c r="EF9" s="3159"/>
      <c r="EG9" s="3159"/>
      <c r="EH9" s="3159"/>
      <c r="EI9" s="3159"/>
      <c r="EJ9" s="3159"/>
      <c r="EK9" s="3159"/>
      <c r="EL9" s="3159"/>
      <c r="EM9" s="3159"/>
      <c r="EN9" s="3159"/>
      <c r="EO9" s="3159"/>
      <c r="EP9" s="3159"/>
      <c r="EQ9" s="3159"/>
      <c r="ER9" s="3159"/>
      <c r="ES9" s="3159"/>
      <c r="ET9" s="3159"/>
      <c r="EU9" s="3159"/>
      <c r="EV9" s="3159"/>
      <c r="EW9" s="3159"/>
      <c r="EX9" s="3159"/>
      <c r="EY9" s="3159"/>
      <c r="EZ9" s="3159"/>
      <c r="FA9" s="3159"/>
      <c r="FB9" s="3159"/>
      <c r="FC9" s="3159"/>
      <c r="FD9" s="3159"/>
      <c r="FE9" s="3159"/>
      <c r="FF9" s="3159"/>
      <c r="FG9" s="3159"/>
      <c r="FH9" s="3159"/>
      <c r="FI9" s="3159"/>
      <c r="FJ9" s="3159"/>
      <c r="FK9" s="3159"/>
      <c r="FL9" s="3159"/>
      <c r="FM9" s="3159"/>
      <c r="FN9" s="3159"/>
      <c r="FO9" s="3159"/>
      <c r="FP9" s="3159"/>
      <c r="FQ9" s="3159"/>
      <c r="FR9" s="3159"/>
      <c r="FS9" s="3159"/>
      <c r="FT9" s="3159"/>
      <c r="FU9" s="3159"/>
      <c r="FV9" s="3159"/>
      <c r="FW9" s="3159"/>
      <c r="FX9" s="3159"/>
      <c r="FY9" s="3159"/>
      <c r="FZ9" s="3159"/>
      <c r="GA9" s="3159"/>
      <c r="GB9" s="3159"/>
      <c r="GC9" s="3159"/>
      <c r="GD9" s="3159"/>
      <c r="GE9" s="3159"/>
      <c r="GF9" s="3159"/>
      <c r="GG9" s="3159"/>
      <c r="GH9" s="3159"/>
      <c r="GI9" s="3159"/>
      <c r="GJ9" s="3159"/>
      <c r="GK9" s="3159"/>
      <c r="GL9" s="3159"/>
      <c r="GM9" s="3159"/>
      <c r="GN9" s="3159"/>
      <c r="GO9" s="3159"/>
      <c r="GP9" s="3159"/>
      <c r="GQ9" s="3159"/>
      <c r="GR9" s="3159"/>
      <c r="GS9" s="3159"/>
      <c r="GT9" s="3159"/>
      <c r="GU9" s="3159"/>
      <c r="GV9" s="3159"/>
      <c r="GW9" s="3159"/>
      <c r="GX9" s="3159"/>
      <c r="GY9" s="3159"/>
      <c r="GZ9" s="3159"/>
      <c r="HA9" s="3159"/>
      <c r="HB9" s="3159"/>
      <c r="HC9" s="3159"/>
      <c r="HD9" s="3159"/>
      <c r="HE9" s="3159"/>
      <c r="HF9" s="3159"/>
      <c r="HG9" s="3159"/>
      <c r="HH9" s="3159"/>
      <c r="HI9" s="3159"/>
      <c r="HJ9" s="3159"/>
      <c r="HK9" s="3159"/>
      <c r="HL9" s="3159"/>
      <c r="HM9" s="3159"/>
      <c r="HN9" s="3159"/>
      <c r="HO9" s="3159"/>
      <c r="HP9" s="3159"/>
      <c r="HQ9" s="3159"/>
      <c r="HR9" s="3159"/>
      <c r="HS9" s="3159"/>
      <c r="HT9" s="3159"/>
      <c r="HU9" s="3159"/>
      <c r="HV9" s="3159"/>
      <c r="HW9" s="3159"/>
      <c r="HX9" s="3159"/>
      <c r="HY9" s="3159"/>
      <c r="HZ9" s="3159" t="s">
        <v>1372</v>
      </c>
      <c r="IA9" s="1883" t="s">
        <v>2246</v>
      </c>
      <c r="IB9" s="1883" t="s">
        <v>2247</v>
      </c>
      <c r="IC9" s="1883" t="s">
        <v>2248</v>
      </c>
      <c r="ID9" s="1883" t="s">
        <v>2249</v>
      </c>
      <c r="IE9" s="3159" t="s">
        <v>2300</v>
      </c>
      <c r="IF9" s="3159" t="s">
        <v>2300</v>
      </c>
      <c r="IG9" s="3159" t="s">
        <v>2300</v>
      </c>
      <c r="IH9" s="3159" t="s">
        <v>2300</v>
      </c>
      <c r="II9" s="3159" t="s">
        <v>2300</v>
      </c>
      <c r="IJ9" s="3159" t="s">
        <v>3003</v>
      </c>
      <c r="IK9" s="3159" t="s">
        <v>3003</v>
      </c>
      <c r="IL9" s="3159" t="s">
        <v>3003</v>
      </c>
      <c r="IM9" s="3159" t="s">
        <v>3003</v>
      </c>
      <c r="IN9" s="3159" t="s">
        <v>3003</v>
      </c>
      <c r="IO9" s="1883" t="s">
        <v>526</v>
      </c>
      <c r="IP9" s="1883" t="s">
        <v>2246</v>
      </c>
      <c r="IQ9" s="1883" t="s">
        <v>2247</v>
      </c>
      <c r="IR9" s="1883" t="s">
        <v>2248</v>
      </c>
      <c r="IS9" s="1883" t="s">
        <v>2249</v>
      </c>
      <c r="IT9" s="1883" t="s">
        <v>526</v>
      </c>
      <c r="IU9" s="1883" t="s">
        <v>2246</v>
      </c>
      <c r="IV9" s="1883" t="s">
        <v>2247</v>
      </c>
      <c r="IW9" s="1883" t="s">
        <v>2248</v>
      </c>
      <c r="IX9" s="1883" t="s">
        <v>2249</v>
      </c>
      <c r="IY9" s="3159" t="s">
        <v>6294</v>
      </c>
      <c r="IZ9" s="3159" t="s">
        <v>6294</v>
      </c>
      <c r="JA9" s="3159" t="s">
        <v>6294</v>
      </c>
      <c r="JB9" s="3159" t="s">
        <v>6294</v>
      </c>
      <c r="JC9" s="3159" t="s">
        <v>6294</v>
      </c>
      <c r="JD9" s="3159" t="s">
        <v>6295</v>
      </c>
      <c r="JE9" s="3159" t="s">
        <v>6295</v>
      </c>
      <c r="JF9" s="3159" t="s">
        <v>6295</v>
      </c>
      <c r="JG9" s="3159" t="s">
        <v>6295</v>
      </c>
      <c r="JH9" s="3159" t="s">
        <v>6295</v>
      </c>
      <c r="JI9" s="3159" t="s">
        <v>6297</v>
      </c>
      <c r="JJ9" s="3159" t="s">
        <v>6297</v>
      </c>
      <c r="JK9" s="3159" t="s">
        <v>6297</v>
      </c>
      <c r="JL9" s="3159" t="s">
        <v>6297</v>
      </c>
      <c r="JM9" s="3159" t="s">
        <v>6297</v>
      </c>
      <c r="JN9" s="3159" t="s">
        <v>6298</v>
      </c>
      <c r="JO9" s="3159" t="s">
        <v>6298</v>
      </c>
      <c r="JP9" s="3159" t="s">
        <v>6298</v>
      </c>
      <c r="JQ9" s="3159" t="s">
        <v>6298</v>
      </c>
      <c r="JR9" s="3159" t="s">
        <v>6298</v>
      </c>
      <c r="JS9" s="3159" t="s">
        <v>6299</v>
      </c>
      <c r="JT9" s="3159" t="s">
        <v>6299</v>
      </c>
      <c r="JU9" s="3159" t="s">
        <v>6299</v>
      </c>
      <c r="JV9" s="3159" t="s">
        <v>6299</v>
      </c>
      <c r="JW9" s="3159" t="s">
        <v>6299</v>
      </c>
      <c r="JX9" s="3159" t="s">
        <v>6491</v>
      </c>
      <c r="JY9" s="3159" t="s">
        <v>6491</v>
      </c>
      <c r="JZ9" s="3159" t="s">
        <v>6491</v>
      </c>
      <c r="KA9" s="3159" t="s">
        <v>6491</v>
      </c>
      <c r="KB9" s="3159" t="s">
        <v>6491</v>
      </c>
      <c r="KC9" s="3159" t="s">
        <v>6660</v>
      </c>
      <c r="KD9" s="3159" t="s">
        <v>6660</v>
      </c>
      <c r="KE9" s="3159" t="s">
        <v>6660</v>
      </c>
      <c r="KF9" s="3159" t="s">
        <v>6660</v>
      </c>
      <c r="KG9" s="3159" t="s">
        <v>6660</v>
      </c>
      <c r="KH9" s="3159" t="s">
        <v>6661</v>
      </c>
      <c r="KI9" s="3159" t="s">
        <v>6661</v>
      </c>
      <c r="KJ9" s="3159" t="s">
        <v>6661</v>
      </c>
      <c r="KK9" s="3159" t="s">
        <v>6661</v>
      </c>
      <c r="KL9" s="3159" t="s">
        <v>6661</v>
      </c>
      <c r="KM9" s="3159" t="s">
        <v>6301</v>
      </c>
      <c r="KN9" s="3159" t="s">
        <v>6301</v>
      </c>
      <c r="KO9" s="3159" t="s">
        <v>6301</v>
      </c>
      <c r="KP9" s="3159" t="s">
        <v>6301</v>
      </c>
      <c r="KQ9" s="3159" t="s">
        <v>6301</v>
      </c>
      <c r="KR9" s="3159" t="s">
        <v>6492</v>
      </c>
      <c r="KS9" s="3159" t="s">
        <v>6492</v>
      </c>
      <c r="KT9" s="3159" t="s">
        <v>6492</v>
      </c>
      <c r="KU9" s="3159" t="s">
        <v>6492</v>
      </c>
      <c r="KV9" s="3159" t="s">
        <v>6492</v>
      </c>
      <c r="KW9" s="3159" t="s">
        <v>6662</v>
      </c>
      <c r="KX9" s="3159" t="s">
        <v>6662</v>
      </c>
      <c r="KY9" s="3159" t="s">
        <v>6662</v>
      </c>
      <c r="KZ9" s="3159" t="s">
        <v>6662</v>
      </c>
      <c r="LA9" s="3159" t="s">
        <v>6662</v>
      </c>
      <c r="LB9" s="3159" t="s">
        <v>6663</v>
      </c>
      <c r="LC9" s="3159" t="s">
        <v>6663</v>
      </c>
      <c r="LD9" s="3159" t="s">
        <v>6663</v>
      </c>
      <c r="LE9" s="3159" t="s">
        <v>6663</v>
      </c>
      <c r="LF9" s="3159" t="s">
        <v>6663</v>
      </c>
      <c r="LG9" s="3159"/>
      <c r="LH9" s="3159"/>
      <c r="LI9" s="3159"/>
      <c r="LJ9" s="3159"/>
      <c r="LK9" s="3159"/>
      <c r="LL9" s="3159"/>
      <c r="LM9" s="3159"/>
      <c r="LN9" s="3159"/>
      <c r="LO9" s="3159"/>
      <c r="LP9" s="3159"/>
      <c r="LQ9" s="3159"/>
      <c r="LR9" s="3159"/>
      <c r="LS9" s="3159"/>
      <c r="LT9" s="3159"/>
      <c r="LU9" s="3159"/>
      <c r="LV9" s="3159"/>
      <c r="LW9" s="3159"/>
      <c r="LX9" s="3159"/>
      <c r="LY9" s="3159"/>
      <c r="LZ9" s="3159"/>
      <c r="MA9" s="3159"/>
      <c r="MB9" s="3159"/>
      <c r="MC9" s="3159"/>
      <c r="MD9" s="3159"/>
      <c r="ME9" s="3159"/>
      <c r="MF9" s="3159"/>
      <c r="MG9" s="3159"/>
      <c r="MH9" s="3159"/>
      <c r="MI9" s="3159"/>
      <c r="MJ9" s="3159"/>
      <c r="MK9" s="3178"/>
      <c r="ML9" s="3178"/>
      <c r="MM9" s="3178"/>
      <c r="MN9" s="3178"/>
      <c r="MO9" s="3178"/>
      <c r="MP9" s="3159"/>
      <c r="MQ9" s="3159"/>
      <c r="MR9" s="3159"/>
      <c r="MS9" s="3159"/>
      <c r="MT9" s="3159"/>
      <c r="MU9" s="68"/>
      <c r="MV9" s="68"/>
      <c r="MW9" s="68"/>
      <c r="MX9" s="68"/>
      <c r="MY9" s="68"/>
      <c r="MZ9" s="68"/>
      <c r="NA9" s="68"/>
      <c r="NB9" s="68"/>
      <c r="NC9" s="68"/>
      <c r="ND9" s="68"/>
      <c r="NE9" s="68"/>
      <c r="NF9" s="68"/>
      <c r="NG9" s="68"/>
      <c r="NH9" s="68"/>
      <c r="NI9" s="68"/>
      <c r="NJ9" s="68"/>
      <c r="NK9" s="68"/>
      <c r="NL9" s="68"/>
      <c r="NM9" s="68"/>
      <c r="NN9" s="68"/>
      <c r="NO9" s="360"/>
      <c r="NP9" s="1748"/>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179"/>
      <c r="B10" s="1266" t="s">
        <v>3937</v>
      </c>
      <c r="C10" s="686" t="s">
        <v>164</v>
      </c>
      <c r="D10" s="686" t="s">
        <v>166</v>
      </c>
      <c r="E10" s="686" t="s">
        <v>1384</v>
      </c>
      <c r="F10" s="686" t="s">
        <v>1204</v>
      </c>
      <c r="G10" s="3185"/>
      <c r="H10" s="686" t="s">
        <v>6098</v>
      </c>
      <c r="I10" s="3185"/>
      <c r="J10" s="3181"/>
      <c r="K10" s="358" t="s">
        <v>334</v>
      </c>
      <c r="L10" s="686" t="s">
        <v>1433</v>
      </c>
      <c r="M10" s="686" t="s">
        <v>504</v>
      </c>
      <c r="N10" s="686" t="s">
        <v>1383</v>
      </c>
      <c r="O10" s="686" t="s">
        <v>6504</v>
      </c>
      <c r="P10" s="3183"/>
      <c r="Q10" s="3161"/>
      <c r="R10" s="686" t="s">
        <v>1385</v>
      </c>
      <c r="S10" s="686" t="s">
        <v>2458</v>
      </c>
      <c r="T10" s="10" t="s">
        <v>1711</v>
      </c>
      <c r="W10" s="10"/>
      <c r="X10" s="3159"/>
      <c r="Y10" s="3159"/>
      <c r="Z10" s="3159"/>
      <c r="AA10" s="3159"/>
      <c r="AB10" s="3159"/>
      <c r="AC10" s="3159"/>
      <c r="AD10" s="3159"/>
      <c r="AE10" s="3159"/>
      <c r="AF10" s="3159"/>
      <c r="AG10" s="3159"/>
      <c r="AH10" s="3159"/>
      <c r="AI10" s="3159"/>
      <c r="AJ10" s="3159"/>
      <c r="AK10" s="3159"/>
      <c r="AL10" s="3159"/>
      <c r="AM10" s="3159"/>
      <c r="AN10" s="3159"/>
      <c r="AO10" s="3159"/>
      <c r="AP10" s="3159"/>
      <c r="AQ10" s="3159"/>
      <c r="AR10" s="3159"/>
      <c r="AS10" s="3159"/>
      <c r="AT10" s="3159"/>
      <c r="AU10" s="3159"/>
      <c r="AV10" s="3159"/>
      <c r="AW10" s="3159"/>
      <c r="AX10" s="3159"/>
      <c r="AY10" s="3159"/>
      <c r="AZ10" s="3159"/>
      <c r="BA10" s="3159"/>
      <c r="BB10" s="3159"/>
      <c r="BC10" s="3159"/>
      <c r="BD10" s="3159"/>
      <c r="BE10" s="3159"/>
      <c r="BF10" s="3159"/>
      <c r="BG10" s="3159"/>
      <c r="BH10" s="3159"/>
      <c r="BI10" s="3159"/>
      <c r="BJ10" s="3159"/>
      <c r="BK10" s="3159"/>
      <c r="BL10" s="3159"/>
      <c r="BM10" s="3159"/>
      <c r="BN10" s="3159"/>
      <c r="BO10" s="3159"/>
      <c r="BP10" s="3159"/>
      <c r="BQ10" s="3159"/>
      <c r="BR10" s="3159"/>
      <c r="BS10" s="3159"/>
      <c r="BT10" s="3159"/>
      <c r="BU10" s="3159"/>
      <c r="BV10" s="3159"/>
      <c r="BW10" s="3159"/>
      <c r="BX10" s="3159"/>
      <c r="BY10" s="3159"/>
      <c r="BZ10" s="3159"/>
      <c r="CA10" s="3159"/>
      <c r="CB10" s="3159"/>
      <c r="CC10" s="3159"/>
      <c r="CD10" s="3159"/>
      <c r="CE10" s="3159"/>
      <c r="CF10" s="3159"/>
      <c r="CG10" s="3159"/>
      <c r="CH10" s="3159"/>
      <c r="CI10" s="3159"/>
      <c r="CJ10" s="3159"/>
      <c r="CK10" s="3159"/>
      <c r="CL10" s="3159"/>
      <c r="CM10" s="3159"/>
      <c r="CN10" s="3159"/>
      <c r="CO10" s="3159"/>
      <c r="CP10" s="3159"/>
      <c r="CQ10" s="3159"/>
      <c r="CR10" s="3159"/>
      <c r="CS10" s="3159"/>
      <c r="CT10" s="3159"/>
      <c r="CU10" s="3159"/>
      <c r="CV10" s="3159"/>
      <c r="CW10" s="3159"/>
      <c r="CX10" s="3159"/>
      <c r="CY10" s="3159"/>
      <c r="CZ10" s="3159"/>
      <c r="DA10" s="3159"/>
      <c r="DB10" s="3159"/>
      <c r="DC10" s="3159"/>
      <c r="DD10" s="3159"/>
      <c r="DE10" s="3159"/>
      <c r="DF10" s="3159"/>
      <c r="DG10" s="3159"/>
      <c r="DH10" s="3159"/>
      <c r="DI10" s="3159"/>
      <c r="DJ10" s="3159"/>
      <c r="DK10" s="3159"/>
      <c r="DL10" s="3159"/>
      <c r="DM10" s="3159"/>
      <c r="DN10" s="3159"/>
      <c r="DO10" s="3159"/>
      <c r="DP10" s="3159"/>
      <c r="DQ10" s="3159"/>
      <c r="DR10" s="3159"/>
      <c r="DS10" s="3159"/>
      <c r="DT10" s="3159"/>
      <c r="DU10" s="3159"/>
      <c r="DV10" s="3159"/>
      <c r="DW10" s="3159"/>
      <c r="DX10" s="3159"/>
      <c r="DY10" s="3159"/>
      <c r="DZ10" s="3159"/>
      <c r="EA10" s="3159"/>
      <c r="EB10" s="3159"/>
      <c r="EC10" s="3159"/>
      <c r="ED10" s="3159"/>
      <c r="EE10" s="3159"/>
      <c r="EF10" s="3159"/>
      <c r="EG10" s="3159"/>
      <c r="EH10" s="3159"/>
      <c r="EI10" s="3159"/>
      <c r="EJ10" s="3159"/>
      <c r="EK10" s="3159"/>
      <c r="EL10" s="3159"/>
      <c r="EM10" s="3159"/>
      <c r="EN10" s="3159"/>
      <c r="EO10" s="3159"/>
      <c r="EP10" s="3159"/>
      <c r="EQ10" s="3159"/>
      <c r="ER10" s="3159"/>
      <c r="ES10" s="3159"/>
      <c r="ET10" s="3159"/>
      <c r="EU10" s="3159"/>
      <c r="EV10" s="3159"/>
      <c r="EW10" s="3159"/>
      <c r="EX10" s="3159"/>
      <c r="EY10" s="3159"/>
      <c r="EZ10" s="3159"/>
      <c r="FA10" s="3159"/>
      <c r="FB10" s="3159"/>
      <c r="FC10" s="3159"/>
      <c r="FD10" s="3159"/>
      <c r="FE10" s="3159"/>
      <c r="FF10" s="3159"/>
      <c r="FG10" s="3159"/>
      <c r="FH10" s="3159"/>
      <c r="FI10" s="3159"/>
      <c r="FJ10" s="3159"/>
      <c r="FK10" s="3159"/>
      <c r="FL10" s="3159"/>
      <c r="FM10" s="3159"/>
      <c r="FN10" s="3159"/>
      <c r="FO10" s="3159"/>
      <c r="FP10" s="3159"/>
      <c r="FQ10" s="3159"/>
      <c r="FR10" s="3159"/>
      <c r="FS10" s="3159"/>
      <c r="FT10" s="3159"/>
      <c r="FU10" s="3159"/>
      <c r="FV10" s="3159"/>
      <c r="FW10" s="3159"/>
      <c r="FX10" s="3159"/>
      <c r="FY10" s="3159"/>
      <c r="FZ10" s="3159"/>
      <c r="GA10" s="3159"/>
      <c r="GB10" s="3159"/>
      <c r="GC10" s="3159"/>
      <c r="GD10" s="3159"/>
      <c r="GE10" s="3159"/>
      <c r="GF10" s="3159"/>
      <c r="GG10" s="3159"/>
      <c r="GH10" s="3159"/>
      <c r="GI10" s="3159"/>
      <c r="GJ10" s="3159"/>
      <c r="GK10" s="3159"/>
      <c r="GL10" s="3159"/>
      <c r="GM10" s="3159"/>
      <c r="GN10" s="3159"/>
      <c r="GO10" s="3159"/>
      <c r="GP10" s="3159"/>
      <c r="GQ10" s="3159"/>
      <c r="GR10" s="3159"/>
      <c r="GS10" s="3159"/>
      <c r="GT10" s="3159"/>
      <c r="GU10" s="3159"/>
      <c r="GV10" s="3159"/>
      <c r="GW10" s="3159"/>
      <c r="GX10" s="3159"/>
      <c r="GY10" s="3159"/>
      <c r="GZ10" s="3159"/>
      <c r="HA10" s="3159"/>
      <c r="HB10" s="3159"/>
      <c r="HC10" s="3159"/>
      <c r="HD10" s="3159"/>
      <c r="HE10" s="3159"/>
      <c r="HF10" s="3159"/>
      <c r="HG10" s="3159"/>
      <c r="HH10" s="3159"/>
      <c r="HI10" s="3159"/>
      <c r="HJ10" s="3159"/>
      <c r="HK10" s="3159"/>
      <c r="HL10" s="3159"/>
      <c r="HM10" s="3159"/>
      <c r="HN10" s="3159"/>
      <c r="HO10" s="3159"/>
      <c r="HP10" s="3159"/>
      <c r="HQ10" s="3159"/>
      <c r="HR10" s="3159"/>
      <c r="HS10" s="3159"/>
      <c r="HT10" s="3159"/>
      <c r="HU10" s="3159"/>
      <c r="HV10" s="3159"/>
      <c r="HW10" s="3159"/>
      <c r="HX10" s="3159"/>
      <c r="HY10" s="3159"/>
      <c r="HZ10" s="3159"/>
      <c r="IA10" s="1883" t="s">
        <v>2299</v>
      </c>
      <c r="IB10" s="1883" t="s">
        <v>2299</v>
      </c>
      <c r="IC10" s="1883" t="s">
        <v>2299</v>
      </c>
      <c r="ID10" s="1883" t="s">
        <v>2299</v>
      </c>
      <c r="IE10" s="3159"/>
      <c r="IF10" s="3159"/>
      <c r="IG10" s="3159"/>
      <c r="IH10" s="3159"/>
      <c r="II10" s="3159"/>
      <c r="IJ10" s="3159"/>
      <c r="IK10" s="3159"/>
      <c r="IL10" s="3159"/>
      <c r="IM10" s="3159"/>
      <c r="IN10" s="3159"/>
      <c r="IO10" s="1883" t="s">
        <v>2301</v>
      </c>
      <c r="IP10" s="1883" t="s">
        <v>2301</v>
      </c>
      <c r="IQ10" s="1883" t="s">
        <v>2301</v>
      </c>
      <c r="IR10" s="1883" t="s">
        <v>2301</v>
      </c>
      <c r="IS10" s="1883" t="s">
        <v>2301</v>
      </c>
      <c r="IT10" s="1883" t="s">
        <v>3004</v>
      </c>
      <c r="IU10" s="1883" t="s">
        <v>3004</v>
      </c>
      <c r="IV10" s="1883" t="s">
        <v>3004</v>
      </c>
      <c r="IW10" s="1883" t="s">
        <v>3004</v>
      </c>
      <c r="IX10" s="1883" t="s">
        <v>3004</v>
      </c>
      <c r="IY10" s="3159"/>
      <c r="IZ10" s="3159"/>
      <c r="JA10" s="3159"/>
      <c r="JB10" s="3159"/>
      <c r="JC10" s="3159"/>
      <c r="JD10" s="3159"/>
      <c r="JE10" s="3159"/>
      <c r="JF10" s="3159"/>
      <c r="JG10" s="3159"/>
      <c r="JH10" s="3159"/>
      <c r="JI10" s="3159"/>
      <c r="JJ10" s="3159"/>
      <c r="JK10" s="3159"/>
      <c r="JL10" s="3159"/>
      <c r="JM10" s="3159"/>
      <c r="JN10" s="3159"/>
      <c r="JO10" s="3159"/>
      <c r="JP10" s="3159"/>
      <c r="JQ10" s="3159"/>
      <c r="JR10" s="3159"/>
      <c r="JS10" s="3159"/>
      <c r="JT10" s="3159"/>
      <c r="JU10" s="3159"/>
      <c r="JV10" s="3159"/>
      <c r="JW10" s="3159"/>
      <c r="JX10" s="3159"/>
      <c r="JY10" s="3159"/>
      <c r="JZ10" s="3159"/>
      <c r="KA10" s="3159"/>
      <c r="KB10" s="3159"/>
      <c r="KC10" s="3159"/>
      <c r="KD10" s="3159"/>
      <c r="KE10" s="3159"/>
      <c r="KF10" s="3159"/>
      <c r="KG10" s="3159"/>
      <c r="KH10" s="3159"/>
      <c r="KI10" s="3159"/>
      <c r="KJ10" s="3159"/>
      <c r="KK10" s="3159"/>
      <c r="KL10" s="3159"/>
      <c r="KM10" s="3159"/>
      <c r="KN10" s="3159"/>
      <c r="KO10" s="3159"/>
      <c r="KP10" s="3159"/>
      <c r="KQ10" s="3159"/>
      <c r="KR10" s="3159"/>
      <c r="KS10" s="3159"/>
      <c r="KT10" s="3159"/>
      <c r="KU10" s="3159"/>
      <c r="KV10" s="3159"/>
      <c r="KW10" s="3159"/>
      <c r="KX10" s="3159"/>
      <c r="KY10" s="3159"/>
      <c r="KZ10" s="3159"/>
      <c r="LA10" s="3159"/>
      <c r="LB10" s="3159"/>
      <c r="LC10" s="3159"/>
      <c r="LD10" s="3159"/>
      <c r="LE10" s="3159"/>
      <c r="LF10" s="3159"/>
      <c r="LG10" s="3159"/>
      <c r="LH10" s="3159"/>
      <c r="LI10" s="3159"/>
      <c r="LJ10" s="3159"/>
      <c r="LK10" s="3159"/>
      <c r="LL10" s="3159"/>
      <c r="LM10" s="3159"/>
      <c r="LN10" s="3159"/>
      <c r="LO10" s="3159"/>
      <c r="LP10" s="3159"/>
      <c r="LQ10" s="3159"/>
      <c r="LR10" s="3159"/>
      <c r="LS10" s="3159"/>
      <c r="LT10" s="3159"/>
      <c r="LU10" s="3159"/>
      <c r="LV10" s="3159"/>
      <c r="LW10" s="3159"/>
      <c r="LX10" s="3159"/>
      <c r="LY10" s="3159"/>
      <c r="LZ10" s="3159"/>
      <c r="MA10" s="3159"/>
      <c r="MB10" s="3159"/>
      <c r="MC10" s="3159"/>
      <c r="MD10" s="3159"/>
      <c r="ME10" s="3159"/>
      <c r="MF10" s="3159"/>
      <c r="MG10" s="3159"/>
      <c r="MH10" s="3159"/>
      <c r="MI10" s="3159"/>
      <c r="MJ10" s="3159"/>
      <c r="MK10" s="3178"/>
      <c r="ML10" s="3178"/>
      <c r="MM10" s="3178"/>
      <c r="MN10" s="3178"/>
      <c r="MO10" s="3178"/>
      <c r="MP10" s="3159"/>
      <c r="MQ10" s="3159"/>
      <c r="MR10" s="3159"/>
      <c r="MS10" s="3159"/>
      <c r="MT10" s="3159"/>
      <c r="MU10" s="68"/>
      <c r="MV10" s="68"/>
      <c r="MW10" s="68"/>
      <c r="MX10" s="68"/>
      <c r="MY10" s="68"/>
      <c r="MZ10" s="68"/>
      <c r="NA10" s="68"/>
      <c r="NB10" s="68"/>
      <c r="NC10" s="68"/>
      <c r="ND10" s="68"/>
      <c r="NE10" s="68"/>
      <c r="NF10" s="68"/>
      <c r="NG10" s="68"/>
      <c r="NH10" s="68"/>
      <c r="NI10" s="68"/>
      <c r="NJ10" s="68"/>
      <c r="NK10" s="68"/>
      <c r="NL10" s="68"/>
      <c r="NM10" s="68"/>
      <c r="NN10" s="68"/>
      <c r="NO10" s="360"/>
      <c r="NP10" s="1748"/>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2" t="s">
        <v>3678</v>
      </c>
      <c r="C11" s="129"/>
      <c r="D11" s="1752"/>
      <c r="E11" s="130"/>
      <c r="F11" s="130"/>
      <c r="G11" s="130"/>
      <c r="H11" s="130"/>
      <c r="I11" s="1430"/>
      <c r="J11" s="1431"/>
      <c r="K11" s="643"/>
      <c r="L11" s="460">
        <f t="shared" ref="L11:L48" si="1">MAX(0,H11-I11-J11)</f>
        <v>0</v>
      </c>
      <c r="M11" s="460">
        <f t="shared" ref="M11:M48" si="2">MAX(0,E11*L11)</f>
        <v>0</v>
      </c>
      <c r="N11" s="694"/>
      <c r="O11" s="1684"/>
      <c r="P11" s="694"/>
      <c r="Q11" s="131"/>
      <c r="R11" s="737"/>
      <c r="S11" s="738"/>
      <c r="T11" s="3107"/>
      <c r="U11" s="3108"/>
      <c r="V11" s="3108"/>
      <c r="W11" s="3109"/>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903" t="str">
        <f t="shared" ref="HZ11:HZ48" si="213">IF(AND($C11="Efficiency", NOT(OR($O11="SF Detached",$O11="Mfd Home",$O11="Semi-Detached",$O11="Row House/TH"))),$E11,"")</f>
        <v/>
      </c>
      <c r="IA11" s="1903" t="str">
        <f t="shared" ref="IA11:IA48" si="214">IF(AND($C11=1, NOT(OR($O11="SF Detached",$O11="Mfd Home",$O11="Semi-Detached",$O11="Row House/TH"))),$E11,"")</f>
        <v/>
      </c>
      <c r="IB11" s="1903" t="str">
        <f t="shared" ref="IB11:IB48" si="215">IF(AND($C11=2, NOT(OR($O11="SF Detached",$O11="Mfd Home",$O11="Semi-Detached",$O11="Row House/TH"))),$E11,"")</f>
        <v/>
      </c>
      <c r="IC11" s="1903" t="str">
        <f t="shared" ref="IC11:IC48" si="216">IF(AND($C11=3, NOT(OR($O11="SF Detached",$O11="Mfd Home",$O11="Semi-Detached",$O11="Row House/TH"))),$E11,"")</f>
        <v/>
      </c>
      <c r="ID11" s="1903" t="str">
        <f t="shared" ref="ID11:ID48" si="217">IF(AND($C11=4, NOT(OR($O11="SF Detached",$O11="Mfd Home",$O11="Semi-Detached",$O11="Row House/TH"))),$E11,"")</f>
        <v/>
      </c>
      <c r="IE11" s="1903" t="str">
        <f t="shared" ref="IE11:IE48" si="218">IF(AND($C11="Efficiency", $O11="SF Detached",NOT($Q11="Yes")),$E11,"")</f>
        <v/>
      </c>
      <c r="IF11" s="1903" t="str">
        <f t="shared" ref="IF11:IF48" si="219">IF(AND($C11=1, $O11="SF Detached",NOT($Q11="Yes")),$E11,"")</f>
        <v/>
      </c>
      <c r="IG11" s="1903" t="str">
        <f t="shared" ref="IG11:IG48" si="220">IF(AND($C11=2, $O11="SF Detached",NOT($Q11="Yes")),$E11,"")</f>
        <v/>
      </c>
      <c r="IH11" s="1903" t="str">
        <f t="shared" ref="IH11:IH48" si="221">IF(AND($C11=3, $O11="SF Detached",NOT($Q11="Yes")),$E11,"")</f>
        <v/>
      </c>
      <c r="II11" s="1903" t="str">
        <f t="shared" ref="II11:II48" si="222">IF(AND($C11=4, $O11="SF Detached",NOT($Q11="Yes")),$E11,"")</f>
        <v/>
      </c>
      <c r="IJ11" s="1903" t="str">
        <f t="shared" ref="IJ11:IJ48" si="223">IF(AND($C11="Efficiency", $O11="SF Detached",$Q11="Yes"),$E11,"")</f>
        <v/>
      </c>
      <c r="IK11" s="1903" t="str">
        <f t="shared" ref="IK11:IK48" si="224">IF(AND($C11=1, $O11="SF Detached",$Q11="Yes"),$E11,"")</f>
        <v/>
      </c>
      <c r="IL11" s="1903" t="str">
        <f t="shared" ref="IL11:IL48" si="225">IF(AND($C11=2, $O11="SF Detached",$Q11="Yes"),$E11,"")</f>
        <v/>
      </c>
      <c r="IM11" s="1903" t="str">
        <f t="shared" ref="IM11:IM48" si="226">IF(AND($C11=3, $O11="SF Detached",$Q11="Yes"),$E11,"")</f>
        <v/>
      </c>
      <c r="IN11" s="1903" t="str">
        <f t="shared" ref="IN11:IN48" si="227">IF(AND($C11=4, $O11="SF Detached",$Q11="Yes"),$E11,"")</f>
        <v/>
      </c>
      <c r="IO11" s="1903" t="str">
        <f t="shared" ref="IO11:IO48" si="228">IF(AND($C11="Efficiency", $O11="Mfd Home",NOT($Q11="Yes")),$E11,"")</f>
        <v/>
      </c>
      <c r="IP11" s="1903" t="str">
        <f t="shared" ref="IP11:IP48" si="229">IF(AND($C11=1, $O11="Mfd Home",NOT($Q11="Yes")),$E11,"")</f>
        <v/>
      </c>
      <c r="IQ11" s="1903" t="str">
        <f t="shared" ref="IQ11:IQ48" si="230">IF(AND($C11=2, $O11="Mfd Home",NOT($Q11="Yes")),$E11,"")</f>
        <v/>
      </c>
      <c r="IR11" s="1903" t="str">
        <f t="shared" ref="IR11:IR48" si="231">IF(AND($C11=3, $O11="Mfd Home",NOT($Q11="Yes")),$E11,"")</f>
        <v/>
      </c>
      <c r="IS11" s="1903" t="str">
        <f t="shared" ref="IS11:IS48" si="232">IF(AND($C11=4, $O11="Mfd Home",NOT($Q11="Yes")),$E11,"")</f>
        <v/>
      </c>
      <c r="IT11" s="1903" t="str">
        <f t="shared" ref="IT11:IT48" si="233">IF(AND($C11="Efficiency", $O11="Mfd Home",$Q11="Yes"),$E11,"")</f>
        <v/>
      </c>
      <c r="IU11" s="1903" t="str">
        <f t="shared" ref="IU11:IU48" si="234">IF(AND($C11=1, $O11="Mfd Home",$Q11="Yes"),$E11,"")</f>
        <v/>
      </c>
      <c r="IV11" s="1903" t="str">
        <f t="shared" ref="IV11:IV48" si="235">IF(AND($C11=2, $O11="Mfd Home",$Q11="Yes"),$E11,"")</f>
        <v/>
      </c>
      <c r="IW11" s="1903" t="str">
        <f t="shared" ref="IW11:IW48" si="236">IF(AND($C11=3, $O11="Mfd Home",$Q11="Yes"),$E11,"")</f>
        <v/>
      </c>
      <c r="IX11" s="1903" t="str">
        <f t="shared" ref="IX11:IX48" si="237">IF(AND($C11=4, $O11="Mfd Home",$Q11="Yes"),$E11,"")</f>
        <v/>
      </c>
      <c r="IY11" s="1903" t="str">
        <f t="shared" ref="IY11:IY48" si="238">IF(AND($C11="Efficiency", $O11="Semi-Detached",NOT($Q11="Yes")),$E11,"")</f>
        <v/>
      </c>
      <c r="IZ11" s="1903" t="str">
        <f t="shared" ref="IZ11:IZ48" si="239">IF(AND($C11=1, $O11="Semi-Detached",NOT($Q11="Yes")),$E11,"")</f>
        <v/>
      </c>
      <c r="JA11" s="1903" t="str">
        <f t="shared" ref="JA11:JA48" si="240">IF(AND($C11=2, $O11="Semi-Detached",NOT($Q11="Yes")),$E11,"")</f>
        <v/>
      </c>
      <c r="JB11" s="1903" t="str">
        <f t="shared" ref="JB11:JB48" si="241">IF(AND($C11=3, $O11="Semi-Detached",NOT($Q11="Yes")),$E11,"")</f>
        <v/>
      </c>
      <c r="JC11" s="1903" t="str">
        <f t="shared" ref="JC11:JC48" si="242">IF(AND($C11=4, $O11="Semi-Detached",NOT($Q11="Yes")),$E11,"")</f>
        <v/>
      </c>
      <c r="JD11" s="1903" t="str">
        <f t="shared" ref="JD11:JD48" si="243">IF(AND($C11="Efficiency", $O11="Semi-Detached",$Q11="Yes"),$E11,"")</f>
        <v/>
      </c>
      <c r="JE11" s="1903" t="str">
        <f t="shared" ref="JE11:JE48" si="244">IF(AND($C11=1, $O11="Semi-Detached",$Q11="Yes"),$E11,"")</f>
        <v/>
      </c>
      <c r="JF11" s="1903" t="str">
        <f t="shared" ref="JF11:JF48" si="245">IF(AND($C11=2, $O11="Semi-Detached",$Q11="Yes"),$E11,"")</f>
        <v/>
      </c>
      <c r="JG11" s="1903" t="str">
        <f t="shared" ref="JG11:JG48" si="246">IF(AND($C11=3, $O11="Semi-Detached",$Q11="Yes"),$E11,"")</f>
        <v/>
      </c>
      <c r="JH11" s="1903" t="str">
        <f t="shared" ref="JH11:JH48" si="247">IF(AND($C11=4, $O11="Semi-Detached",$Q11="Yes"),$E11,"")</f>
        <v/>
      </c>
      <c r="JI11" s="1903" t="str">
        <f t="shared" ref="JI11:JI48" si="248">IF(AND($C11="Efficiency", $O11="Row House/TH",NOT($Q11="Yes")),$E11,"")</f>
        <v/>
      </c>
      <c r="JJ11" s="1903" t="str">
        <f t="shared" ref="JJ11:JJ48" si="249">IF(AND($C11=1, $O11="Row House/TH",NOT($Q11="Yes")),$E11,"")</f>
        <v/>
      </c>
      <c r="JK11" s="1903" t="str">
        <f t="shared" ref="JK11:JK48" si="250">IF(AND($C11=2, $O11="Row House/TH",NOT($Q11="Yes")),$E11,"")</f>
        <v/>
      </c>
      <c r="JL11" s="1903" t="str">
        <f t="shared" ref="JL11:JL48" si="251">IF(AND($C11=3, $O11="Row House/TH",NOT($Q11="Yes")),$E11,"")</f>
        <v/>
      </c>
      <c r="JM11" s="1903" t="str">
        <f t="shared" ref="JM11:JM48" si="252">IF(AND($C11=4, $O11="Row House/TH",NOT($Q11="Yes")),$E11,"")</f>
        <v/>
      </c>
      <c r="JN11" s="1903" t="str">
        <f t="shared" ref="JN11:JN48" si="253">IF(AND($C11="Efficiency", $O11="Row House/TH",$Q11="Yes"),$E11,"")</f>
        <v/>
      </c>
      <c r="JO11" s="1903" t="str">
        <f t="shared" ref="JO11:JO48" si="254">IF(AND($C11=1, $O11="Row House/TH",$Q11="Yes"),$E11,"")</f>
        <v/>
      </c>
      <c r="JP11" s="1903" t="str">
        <f t="shared" ref="JP11:JP48" si="255">IF(AND($C11=2, $O11="Row House/TH",$Q11="Yes"),$E11,"")</f>
        <v/>
      </c>
      <c r="JQ11" s="1903" t="str">
        <f t="shared" ref="JQ11:JQ48" si="256">IF(AND($C11=3, $O11="Row House/TH",$Q11="Yes"),$E11,"")</f>
        <v/>
      </c>
      <c r="JR11" s="1903" t="str">
        <f t="shared" ref="JR11:JR48" si="257">IF(AND($C11=4, $O11="Row House/TH",$Q11="Yes"),$E11,"")</f>
        <v/>
      </c>
      <c r="JS11" s="1903" t="str">
        <f t="shared" ref="JS11:JS48" si="258">IF(AND($C11="Efficiency", $O11="Low-Rise Apt",NOT($Q11="Yes")),$E11,"")</f>
        <v/>
      </c>
      <c r="JT11" s="1903" t="str">
        <f t="shared" ref="JT11:JT48" si="259">IF(AND($C11=1, $O11="Low-Rise Apt",NOT($Q11="Yes")),$E11,"")</f>
        <v/>
      </c>
      <c r="JU11" s="1903" t="str">
        <f t="shared" ref="JU11:JU48" si="260">IF(AND($C11=2, $O11="Low-Rise Apt",NOT($Q11="Yes")),$E11,"")</f>
        <v/>
      </c>
      <c r="JV11" s="1903" t="str">
        <f t="shared" ref="JV11:JV48" si="261">IF(AND($C11=3, $O11="Low-Rise Apt",NOT($Q11="Yes")),$E11,"")</f>
        <v/>
      </c>
      <c r="JW11" s="1903" t="str">
        <f t="shared" ref="JW11:JW48" si="262">IF(AND($C11=4, $O11="Low-Rise Apt",NOT($Q11="Yes")),$E11,"")</f>
        <v/>
      </c>
      <c r="JX11" s="1903" t="str">
        <f t="shared" ref="JX11:JX48" si="263">IF(AND($C11="Efficiency", $O11="Low-Rise Elevator",NOT($Q11="Yes")),$E11,"")</f>
        <v/>
      </c>
      <c r="JY11" s="1903" t="str">
        <f t="shared" ref="JY11:JY48" si="264">IF(AND($C11=1, $O11="Low-Rise Elevator",NOT($Q11="Yes")),$E11,"")</f>
        <v/>
      </c>
      <c r="JZ11" s="1903" t="str">
        <f t="shared" ref="JZ11:JZ48" si="265">IF(AND($C11=2, $O11="Low-Rise Elevator",NOT($Q11="Yes")),$E11,"")</f>
        <v/>
      </c>
      <c r="KA11" s="1903" t="str">
        <f t="shared" ref="KA11:KA48" si="266">IF(AND($C11=3, $O11="Low-Rise Elevator",NOT($Q11="Yes")),$E11,"")</f>
        <v/>
      </c>
      <c r="KB11" s="1903" t="str">
        <f t="shared" ref="KB11:KB48" si="267">IF(AND($C11=4, $O11="Low-Rise Elevator",NOT($Q11="Yes")),$E11,"")</f>
        <v/>
      </c>
      <c r="KC11" s="1903" t="str">
        <f t="shared" ref="KC11:KC48" si="268">IF(AND($C11="Efficiency", $O11="Low-Rise Apt",$Q11="Yes"),$E11,"")</f>
        <v/>
      </c>
      <c r="KD11" s="1903" t="str">
        <f t="shared" ref="KD11:KD48" si="269">IF(AND($C11=1, $O11="Low-Rise Apt",$Q11="Yes"),$E11,"")</f>
        <v/>
      </c>
      <c r="KE11" s="1903" t="str">
        <f t="shared" ref="KE11:KE48" si="270">IF(AND($C11=2, $O11="Low-Rise Apt",$Q11="Yes"),$E11,"")</f>
        <v/>
      </c>
      <c r="KF11" s="1903" t="str">
        <f t="shared" ref="KF11:KF48" si="271">IF(AND($C11=3, $O11="Low-Rise Apt",$Q11="Yes"),$E11,"")</f>
        <v/>
      </c>
      <c r="KG11" s="1903" t="str">
        <f t="shared" ref="KG11:KG48" si="272">IF(AND($C11=4, $O11="Low-Rise Apt",$Q11="Yes"),$E11,"")</f>
        <v/>
      </c>
      <c r="KH11" s="1903" t="str">
        <f t="shared" ref="KH11:KH48" si="273">IF(AND($C11="Efficiency", $O11="Low-Rise Elevator",$Q11="Yes"),$E11,"")</f>
        <v/>
      </c>
      <c r="KI11" s="1903" t="str">
        <f t="shared" ref="KI11:KI48" si="274">IF(AND($C11=1, $O11="Low-Rise Elevator",$Q11="Yes"),$E11,"")</f>
        <v/>
      </c>
      <c r="KJ11" s="1903" t="str">
        <f t="shared" ref="KJ11:KJ48" si="275">IF(AND($C11=2, $O11="Low-Rise Elevator",$Q11="Yes"),$E11,"")</f>
        <v/>
      </c>
      <c r="KK11" s="1903" t="str">
        <f t="shared" ref="KK11:KK48" si="276">IF(AND($C11=3, $O11="Low-Rise Elevator",$Q11="Yes"),$E11,"")</f>
        <v/>
      </c>
      <c r="KL11" s="1903" t="str">
        <f t="shared" ref="KL11:KL48" si="277">IF(AND($C11=4, $O11="Low-Rise Elevator",$Q11="Yes"),$E11,"")</f>
        <v/>
      </c>
      <c r="KM11" s="1903" t="str">
        <f t="shared" ref="KM11:KM48" si="278">IF(AND($C11="Efficiency", $O11="High-Rise Apt",NOT($Q11="Yes")),$E11,"")</f>
        <v/>
      </c>
      <c r="KN11" s="1903" t="str">
        <f t="shared" ref="KN11:KN48" si="279">IF(AND($C11=1, $O11="High-Rise Apt",NOT($Q11="Yes")),$E11,"")</f>
        <v/>
      </c>
      <c r="KO11" s="1903" t="str">
        <f t="shared" ref="KO11:KO48" si="280">IF(AND($C11=2, $O11="High-Rise Apt",NOT($Q11="Yes")),$E11,"")</f>
        <v/>
      </c>
      <c r="KP11" s="1903" t="str">
        <f t="shared" ref="KP11:KP48" si="281">IF(AND($C11=3, $O11="High-Rise Apt",NOT($Q11="Yes")),$E11,"")</f>
        <v/>
      </c>
      <c r="KQ11" s="1903" t="str">
        <f t="shared" ref="KQ11:KQ48" si="282">IF(AND($C11=4, $O11="High-Rise Apt",NOT($Q11="Yes")),$E11,"")</f>
        <v/>
      </c>
      <c r="KR11" s="1903" t="str">
        <f t="shared" ref="KR11:KR48" si="283">IF(AND($C11="Efficiency", $O11="High-Rise Elevator",NOT($Q11="Yes")),$E11,"")</f>
        <v/>
      </c>
      <c r="KS11" s="1903" t="str">
        <f t="shared" ref="KS11:KS48" si="284">IF(AND($C11=1, $O11="High-Rise Elevator",NOT($Q11="Yes")),$E11,"")</f>
        <v/>
      </c>
      <c r="KT11" s="1903" t="str">
        <f t="shared" ref="KT11:KT48" si="285">IF(AND($C11=2, $O11="High-Rise Elevator",NOT($Q11="Yes")),$E11,"")</f>
        <v/>
      </c>
      <c r="KU11" s="1903" t="str">
        <f t="shared" ref="KU11:KU48" si="286">IF(AND($C11=3, $O11="High-Rise Elevator",NOT($Q11="Yes")),$E11,"")</f>
        <v/>
      </c>
      <c r="KV11" s="1903" t="str">
        <f t="shared" ref="KV11:KV48" si="287">IF(AND($C11=4, $O11="High-Rise Elevator",NOT($Q11="Yes")),$E11,"")</f>
        <v/>
      </c>
      <c r="KW11" s="1903" t="str">
        <f t="shared" ref="KW11:KW48" si="288">IF(AND($C11="Efficiency", $O11="High-Rise Apt",$Q11="Yes"),$E11,"")</f>
        <v/>
      </c>
      <c r="KX11" s="1903" t="str">
        <f t="shared" ref="KX11:KX48" si="289">IF(AND($C11=1, $O11="High-Rise Apt",$Q11="Yes"),$E11,"")</f>
        <v/>
      </c>
      <c r="KY11" s="1903" t="str">
        <f t="shared" ref="KY11:KY48" si="290">IF(AND($C11=2, $O11="High-Rise Apt",$Q11="Yes"),$E11,"")</f>
        <v/>
      </c>
      <c r="KZ11" s="1903" t="str">
        <f t="shared" ref="KZ11:KZ48" si="291">IF(AND($C11=3, $O11="High-Rise Apt",$Q11="Yes"),$E11,"")</f>
        <v/>
      </c>
      <c r="LA11" s="1903" t="str">
        <f t="shared" ref="LA11:LA48" si="292">IF(AND($C11=4, $O11="High-Rise Apt",$Q11="Yes"),$E11,"")</f>
        <v/>
      </c>
      <c r="LB11" s="1903" t="str">
        <f t="shared" ref="LB11:LB48" si="293">IF(AND($C11="Efficiency", $O11="High-Rise Elevator",$Q11="Yes"),$E11,"")</f>
        <v/>
      </c>
      <c r="LC11" s="1903" t="str">
        <f t="shared" ref="LC11:LC48" si="294">IF(AND($C11=1, $O11="High-Rise Elevator",$Q11="Yes"),$E11,"")</f>
        <v/>
      </c>
      <c r="LD11" s="1903" t="str">
        <f t="shared" ref="LD11:LD48" si="295">IF(AND($C11=2, $O11="High-Rise Elevator",$Q11="Yes"),$E11,"")</f>
        <v/>
      </c>
      <c r="LE11" s="1903" t="str">
        <f t="shared" ref="LE11:LE48" si="296">IF(AND($C11=3, $O11="High-Rise Elevator",$Q11="Yes"),$E11,"")</f>
        <v/>
      </c>
      <c r="LF11" s="1903" t="str">
        <f t="shared" ref="LF11:LF48" si="297">IF(AND($C11=4, $O11="High-Rise Elevator",$Q11="Yes"),$E11,"")</f>
        <v/>
      </c>
      <c r="LG11" s="1892" t="str">
        <f t="shared" ref="LG11:LG48" si="298">IF(AND($B11="NSP 120% AMI",$C11="Efficiency", NOT($N11="Common Space")),$E11,"")</f>
        <v/>
      </c>
      <c r="LH11" s="1892" t="str">
        <f t="shared" ref="LH11:LH48" si="299">IF(AND($B11="NSP 120% AMI",$C11=1,NOT($N11="Common Space")),$E11,"")</f>
        <v/>
      </c>
      <c r="LI11" s="1892" t="str">
        <f t="shared" ref="LI11:LI48" si="300">IF(AND($B11="NSP 120% AMI",$C11=2,NOT($N11="Common Space")),$E11,"")</f>
        <v/>
      </c>
      <c r="LJ11" s="1892" t="str">
        <f t="shared" ref="LJ11:LJ48" si="301">IF(AND($B11="NSP 120% AMI",$C11=3,NOT($N11="Common Space")),$E11,"")</f>
        <v/>
      </c>
      <c r="LK11" s="1892"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50">
        <f t="shared" ref="MF11:MF48" si="323">IF(AND($C11="Efficiency",$E11&gt;0,OR($O11="Low-Rise Apt",$O11="Low-Rise Elevator",$O11="High-Rise Apt",$O11="High-Rise Elevator",$O11="Row House/TH"),OR($P11="Acquisition/Rehab",$P11="Rehabilitation"),NOT($Q11="Yes")),$E11,0)</f>
        <v>0</v>
      </c>
      <c r="MG11" s="1750">
        <f t="shared" ref="MG11:MG48" si="324">IF(AND($C11=1,$E11&gt;0,OR($O11="Low-Rise Apt",$O11="Low-Rise Elevator",$O11="High-Rise Apt",$O11="High-Rise Elevator",$O11="Row House/TH"),OR($P11="Acquisition/Rehab",$P11="Rehabilitation"),NOT($Q11="Yes")),$E11,0)</f>
        <v>0</v>
      </c>
      <c r="MH11" s="1750">
        <f t="shared" ref="MH11:MH48" si="325">IF(AND($C11=2,$E11&gt;0,OR($O11="Low-Rise Apt",$O11="Low-Rise Elevator",$O11="High-Rise Apt",$O11="High-Rise Elevator",$O11="Row House/TH"),OR($P11="Acquisition/Rehab",$P11="Rehabilitation"),NOT($Q11="Yes")),$E11,0)</f>
        <v>0</v>
      </c>
      <c r="MI11" s="1750">
        <f t="shared" ref="MI11:MI48" si="326">IF(AND($C11=3,$E11&gt;0,OR($O11="Low-Rise Apt",$O11="Low-Rise Elevator",$O11="High-Rise Apt",$O11="High-Rise Elevator",$O11="Row House/TH"),OR($P11="Acquisition/Rehab",$P11="Rehabilitation"),NOT($Q11="Yes")),$E11,0)</f>
        <v>0</v>
      </c>
      <c r="MJ11" s="1750">
        <f t="shared" ref="MJ11:MJ48" si="327">IF(AND($C11=4,$E11&gt;0,OR($O11="Low-Rise Apt",$O11="Low-Rise Elevator",$O11="High-Rise Apt",$O11="High-Rise Elevator",$O11="Row House/TH"),OR($P11="Acquisition/Rehab",$P11="Rehabilitation"),NOT($Q11="Yes")),$E11,0)</f>
        <v>0</v>
      </c>
      <c r="MK11" s="1750">
        <f>IF(AND($C11="Efficiency",$E11&gt;0,OR($O11="Low-Rise Apt",$O11="Low-Rise Elevator",$O11="High-Rise Apt",$O11="High-Rise Elevator",$O11="Row House/TH"),$P11="New Construction"),$E11,0)</f>
        <v>0</v>
      </c>
      <c r="ML11" s="1750">
        <f>IF(AND($C11=1,$E11&gt;0,OR($O11="Low-Rise Apt",$O11="Low-Rise Elevator",$O11="High-Rise Apt",$O11="High-Rise Elevator",$O11="Row House/TH"),$P11="New Construction"),$E11,0)</f>
        <v>0</v>
      </c>
      <c r="MM11" s="1750">
        <f>IF(AND($C11=2,$E11&gt;0,OR($O11="Low-Rise Apt",$O11="Low-Rise Elevator",$O11="High-Rise Apt",$O11="High-Rise Elevator",$O11="Row House/TH"),$P11="New Construction"),$E11,0)</f>
        <v>0</v>
      </c>
      <c r="MN11" s="1750">
        <f>IF(AND($C11=3,$E11&gt;0,OR($O11="Low-Rise Apt",$O11="Low-Rise Elevator",$O11="High-Rise Apt",$O11="High-Rise Elevator",$O11="Row House/TH"),$P11="New Construction"),$E11,0)</f>
        <v>0</v>
      </c>
      <c r="MO11" s="1750">
        <f>IF(AND($C11=4,$E11&gt;0,OR($O11="Low-Rise Apt",$O11="Low-Rise Elevator",$O11="High-Rise Apt",$O11="High-Rise Elevator",$O11="Row House/TH"),$P11="New Construction"),$E11,0)</f>
        <v>0</v>
      </c>
      <c r="MP11" s="1750">
        <f t="shared" ref="MP11:MP48" si="328">IF(AND($C11="Efficiency",$E11&gt;0,OR($O11="SF Detached",$O11="Semi-Detached",$O11="Mfd Home"),NOT($Q11="Yes")),$E11,0)</f>
        <v>0</v>
      </c>
      <c r="MQ11" s="1750">
        <f t="shared" ref="MQ11:MQ48" si="329">IF(AND($C11=1,$E11&gt;0,OR($O11="SF Detached",$O11="Semi-Detached",$O11="Mfd Home"),NOT($Q11="Yes")),$E11,0)</f>
        <v>0</v>
      </c>
      <c r="MR11" s="1750">
        <f t="shared" ref="MR11:MR48" si="330">IF(AND($C11=2,$E11&gt;0,OR($O11="SF Detached",$O11="Semi-Detached",$O11="Mfd Home"),NOT($Q11="Yes")),$E11,0)</f>
        <v>0</v>
      </c>
      <c r="MS11" s="1750">
        <f t="shared" ref="MS11:MS48" si="331">IF(AND($C11=3,$E11&gt;0,OR($O11="SF Detached",$O11="Semi-Detached",$O11="Mfd Home"),NOT($Q11="Yes")),$E11,0)</f>
        <v>0</v>
      </c>
      <c r="MT11" s="1750">
        <f t="shared" ref="MT11:MT48" si="332">IF(AND($C11=4,$E11&gt;0,OR($O11="SF Detached",$O11="Semi-Detached",$O11="Mfd Home"),NOT($Q11="Yes")),$E11,0)</f>
        <v>0</v>
      </c>
      <c r="NP11" s="1721" t="s">
        <v>6414</v>
      </c>
    </row>
    <row r="12" spans="1:493" ht="13.9" customHeight="1">
      <c r="A12" s="86" t="str">
        <f t="shared" si="0"/>
        <v/>
      </c>
      <c r="B12" s="1083" t="s">
        <v>3678</v>
      </c>
      <c r="C12" s="132"/>
      <c r="D12" s="1753"/>
      <c r="E12" s="133"/>
      <c r="F12" s="133"/>
      <c r="G12" s="133"/>
      <c r="H12" s="133"/>
      <c r="I12" s="133"/>
      <c r="J12" s="1432"/>
      <c r="K12" s="644"/>
      <c r="L12" s="461">
        <f t="shared" si="1"/>
        <v>0</v>
      </c>
      <c r="M12" s="461">
        <f t="shared" si="2"/>
        <v>0</v>
      </c>
      <c r="N12" s="695"/>
      <c r="O12" s="1685"/>
      <c r="P12" s="695"/>
      <c r="Q12" s="134"/>
      <c r="R12" s="739"/>
      <c r="S12" s="740"/>
      <c r="T12" s="3087"/>
      <c r="U12" s="3088"/>
      <c r="V12" s="3088"/>
      <c r="W12" s="3089"/>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903" t="str">
        <f t="shared" si="213"/>
        <v/>
      </c>
      <c r="IA12" s="1903" t="str">
        <f t="shared" si="214"/>
        <v/>
      </c>
      <c r="IB12" s="1903" t="str">
        <f t="shared" si="215"/>
        <v/>
      </c>
      <c r="IC12" s="1903" t="str">
        <f t="shared" si="216"/>
        <v/>
      </c>
      <c r="ID12" s="1903" t="str">
        <f t="shared" si="217"/>
        <v/>
      </c>
      <c r="IE12" s="1903" t="str">
        <f t="shared" si="218"/>
        <v/>
      </c>
      <c r="IF12" s="1903" t="str">
        <f t="shared" si="219"/>
        <v/>
      </c>
      <c r="IG12" s="1903" t="str">
        <f t="shared" si="220"/>
        <v/>
      </c>
      <c r="IH12" s="1903" t="str">
        <f t="shared" si="221"/>
        <v/>
      </c>
      <c r="II12" s="1903" t="str">
        <f t="shared" si="222"/>
        <v/>
      </c>
      <c r="IJ12" s="1903" t="str">
        <f t="shared" si="223"/>
        <v/>
      </c>
      <c r="IK12" s="1903" t="str">
        <f t="shared" si="224"/>
        <v/>
      </c>
      <c r="IL12" s="1903" t="str">
        <f t="shared" si="225"/>
        <v/>
      </c>
      <c r="IM12" s="1903" t="str">
        <f t="shared" si="226"/>
        <v/>
      </c>
      <c r="IN12" s="1903" t="str">
        <f t="shared" si="227"/>
        <v/>
      </c>
      <c r="IO12" s="1903" t="str">
        <f t="shared" si="228"/>
        <v/>
      </c>
      <c r="IP12" s="1903" t="str">
        <f t="shared" si="229"/>
        <v/>
      </c>
      <c r="IQ12" s="1903" t="str">
        <f t="shared" si="230"/>
        <v/>
      </c>
      <c r="IR12" s="1903" t="str">
        <f t="shared" si="231"/>
        <v/>
      </c>
      <c r="IS12" s="1903" t="str">
        <f t="shared" si="232"/>
        <v/>
      </c>
      <c r="IT12" s="1903" t="str">
        <f t="shared" si="233"/>
        <v/>
      </c>
      <c r="IU12" s="1903" t="str">
        <f t="shared" si="234"/>
        <v/>
      </c>
      <c r="IV12" s="1903" t="str">
        <f t="shared" si="235"/>
        <v/>
      </c>
      <c r="IW12" s="1903" t="str">
        <f t="shared" si="236"/>
        <v/>
      </c>
      <c r="IX12" s="1903" t="str">
        <f t="shared" si="237"/>
        <v/>
      </c>
      <c r="IY12" s="1903" t="str">
        <f t="shared" si="238"/>
        <v/>
      </c>
      <c r="IZ12" s="1903" t="str">
        <f t="shared" si="239"/>
        <v/>
      </c>
      <c r="JA12" s="1903" t="str">
        <f t="shared" si="240"/>
        <v/>
      </c>
      <c r="JB12" s="1903" t="str">
        <f t="shared" si="241"/>
        <v/>
      </c>
      <c r="JC12" s="1903" t="str">
        <f t="shared" si="242"/>
        <v/>
      </c>
      <c r="JD12" s="1903" t="str">
        <f t="shared" si="243"/>
        <v/>
      </c>
      <c r="JE12" s="1903" t="str">
        <f t="shared" si="244"/>
        <v/>
      </c>
      <c r="JF12" s="1903" t="str">
        <f t="shared" si="245"/>
        <v/>
      </c>
      <c r="JG12" s="1903" t="str">
        <f t="shared" si="246"/>
        <v/>
      </c>
      <c r="JH12" s="1903" t="str">
        <f t="shared" si="247"/>
        <v/>
      </c>
      <c r="JI12" s="1903" t="str">
        <f t="shared" si="248"/>
        <v/>
      </c>
      <c r="JJ12" s="1903" t="str">
        <f t="shared" si="249"/>
        <v/>
      </c>
      <c r="JK12" s="1903" t="str">
        <f t="shared" si="250"/>
        <v/>
      </c>
      <c r="JL12" s="1903" t="str">
        <f t="shared" si="251"/>
        <v/>
      </c>
      <c r="JM12" s="1903" t="str">
        <f t="shared" si="252"/>
        <v/>
      </c>
      <c r="JN12" s="1903" t="str">
        <f t="shared" si="253"/>
        <v/>
      </c>
      <c r="JO12" s="1903" t="str">
        <f t="shared" si="254"/>
        <v/>
      </c>
      <c r="JP12" s="1903" t="str">
        <f t="shared" si="255"/>
        <v/>
      </c>
      <c r="JQ12" s="1903" t="str">
        <f t="shared" si="256"/>
        <v/>
      </c>
      <c r="JR12" s="1903" t="str">
        <f t="shared" si="257"/>
        <v/>
      </c>
      <c r="JS12" s="1903" t="str">
        <f t="shared" si="258"/>
        <v/>
      </c>
      <c r="JT12" s="1903" t="str">
        <f t="shared" si="259"/>
        <v/>
      </c>
      <c r="JU12" s="1903" t="str">
        <f t="shared" si="260"/>
        <v/>
      </c>
      <c r="JV12" s="1903" t="str">
        <f t="shared" si="261"/>
        <v/>
      </c>
      <c r="JW12" s="1903" t="str">
        <f t="shared" si="262"/>
        <v/>
      </c>
      <c r="JX12" s="1903" t="str">
        <f t="shared" si="263"/>
        <v/>
      </c>
      <c r="JY12" s="1903" t="str">
        <f t="shared" si="264"/>
        <v/>
      </c>
      <c r="JZ12" s="1903" t="str">
        <f t="shared" si="265"/>
        <v/>
      </c>
      <c r="KA12" s="1903" t="str">
        <f t="shared" si="266"/>
        <v/>
      </c>
      <c r="KB12" s="1903" t="str">
        <f t="shared" si="267"/>
        <v/>
      </c>
      <c r="KC12" s="1903" t="str">
        <f t="shared" si="268"/>
        <v/>
      </c>
      <c r="KD12" s="1903" t="str">
        <f t="shared" si="269"/>
        <v/>
      </c>
      <c r="KE12" s="1903" t="str">
        <f t="shared" si="270"/>
        <v/>
      </c>
      <c r="KF12" s="1903" t="str">
        <f t="shared" si="271"/>
        <v/>
      </c>
      <c r="KG12" s="1903" t="str">
        <f t="shared" si="272"/>
        <v/>
      </c>
      <c r="KH12" s="1903" t="str">
        <f t="shared" si="273"/>
        <v/>
      </c>
      <c r="KI12" s="1903" t="str">
        <f t="shared" si="274"/>
        <v/>
      </c>
      <c r="KJ12" s="1903" t="str">
        <f t="shared" si="275"/>
        <v/>
      </c>
      <c r="KK12" s="1903" t="str">
        <f t="shared" si="276"/>
        <v/>
      </c>
      <c r="KL12" s="1903" t="str">
        <f t="shared" si="277"/>
        <v/>
      </c>
      <c r="KM12" s="1903" t="str">
        <f t="shared" si="278"/>
        <v/>
      </c>
      <c r="KN12" s="1903" t="str">
        <f t="shared" si="279"/>
        <v/>
      </c>
      <c r="KO12" s="1903" t="str">
        <f t="shared" si="280"/>
        <v/>
      </c>
      <c r="KP12" s="1903" t="str">
        <f t="shared" si="281"/>
        <v/>
      </c>
      <c r="KQ12" s="1903" t="str">
        <f t="shared" si="282"/>
        <v/>
      </c>
      <c r="KR12" s="1903" t="str">
        <f t="shared" si="283"/>
        <v/>
      </c>
      <c r="KS12" s="1903" t="str">
        <f t="shared" si="284"/>
        <v/>
      </c>
      <c r="KT12" s="1903" t="str">
        <f t="shared" si="285"/>
        <v/>
      </c>
      <c r="KU12" s="1903" t="str">
        <f t="shared" si="286"/>
        <v/>
      </c>
      <c r="KV12" s="1903" t="str">
        <f t="shared" si="287"/>
        <v/>
      </c>
      <c r="KW12" s="1903" t="str">
        <f t="shared" si="288"/>
        <v/>
      </c>
      <c r="KX12" s="1903" t="str">
        <f t="shared" si="289"/>
        <v/>
      </c>
      <c r="KY12" s="1903" t="str">
        <f t="shared" si="290"/>
        <v/>
      </c>
      <c r="KZ12" s="1903" t="str">
        <f t="shared" si="291"/>
        <v/>
      </c>
      <c r="LA12" s="1903" t="str">
        <f t="shared" si="292"/>
        <v/>
      </c>
      <c r="LB12" s="1903" t="str">
        <f t="shared" si="293"/>
        <v/>
      </c>
      <c r="LC12" s="1903" t="str">
        <f t="shared" si="294"/>
        <v/>
      </c>
      <c r="LD12" s="1903" t="str">
        <f t="shared" si="295"/>
        <v/>
      </c>
      <c r="LE12" s="1903" t="str">
        <f t="shared" si="296"/>
        <v/>
      </c>
      <c r="LF12" s="1903" t="str">
        <f t="shared" si="297"/>
        <v/>
      </c>
      <c r="LG12" s="1892" t="str">
        <f t="shared" si="298"/>
        <v/>
      </c>
      <c r="LH12" s="1892" t="str">
        <f t="shared" si="299"/>
        <v/>
      </c>
      <c r="LI12" s="1892" t="str">
        <f t="shared" si="300"/>
        <v/>
      </c>
      <c r="LJ12" s="1892" t="str">
        <f t="shared" si="301"/>
        <v/>
      </c>
      <c r="LK12" s="1892"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50">
        <f t="shared" si="323"/>
        <v>0</v>
      </c>
      <c r="MG12" s="1750">
        <f t="shared" si="324"/>
        <v>0</v>
      </c>
      <c r="MH12" s="1750">
        <f t="shared" si="325"/>
        <v>0</v>
      </c>
      <c r="MI12" s="1750">
        <f t="shared" si="326"/>
        <v>0</v>
      </c>
      <c r="MJ12" s="1750">
        <f t="shared" si="327"/>
        <v>0</v>
      </c>
      <c r="MK12" s="1750">
        <f t="shared" ref="MK12:MK48" si="333">IF(AND($C12="Efficiency",$E12&gt;0,OR($O12="Low-Rise Apt",$O12="Low-Rise Elevator",$O12="High-Rise Apt",$O12="High-Rise Elevator",$O12="Row House/TH"),$P12="New Construction"),$E12,0)</f>
        <v>0</v>
      </c>
      <c r="ML12" s="1750">
        <f t="shared" ref="ML12:ML48" si="334">IF(AND($C12=1,$E12&gt;0,OR($O12="Low-Rise Apt",$O12="Low-Rise Elevator",$O12="High-Rise Apt",$O12="High-Rise Elevator",$O12="Row House/TH"),$P12="New Construction"),$E12,0)</f>
        <v>0</v>
      </c>
      <c r="MM12" s="1750">
        <f t="shared" ref="MM12:MM48" si="335">IF(AND($C12=2,$E12&gt;0,OR($O12="Low-Rise Apt",$O12="Low-Rise Elevator",$O12="High-Rise Apt",$O12="High-Rise Elevator",$O12="Row House/TH"),$P12="New Construction"),$E12,0)</f>
        <v>0</v>
      </c>
      <c r="MN12" s="1750">
        <f t="shared" ref="MN12:MN48" si="336">IF(AND($C12=3,$E12&gt;0,OR($O12="Low-Rise Apt",$O12="Low-Rise Elevator",$O12="High-Rise Apt",$O12="High-Rise Elevator",$O12="Row House/TH"),$P12="New Construction"),$E12,0)</f>
        <v>0</v>
      </c>
      <c r="MO12" s="1750">
        <f t="shared" ref="MO12:MO48" si="337">IF(AND($C12=4,$E12&gt;0,OR($O12="Low-Rise Apt",$O12="Low-Rise Elevator",$O12="High-Rise Apt",$O12="High-Rise Elevator",$O12="Row House/TH"),$P12="New Construction"),$E12,0)</f>
        <v>0</v>
      </c>
      <c r="MP12" s="1750">
        <f t="shared" si="328"/>
        <v>0</v>
      </c>
      <c r="MQ12" s="1750">
        <f t="shared" si="329"/>
        <v>0</v>
      </c>
      <c r="MR12" s="1750">
        <f t="shared" si="330"/>
        <v>0</v>
      </c>
      <c r="MS12" s="1750">
        <f t="shared" si="331"/>
        <v>0</v>
      </c>
      <c r="MT12" s="1750">
        <f t="shared" si="332"/>
        <v>0</v>
      </c>
      <c r="NP12" s="1721" t="s">
        <v>6415</v>
      </c>
    </row>
    <row r="13" spans="1:493" ht="13.9" customHeight="1">
      <c r="A13" s="86" t="str">
        <f t="shared" si="0"/>
        <v/>
      </c>
      <c r="B13" s="1083" t="s">
        <v>290</v>
      </c>
      <c r="C13" s="132"/>
      <c r="D13" s="1753"/>
      <c r="E13" s="133"/>
      <c r="F13" s="133"/>
      <c r="G13" s="133"/>
      <c r="H13" s="133"/>
      <c r="I13" s="133"/>
      <c r="J13" s="1432"/>
      <c r="K13" s="644"/>
      <c r="L13" s="461">
        <f t="shared" si="1"/>
        <v>0</v>
      </c>
      <c r="M13" s="461">
        <f t="shared" si="2"/>
        <v>0</v>
      </c>
      <c r="N13" s="695"/>
      <c r="O13" s="1685"/>
      <c r="P13" s="695"/>
      <c r="Q13" s="134"/>
      <c r="R13" s="739"/>
      <c r="S13" s="740"/>
      <c r="T13" s="3087"/>
      <c r="U13" s="3088"/>
      <c r="V13" s="3088"/>
      <c r="W13" s="3089"/>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903" t="str">
        <f t="shared" si="213"/>
        <v/>
      </c>
      <c r="IA13" s="1903" t="str">
        <f t="shared" si="214"/>
        <v/>
      </c>
      <c r="IB13" s="1903" t="str">
        <f t="shared" si="215"/>
        <v/>
      </c>
      <c r="IC13" s="1903" t="str">
        <f t="shared" si="216"/>
        <v/>
      </c>
      <c r="ID13" s="1903" t="str">
        <f t="shared" si="217"/>
        <v/>
      </c>
      <c r="IE13" s="1903" t="str">
        <f t="shared" si="218"/>
        <v/>
      </c>
      <c r="IF13" s="1903" t="str">
        <f t="shared" si="219"/>
        <v/>
      </c>
      <c r="IG13" s="1903" t="str">
        <f t="shared" si="220"/>
        <v/>
      </c>
      <c r="IH13" s="1903" t="str">
        <f t="shared" si="221"/>
        <v/>
      </c>
      <c r="II13" s="1903" t="str">
        <f t="shared" si="222"/>
        <v/>
      </c>
      <c r="IJ13" s="1903" t="str">
        <f t="shared" si="223"/>
        <v/>
      </c>
      <c r="IK13" s="1903" t="str">
        <f t="shared" si="224"/>
        <v/>
      </c>
      <c r="IL13" s="1903" t="str">
        <f t="shared" si="225"/>
        <v/>
      </c>
      <c r="IM13" s="1903" t="str">
        <f t="shared" si="226"/>
        <v/>
      </c>
      <c r="IN13" s="1903" t="str">
        <f t="shared" si="227"/>
        <v/>
      </c>
      <c r="IO13" s="1903" t="str">
        <f t="shared" si="228"/>
        <v/>
      </c>
      <c r="IP13" s="1903" t="str">
        <f t="shared" si="229"/>
        <v/>
      </c>
      <c r="IQ13" s="1903" t="str">
        <f t="shared" si="230"/>
        <v/>
      </c>
      <c r="IR13" s="1903" t="str">
        <f t="shared" si="231"/>
        <v/>
      </c>
      <c r="IS13" s="1903" t="str">
        <f t="shared" si="232"/>
        <v/>
      </c>
      <c r="IT13" s="1903" t="str">
        <f t="shared" si="233"/>
        <v/>
      </c>
      <c r="IU13" s="1903" t="str">
        <f t="shared" si="234"/>
        <v/>
      </c>
      <c r="IV13" s="1903" t="str">
        <f t="shared" si="235"/>
        <v/>
      </c>
      <c r="IW13" s="1903" t="str">
        <f t="shared" si="236"/>
        <v/>
      </c>
      <c r="IX13" s="1903" t="str">
        <f t="shared" si="237"/>
        <v/>
      </c>
      <c r="IY13" s="1903" t="str">
        <f t="shared" si="238"/>
        <v/>
      </c>
      <c r="IZ13" s="1903" t="str">
        <f t="shared" si="239"/>
        <v/>
      </c>
      <c r="JA13" s="1903" t="str">
        <f t="shared" si="240"/>
        <v/>
      </c>
      <c r="JB13" s="1903" t="str">
        <f t="shared" si="241"/>
        <v/>
      </c>
      <c r="JC13" s="1903" t="str">
        <f t="shared" si="242"/>
        <v/>
      </c>
      <c r="JD13" s="1903" t="str">
        <f t="shared" si="243"/>
        <v/>
      </c>
      <c r="JE13" s="1903" t="str">
        <f t="shared" si="244"/>
        <v/>
      </c>
      <c r="JF13" s="1903" t="str">
        <f t="shared" si="245"/>
        <v/>
      </c>
      <c r="JG13" s="1903" t="str">
        <f t="shared" si="246"/>
        <v/>
      </c>
      <c r="JH13" s="1903" t="str">
        <f t="shared" si="247"/>
        <v/>
      </c>
      <c r="JI13" s="1903" t="str">
        <f t="shared" si="248"/>
        <v/>
      </c>
      <c r="JJ13" s="1903" t="str">
        <f t="shared" si="249"/>
        <v/>
      </c>
      <c r="JK13" s="1903" t="str">
        <f t="shared" si="250"/>
        <v/>
      </c>
      <c r="JL13" s="1903" t="str">
        <f t="shared" si="251"/>
        <v/>
      </c>
      <c r="JM13" s="1903" t="str">
        <f t="shared" si="252"/>
        <v/>
      </c>
      <c r="JN13" s="1903" t="str">
        <f t="shared" si="253"/>
        <v/>
      </c>
      <c r="JO13" s="1903" t="str">
        <f t="shared" si="254"/>
        <v/>
      </c>
      <c r="JP13" s="1903" t="str">
        <f t="shared" si="255"/>
        <v/>
      </c>
      <c r="JQ13" s="1903" t="str">
        <f t="shared" si="256"/>
        <v/>
      </c>
      <c r="JR13" s="1903" t="str">
        <f t="shared" si="257"/>
        <v/>
      </c>
      <c r="JS13" s="1903" t="str">
        <f t="shared" si="258"/>
        <v/>
      </c>
      <c r="JT13" s="1903" t="str">
        <f t="shared" si="259"/>
        <v/>
      </c>
      <c r="JU13" s="1903" t="str">
        <f t="shared" si="260"/>
        <v/>
      </c>
      <c r="JV13" s="1903" t="str">
        <f t="shared" si="261"/>
        <v/>
      </c>
      <c r="JW13" s="1903" t="str">
        <f t="shared" si="262"/>
        <v/>
      </c>
      <c r="JX13" s="1903" t="str">
        <f t="shared" si="263"/>
        <v/>
      </c>
      <c r="JY13" s="1903" t="str">
        <f t="shared" si="264"/>
        <v/>
      </c>
      <c r="JZ13" s="1903" t="str">
        <f t="shared" si="265"/>
        <v/>
      </c>
      <c r="KA13" s="1903" t="str">
        <f t="shared" si="266"/>
        <v/>
      </c>
      <c r="KB13" s="1903" t="str">
        <f t="shared" si="267"/>
        <v/>
      </c>
      <c r="KC13" s="1903" t="str">
        <f t="shared" si="268"/>
        <v/>
      </c>
      <c r="KD13" s="1903" t="str">
        <f t="shared" si="269"/>
        <v/>
      </c>
      <c r="KE13" s="1903" t="str">
        <f t="shared" si="270"/>
        <v/>
      </c>
      <c r="KF13" s="1903" t="str">
        <f t="shared" si="271"/>
        <v/>
      </c>
      <c r="KG13" s="1903" t="str">
        <f t="shared" si="272"/>
        <v/>
      </c>
      <c r="KH13" s="1903" t="str">
        <f t="shared" si="273"/>
        <v/>
      </c>
      <c r="KI13" s="1903" t="str">
        <f t="shared" si="274"/>
        <v/>
      </c>
      <c r="KJ13" s="1903" t="str">
        <f t="shared" si="275"/>
        <v/>
      </c>
      <c r="KK13" s="1903" t="str">
        <f t="shared" si="276"/>
        <v/>
      </c>
      <c r="KL13" s="1903" t="str">
        <f t="shared" si="277"/>
        <v/>
      </c>
      <c r="KM13" s="1903" t="str">
        <f t="shared" si="278"/>
        <v/>
      </c>
      <c r="KN13" s="1903" t="str">
        <f t="shared" si="279"/>
        <v/>
      </c>
      <c r="KO13" s="1903" t="str">
        <f t="shared" si="280"/>
        <v/>
      </c>
      <c r="KP13" s="1903" t="str">
        <f t="shared" si="281"/>
        <v/>
      </c>
      <c r="KQ13" s="1903" t="str">
        <f t="shared" si="282"/>
        <v/>
      </c>
      <c r="KR13" s="1903" t="str">
        <f t="shared" si="283"/>
        <v/>
      </c>
      <c r="KS13" s="1903" t="str">
        <f t="shared" si="284"/>
        <v/>
      </c>
      <c r="KT13" s="1903" t="str">
        <f t="shared" si="285"/>
        <v/>
      </c>
      <c r="KU13" s="1903" t="str">
        <f t="shared" si="286"/>
        <v/>
      </c>
      <c r="KV13" s="1903" t="str">
        <f t="shared" si="287"/>
        <v/>
      </c>
      <c r="KW13" s="1903" t="str">
        <f t="shared" si="288"/>
        <v/>
      </c>
      <c r="KX13" s="1903" t="str">
        <f t="shared" si="289"/>
        <v/>
      </c>
      <c r="KY13" s="1903" t="str">
        <f t="shared" si="290"/>
        <v/>
      </c>
      <c r="KZ13" s="1903" t="str">
        <f t="shared" si="291"/>
        <v/>
      </c>
      <c r="LA13" s="1903" t="str">
        <f t="shared" si="292"/>
        <v/>
      </c>
      <c r="LB13" s="1903" t="str">
        <f t="shared" si="293"/>
        <v/>
      </c>
      <c r="LC13" s="1903" t="str">
        <f t="shared" si="294"/>
        <v/>
      </c>
      <c r="LD13" s="1903" t="str">
        <f t="shared" si="295"/>
        <v/>
      </c>
      <c r="LE13" s="1903" t="str">
        <f t="shared" si="296"/>
        <v/>
      </c>
      <c r="LF13" s="1903" t="str">
        <f t="shared" si="297"/>
        <v/>
      </c>
      <c r="LG13" s="1892" t="str">
        <f t="shared" si="298"/>
        <v/>
      </c>
      <c r="LH13" s="1892" t="str">
        <f t="shared" si="299"/>
        <v/>
      </c>
      <c r="LI13" s="1892" t="str">
        <f t="shared" si="300"/>
        <v/>
      </c>
      <c r="LJ13" s="1892" t="str">
        <f t="shared" si="301"/>
        <v/>
      </c>
      <c r="LK13" s="1892"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50">
        <f t="shared" si="323"/>
        <v>0</v>
      </c>
      <c r="MG13" s="1750">
        <f t="shared" si="324"/>
        <v>0</v>
      </c>
      <c r="MH13" s="1750">
        <f t="shared" si="325"/>
        <v>0</v>
      </c>
      <c r="MI13" s="1750">
        <f t="shared" si="326"/>
        <v>0</v>
      </c>
      <c r="MJ13" s="1750">
        <f t="shared" si="327"/>
        <v>0</v>
      </c>
      <c r="MK13" s="1750">
        <f t="shared" si="333"/>
        <v>0</v>
      </c>
      <c r="ML13" s="1750">
        <f t="shared" si="334"/>
        <v>0</v>
      </c>
      <c r="MM13" s="1750">
        <f t="shared" si="335"/>
        <v>0</v>
      </c>
      <c r="MN13" s="1750">
        <f t="shared" si="336"/>
        <v>0</v>
      </c>
      <c r="MO13" s="1750">
        <f t="shared" si="337"/>
        <v>0</v>
      </c>
      <c r="MP13" s="1750">
        <f t="shared" si="328"/>
        <v>0</v>
      </c>
      <c r="MQ13" s="1750">
        <f t="shared" si="329"/>
        <v>0</v>
      </c>
      <c r="MR13" s="1750">
        <f t="shared" si="330"/>
        <v>0</v>
      </c>
      <c r="MS13" s="1750">
        <f t="shared" si="331"/>
        <v>0</v>
      </c>
      <c r="MT13" s="1750">
        <f t="shared" si="332"/>
        <v>0</v>
      </c>
      <c r="NP13" s="1721" t="s">
        <v>6416</v>
      </c>
    </row>
    <row r="14" spans="1:493" ht="13.9" customHeight="1">
      <c r="A14" s="86" t="str">
        <f t="shared" si="0"/>
        <v/>
      </c>
      <c r="B14" s="1083" t="s">
        <v>290</v>
      </c>
      <c r="C14" s="132"/>
      <c r="D14" s="1753"/>
      <c r="E14" s="133"/>
      <c r="F14" s="133"/>
      <c r="G14" s="133"/>
      <c r="H14" s="133"/>
      <c r="I14" s="133"/>
      <c r="J14" s="1432"/>
      <c r="K14" s="644"/>
      <c r="L14" s="461">
        <f t="shared" si="1"/>
        <v>0</v>
      </c>
      <c r="M14" s="461">
        <f t="shared" si="2"/>
        <v>0</v>
      </c>
      <c r="N14" s="695"/>
      <c r="O14" s="1685"/>
      <c r="P14" s="695"/>
      <c r="Q14" s="134"/>
      <c r="R14" s="739"/>
      <c r="S14" s="740"/>
      <c r="T14" s="3087"/>
      <c r="U14" s="3088"/>
      <c r="V14" s="3088"/>
      <c r="W14" s="3089"/>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903" t="str">
        <f t="shared" si="213"/>
        <v/>
      </c>
      <c r="IA14" s="1903" t="str">
        <f t="shared" si="214"/>
        <v/>
      </c>
      <c r="IB14" s="1903" t="str">
        <f t="shared" si="215"/>
        <v/>
      </c>
      <c r="IC14" s="1903" t="str">
        <f t="shared" si="216"/>
        <v/>
      </c>
      <c r="ID14" s="1903" t="str">
        <f t="shared" si="217"/>
        <v/>
      </c>
      <c r="IE14" s="1903" t="str">
        <f t="shared" si="218"/>
        <v/>
      </c>
      <c r="IF14" s="1903" t="str">
        <f t="shared" si="219"/>
        <v/>
      </c>
      <c r="IG14" s="1903" t="str">
        <f t="shared" si="220"/>
        <v/>
      </c>
      <c r="IH14" s="1903" t="str">
        <f t="shared" si="221"/>
        <v/>
      </c>
      <c r="II14" s="1903" t="str">
        <f t="shared" si="222"/>
        <v/>
      </c>
      <c r="IJ14" s="1903" t="str">
        <f t="shared" si="223"/>
        <v/>
      </c>
      <c r="IK14" s="1903" t="str">
        <f t="shared" si="224"/>
        <v/>
      </c>
      <c r="IL14" s="1903" t="str">
        <f t="shared" si="225"/>
        <v/>
      </c>
      <c r="IM14" s="1903" t="str">
        <f t="shared" si="226"/>
        <v/>
      </c>
      <c r="IN14" s="1903" t="str">
        <f t="shared" si="227"/>
        <v/>
      </c>
      <c r="IO14" s="1903" t="str">
        <f t="shared" si="228"/>
        <v/>
      </c>
      <c r="IP14" s="1903" t="str">
        <f t="shared" si="229"/>
        <v/>
      </c>
      <c r="IQ14" s="1903" t="str">
        <f t="shared" si="230"/>
        <v/>
      </c>
      <c r="IR14" s="1903" t="str">
        <f t="shared" si="231"/>
        <v/>
      </c>
      <c r="IS14" s="1903" t="str">
        <f t="shared" si="232"/>
        <v/>
      </c>
      <c r="IT14" s="1903" t="str">
        <f t="shared" si="233"/>
        <v/>
      </c>
      <c r="IU14" s="1903" t="str">
        <f t="shared" si="234"/>
        <v/>
      </c>
      <c r="IV14" s="1903" t="str">
        <f t="shared" si="235"/>
        <v/>
      </c>
      <c r="IW14" s="1903" t="str">
        <f t="shared" si="236"/>
        <v/>
      </c>
      <c r="IX14" s="1903" t="str">
        <f t="shared" si="237"/>
        <v/>
      </c>
      <c r="IY14" s="1903" t="str">
        <f t="shared" si="238"/>
        <v/>
      </c>
      <c r="IZ14" s="1903" t="str">
        <f t="shared" si="239"/>
        <v/>
      </c>
      <c r="JA14" s="1903" t="str">
        <f t="shared" si="240"/>
        <v/>
      </c>
      <c r="JB14" s="1903" t="str">
        <f t="shared" si="241"/>
        <v/>
      </c>
      <c r="JC14" s="1903" t="str">
        <f t="shared" si="242"/>
        <v/>
      </c>
      <c r="JD14" s="1903" t="str">
        <f t="shared" si="243"/>
        <v/>
      </c>
      <c r="JE14" s="1903" t="str">
        <f t="shared" si="244"/>
        <v/>
      </c>
      <c r="JF14" s="1903" t="str">
        <f t="shared" si="245"/>
        <v/>
      </c>
      <c r="JG14" s="1903" t="str">
        <f t="shared" si="246"/>
        <v/>
      </c>
      <c r="JH14" s="1903" t="str">
        <f t="shared" si="247"/>
        <v/>
      </c>
      <c r="JI14" s="1903" t="str">
        <f t="shared" si="248"/>
        <v/>
      </c>
      <c r="JJ14" s="1903" t="str">
        <f t="shared" si="249"/>
        <v/>
      </c>
      <c r="JK14" s="1903" t="str">
        <f t="shared" si="250"/>
        <v/>
      </c>
      <c r="JL14" s="1903" t="str">
        <f t="shared" si="251"/>
        <v/>
      </c>
      <c r="JM14" s="1903" t="str">
        <f t="shared" si="252"/>
        <v/>
      </c>
      <c r="JN14" s="1903" t="str">
        <f t="shared" si="253"/>
        <v/>
      </c>
      <c r="JO14" s="1903" t="str">
        <f t="shared" si="254"/>
        <v/>
      </c>
      <c r="JP14" s="1903" t="str">
        <f t="shared" si="255"/>
        <v/>
      </c>
      <c r="JQ14" s="1903" t="str">
        <f t="shared" si="256"/>
        <v/>
      </c>
      <c r="JR14" s="1903" t="str">
        <f t="shared" si="257"/>
        <v/>
      </c>
      <c r="JS14" s="1903" t="str">
        <f t="shared" si="258"/>
        <v/>
      </c>
      <c r="JT14" s="1903" t="str">
        <f t="shared" si="259"/>
        <v/>
      </c>
      <c r="JU14" s="1903" t="str">
        <f t="shared" si="260"/>
        <v/>
      </c>
      <c r="JV14" s="1903" t="str">
        <f t="shared" si="261"/>
        <v/>
      </c>
      <c r="JW14" s="1903" t="str">
        <f t="shared" si="262"/>
        <v/>
      </c>
      <c r="JX14" s="1903" t="str">
        <f t="shared" si="263"/>
        <v/>
      </c>
      <c r="JY14" s="1903" t="str">
        <f t="shared" si="264"/>
        <v/>
      </c>
      <c r="JZ14" s="1903" t="str">
        <f t="shared" si="265"/>
        <v/>
      </c>
      <c r="KA14" s="1903" t="str">
        <f t="shared" si="266"/>
        <v/>
      </c>
      <c r="KB14" s="1903" t="str">
        <f t="shared" si="267"/>
        <v/>
      </c>
      <c r="KC14" s="1903" t="str">
        <f t="shared" si="268"/>
        <v/>
      </c>
      <c r="KD14" s="1903" t="str">
        <f t="shared" si="269"/>
        <v/>
      </c>
      <c r="KE14" s="1903" t="str">
        <f t="shared" si="270"/>
        <v/>
      </c>
      <c r="KF14" s="1903" t="str">
        <f t="shared" si="271"/>
        <v/>
      </c>
      <c r="KG14" s="1903" t="str">
        <f t="shared" si="272"/>
        <v/>
      </c>
      <c r="KH14" s="1903" t="str">
        <f t="shared" si="273"/>
        <v/>
      </c>
      <c r="KI14" s="1903" t="str">
        <f t="shared" si="274"/>
        <v/>
      </c>
      <c r="KJ14" s="1903" t="str">
        <f t="shared" si="275"/>
        <v/>
      </c>
      <c r="KK14" s="1903" t="str">
        <f t="shared" si="276"/>
        <v/>
      </c>
      <c r="KL14" s="1903" t="str">
        <f t="shared" si="277"/>
        <v/>
      </c>
      <c r="KM14" s="1903" t="str">
        <f t="shared" si="278"/>
        <v/>
      </c>
      <c r="KN14" s="1903" t="str">
        <f t="shared" si="279"/>
        <v/>
      </c>
      <c r="KO14" s="1903" t="str">
        <f t="shared" si="280"/>
        <v/>
      </c>
      <c r="KP14" s="1903" t="str">
        <f t="shared" si="281"/>
        <v/>
      </c>
      <c r="KQ14" s="1903" t="str">
        <f t="shared" si="282"/>
        <v/>
      </c>
      <c r="KR14" s="1903" t="str">
        <f t="shared" si="283"/>
        <v/>
      </c>
      <c r="KS14" s="1903" t="str">
        <f t="shared" si="284"/>
        <v/>
      </c>
      <c r="KT14" s="1903" t="str">
        <f t="shared" si="285"/>
        <v/>
      </c>
      <c r="KU14" s="1903" t="str">
        <f t="shared" si="286"/>
        <v/>
      </c>
      <c r="KV14" s="1903" t="str">
        <f t="shared" si="287"/>
        <v/>
      </c>
      <c r="KW14" s="1903" t="str">
        <f t="shared" si="288"/>
        <v/>
      </c>
      <c r="KX14" s="1903" t="str">
        <f t="shared" si="289"/>
        <v/>
      </c>
      <c r="KY14" s="1903" t="str">
        <f t="shared" si="290"/>
        <v/>
      </c>
      <c r="KZ14" s="1903" t="str">
        <f t="shared" si="291"/>
        <v/>
      </c>
      <c r="LA14" s="1903" t="str">
        <f t="shared" si="292"/>
        <v/>
      </c>
      <c r="LB14" s="1903" t="str">
        <f t="shared" si="293"/>
        <v/>
      </c>
      <c r="LC14" s="1903" t="str">
        <f t="shared" si="294"/>
        <v/>
      </c>
      <c r="LD14" s="1903" t="str">
        <f t="shared" si="295"/>
        <v/>
      </c>
      <c r="LE14" s="1903" t="str">
        <f t="shared" si="296"/>
        <v/>
      </c>
      <c r="LF14" s="1903" t="str">
        <f t="shared" si="297"/>
        <v/>
      </c>
      <c r="LG14" s="1892" t="str">
        <f t="shared" si="298"/>
        <v/>
      </c>
      <c r="LH14" s="1892" t="str">
        <f t="shared" si="299"/>
        <v/>
      </c>
      <c r="LI14" s="1892" t="str">
        <f t="shared" si="300"/>
        <v/>
      </c>
      <c r="LJ14" s="1892" t="str">
        <f t="shared" si="301"/>
        <v/>
      </c>
      <c r="LK14" s="1892"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50">
        <f t="shared" si="323"/>
        <v>0</v>
      </c>
      <c r="MG14" s="1750">
        <f t="shared" si="324"/>
        <v>0</v>
      </c>
      <c r="MH14" s="1750">
        <f t="shared" si="325"/>
        <v>0</v>
      </c>
      <c r="MI14" s="1750">
        <f t="shared" si="326"/>
        <v>0</v>
      </c>
      <c r="MJ14" s="1750">
        <f t="shared" si="327"/>
        <v>0</v>
      </c>
      <c r="MK14" s="1750">
        <f t="shared" si="333"/>
        <v>0</v>
      </c>
      <c r="ML14" s="1750">
        <f t="shared" si="334"/>
        <v>0</v>
      </c>
      <c r="MM14" s="1750">
        <f t="shared" si="335"/>
        <v>0</v>
      </c>
      <c r="MN14" s="1750">
        <f t="shared" si="336"/>
        <v>0</v>
      </c>
      <c r="MO14" s="1750">
        <f t="shared" si="337"/>
        <v>0</v>
      </c>
      <c r="MP14" s="1750">
        <f t="shared" si="328"/>
        <v>0</v>
      </c>
      <c r="MQ14" s="1750">
        <f t="shared" si="329"/>
        <v>0</v>
      </c>
      <c r="MR14" s="1750">
        <f t="shared" si="330"/>
        <v>0</v>
      </c>
      <c r="MS14" s="1750">
        <f t="shared" si="331"/>
        <v>0</v>
      </c>
      <c r="MT14" s="1750">
        <f t="shared" si="332"/>
        <v>0</v>
      </c>
      <c r="NP14" s="1721" t="s">
        <v>6417</v>
      </c>
    </row>
    <row r="15" spans="1:493" ht="13.9" customHeight="1">
      <c r="A15" s="86" t="str">
        <f t="shared" si="0"/>
        <v/>
      </c>
      <c r="B15" s="1083" t="s">
        <v>290</v>
      </c>
      <c r="C15" s="132"/>
      <c r="D15" s="1753"/>
      <c r="E15" s="133"/>
      <c r="F15" s="133"/>
      <c r="G15" s="133"/>
      <c r="H15" s="133"/>
      <c r="I15" s="133"/>
      <c r="J15" s="1432"/>
      <c r="K15" s="644"/>
      <c r="L15" s="461">
        <f t="shared" si="1"/>
        <v>0</v>
      </c>
      <c r="M15" s="461">
        <f t="shared" si="2"/>
        <v>0</v>
      </c>
      <c r="N15" s="695"/>
      <c r="O15" s="1685"/>
      <c r="P15" s="695"/>
      <c r="Q15" s="134"/>
      <c r="R15" s="739"/>
      <c r="S15" s="740"/>
      <c r="T15" s="3087"/>
      <c r="U15" s="3088"/>
      <c r="V15" s="3088"/>
      <c r="W15" s="3089"/>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903" t="str">
        <f t="shared" si="213"/>
        <v/>
      </c>
      <c r="IA15" s="1903" t="str">
        <f t="shared" si="214"/>
        <v/>
      </c>
      <c r="IB15" s="1903" t="str">
        <f t="shared" si="215"/>
        <v/>
      </c>
      <c r="IC15" s="1903" t="str">
        <f t="shared" si="216"/>
        <v/>
      </c>
      <c r="ID15" s="1903" t="str">
        <f t="shared" si="217"/>
        <v/>
      </c>
      <c r="IE15" s="1903" t="str">
        <f t="shared" si="218"/>
        <v/>
      </c>
      <c r="IF15" s="1903" t="str">
        <f t="shared" si="219"/>
        <v/>
      </c>
      <c r="IG15" s="1903" t="str">
        <f t="shared" si="220"/>
        <v/>
      </c>
      <c r="IH15" s="1903" t="str">
        <f t="shared" si="221"/>
        <v/>
      </c>
      <c r="II15" s="1903" t="str">
        <f t="shared" si="222"/>
        <v/>
      </c>
      <c r="IJ15" s="1903" t="str">
        <f t="shared" si="223"/>
        <v/>
      </c>
      <c r="IK15" s="1903" t="str">
        <f t="shared" si="224"/>
        <v/>
      </c>
      <c r="IL15" s="1903" t="str">
        <f t="shared" si="225"/>
        <v/>
      </c>
      <c r="IM15" s="1903" t="str">
        <f t="shared" si="226"/>
        <v/>
      </c>
      <c r="IN15" s="1903" t="str">
        <f t="shared" si="227"/>
        <v/>
      </c>
      <c r="IO15" s="1903" t="str">
        <f t="shared" si="228"/>
        <v/>
      </c>
      <c r="IP15" s="1903" t="str">
        <f t="shared" si="229"/>
        <v/>
      </c>
      <c r="IQ15" s="1903" t="str">
        <f t="shared" si="230"/>
        <v/>
      </c>
      <c r="IR15" s="1903" t="str">
        <f t="shared" si="231"/>
        <v/>
      </c>
      <c r="IS15" s="1903" t="str">
        <f t="shared" si="232"/>
        <v/>
      </c>
      <c r="IT15" s="1903" t="str">
        <f t="shared" si="233"/>
        <v/>
      </c>
      <c r="IU15" s="1903" t="str">
        <f t="shared" si="234"/>
        <v/>
      </c>
      <c r="IV15" s="1903" t="str">
        <f t="shared" si="235"/>
        <v/>
      </c>
      <c r="IW15" s="1903" t="str">
        <f t="shared" si="236"/>
        <v/>
      </c>
      <c r="IX15" s="1903" t="str">
        <f t="shared" si="237"/>
        <v/>
      </c>
      <c r="IY15" s="1903" t="str">
        <f t="shared" si="238"/>
        <v/>
      </c>
      <c r="IZ15" s="1903" t="str">
        <f t="shared" si="239"/>
        <v/>
      </c>
      <c r="JA15" s="1903" t="str">
        <f t="shared" si="240"/>
        <v/>
      </c>
      <c r="JB15" s="1903" t="str">
        <f t="shared" si="241"/>
        <v/>
      </c>
      <c r="JC15" s="1903" t="str">
        <f t="shared" si="242"/>
        <v/>
      </c>
      <c r="JD15" s="1903" t="str">
        <f t="shared" si="243"/>
        <v/>
      </c>
      <c r="JE15" s="1903" t="str">
        <f t="shared" si="244"/>
        <v/>
      </c>
      <c r="JF15" s="1903" t="str">
        <f t="shared" si="245"/>
        <v/>
      </c>
      <c r="JG15" s="1903" t="str">
        <f t="shared" si="246"/>
        <v/>
      </c>
      <c r="JH15" s="1903" t="str">
        <f t="shared" si="247"/>
        <v/>
      </c>
      <c r="JI15" s="1903" t="str">
        <f t="shared" si="248"/>
        <v/>
      </c>
      <c r="JJ15" s="1903" t="str">
        <f t="shared" si="249"/>
        <v/>
      </c>
      <c r="JK15" s="1903" t="str">
        <f t="shared" si="250"/>
        <v/>
      </c>
      <c r="JL15" s="1903" t="str">
        <f t="shared" si="251"/>
        <v/>
      </c>
      <c r="JM15" s="1903" t="str">
        <f t="shared" si="252"/>
        <v/>
      </c>
      <c r="JN15" s="1903" t="str">
        <f t="shared" si="253"/>
        <v/>
      </c>
      <c r="JO15" s="1903" t="str">
        <f t="shared" si="254"/>
        <v/>
      </c>
      <c r="JP15" s="1903" t="str">
        <f t="shared" si="255"/>
        <v/>
      </c>
      <c r="JQ15" s="1903" t="str">
        <f t="shared" si="256"/>
        <v/>
      </c>
      <c r="JR15" s="1903" t="str">
        <f t="shared" si="257"/>
        <v/>
      </c>
      <c r="JS15" s="1903" t="str">
        <f t="shared" si="258"/>
        <v/>
      </c>
      <c r="JT15" s="1903" t="str">
        <f t="shared" si="259"/>
        <v/>
      </c>
      <c r="JU15" s="1903" t="str">
        <f t="shared" si="260"/>
        <v/>
      </c>
      <c r="JV15" s="1903" t="str">
        <f t="shared" si="261"/>
        <v/>
      </c>
      <c r="JW15" s="1903" t="str">
        <f t="shared" si="262"/>
        <v/>
      </c>
      <c r="JX15" s="1903" t="str">
        <f t="shared" si="263"/>
        <v/>
      </c>
      <c r="JY15" s="1903" t="str">
        <f t="shared" si="264"/>
        <v/>
      </c>
      <c r="JZ15" s="1903" t="str">
        <f t="shared" si="265"/>
        <v/>
      </c>
      <c r="KA15" s="1903" t="str">
        <f t="shared" si="266"/>
        <v/>
      </c>
      <c r="KB15" s="1903" t="str">
        <f t="shared" si="267"/>
        <v/>
      </c>
      <c r="KC15" s="1903" t="str">
        <f t="shared" si="268"/>
        <v/>
      </c>
      <c r="KD15" s="1903" t="str">
        <f t="shared" si="269"/>
        <v/>
      </c>
      <c r="KE15" s="1903" t="str">
        <f t="shared" si="270"/>
        <v/>
      </c>
      <c r="KF15" s="1903" t="str">
        <f t="shared" si="271"/>
        <v/>
      </c>
      <c r="KG15" s="1903" t="str">
        <f t="shared" si="272"/>
        <v/>
      </c>
      <c r="KH15" s="1903" t="str">
        <f t="shared" si="273"/>
        <v/>
      </c>
      <c r="KI15" s="1903" t="str">
        <f t="shared" si="274"/>
        <v/>
      </c>
      <c r="KJ15" s="1903" t="str">
        <f t="shared" si="275"/>
        <v/>
      </c>
      <c r="KK15" s="1903" t="str">
        <f t="shared" si="276"/>
        <v/>
      </c>
      <c r="KL15" s="1903" t="str">
        <f t="shared" si="277"/>
        <v/>
      </c>
      <c r="KM15" s="1903" t="str">
        <f t="shared" si="278"/>
        <v/>
      </c>
      <c r="KN15" s="1903" t="str">
        <f t="shared" si="279"/>
        <v/>
      </c>
      <c r="KO15" s="1903" t="str">
        <f t="shared" si="280"/>
        <v/>
      </c>
      <c r="KP15" s="1903" t="str">
        <f t="shared" si="281"/>
        <v/>
      </c>
      <c r="KQ15" s="1903" t="str">
        <f t="shared" si="282"/>
        <v/>
      </c>
      <c r="KR15" s="1903" t="str">
        <f t="shared" si="283"/>
        <v/>
      </c>
      <c r="KS15" s="1903" t="str">
        <f t="shared" si="284"/>
        <v/>
      </c>
      <c r="KT15" s="1903" t="str">
        <f t="shared" si="285"/>
        <v/>
      </c>
      <c r="KU15" s="1903" t="str">
        <f t="shared" si="286"/>
        <v/>
      </c>
      <c r="KV15" s="1903" t="str">
        <f t="shared" si="287"/>
        <v/>
      </c>
      <c r="KW15" s="1903" t="str">
        <f t="shared" si="288"/>
        <v/>
      </c>
      <c r="KX15" s="1903" t="str">
        <f t="shared" si="289"/>
        <v/>
      </c>
      <c r="KY15" s="1903" t="str">
        <f t="shared" si="290"/>
        <v/>
      </c>
      <c r="KZ15" s="1903" t="str">
        <f t="shared" si="291"/>
        <v/>
      </c>
      <c r="LA15" s="1903" t="str">
        <f t="shared" si="292"/>
        <v/>
      </c>
      <c r="LB15" s="1903" t="str">
        <f t="shared" si="293"/>
        <v/>
      </c>
      <c r="LC15" s="1903" t="str">
        <f t="shared" si="294"/>
        <v/>
      </c>
      <c r="LD15" s="1903" t="str">
        <f t="shared" si="295"/>
        <v/>
      </c>
      <c r="LE15" s="1903" t="str">
        <f t="shared" si="296"/>
        <v/>
      </c>
      <c r="LF15" s="1903" t="str">
        <f t="shared" si="297"/>
        <v/>
      </c>
      <c r="LG15" s="1892" t="str">
        <f t="shared" si="298"/>
        <v/>
      </c>
      <c r="LH15" s="1892" t="str">
        <f t="shared" si="299"/>
        <v/>
      </c>
      <c r="LI15" s="1892" t="str">
        <f t="shared" si="300"/>
        <v/>
      </c>
      <c r="LJ15" s="1892" t="str">
        <f t="shared" si="301"/>
        <v/>
      </c>
      <c r="LK15" s="1892"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50">
        <f t="shared" si="323"/>
        <v>0</v>
      </c>
      <c r="MG15" s="1750">
        <f t="shared" si="324"/>
        <v>0</v>
      </c>
      <c r="MH15" s="1750">
        <f t="shared" si="325"/>
        <v>0</v>
      </c>
      <c r="MI15" s="1750">
        <f t="shared" si="326"/>
        <v>0</v>
      </c>
      <c r="MJ15" s="1750">
        <f t="shared" si="327"/>
        <v>0</v>
      </c>
      <c r="MK15" s="1750">
        <f t="shared" si="333"/>
        <v>0</v>
      </c>
      <c r="ML15" s="1750">
        <f t="shared" si="334"/>
        <v>0</v>
      </c>
      <c r="MM15" s="1750">
        <f t="shared" si="335"/>
        <v>0</v>
      </c>
      <c r="MN15" s="1750">
        <f t="shared" si="336"/>
        <v>0</v>
      </c>
      <c r="MO15" s="1750">
        <f t="shared" si="337"/>
        <v>0</v>
      </c>
      <c r="MP15" s="1750">
        <f t="shared" si="328"/>
        <v>0</v>
      </c>
      <c r="MQ15" s="1750">
        <f t="shared" si="329"/>
        <v>0</v>
      </c>
      <c r="MR15" s="1750">
        <f t="shared" si="330"/>
        <v>0</v>
      </c>
      <c r="MS15" s="1750">
        <f t="shared" si="331"/>
        <v>0</v>
      </c>
      <c r="MT15" s="1750">
        <f t="shared" si="332"/>
        <v>0</v>
      </c>
      <c r="NP15" s="1721" t="s">
        <v>6418</v>
      </c>
    </row>
    <row r="16" spans="1:493" ht="13.9" customHeight="1">
      <c r="A16" s="86" t="str">
        <f t="shared" si="0"/>
        <v/>
      </c>
      <c r="B16" s="1083" t="s">
        <v>290</v>
      </c>
      <c r="C16" s="132"/>
      <c r="D16" s="1753"/>
      <c r="E16" s="133"/>
      <c r="F16" s="133"/>
      <c r="G16" s="133"/>
      <c r="H16" s="133"/>
      <c r="I16" s="133"/>
      <c r="J16" s="1432"/>
      <c r="K16" s="644"/>
      <c r="L16" s="461">
        <f t="shared" si="1"/>
        <v>0</v>
      </c>
      <c r="M16" s="461">
        <f t="shared" si="2"/>
        <v>0</v>
      </c>
      <c r="N16" s="695"/>
      <c r="O16" s="1685"/>
      <c r="P16" s="695"/>
      <c r="Q16" s="134"/>
      <c r="R16" s="739"/>
      <c r="S16" s="740"/>
      <c r="T16" s="3087"/>
      <c r="U16" s="3088"/>
      <c r="V16" s="3088"/>
      <c r="W16" s="3089"/>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903" t="str">
        <f t="shared" si="213"/>
        <v/>
      </c>
      <c r="IA16" s="1903" t="str">
        <f t="shared" si="214"/>
        <v/>
      </c>
      <c r="IB16" s="1903" t="str">
        <f t="shared" si="215"/>
        <v/>
      </c>
      <c r="IC16" s="1903" t="str">
        <f t="shared" si="216"/>
        <v/>
      </c>
      <c r="ID16" s="1903" t="str">
        <f t="shared" si="217"/>
        <v/>
      </c>
      <c r="IE16" s="1903" t="str">
        <f t="shared" si="218"/>
        <v/>
      </c>
      <c r="IF16" s="1903" t="str">
        <f t="shared" si="219"/>
        <v/>
      </c>
      <c r="IG16" s="1903" t="str">
        <f t="shared" si="220"/>
        <v/>
      </c>
      <c r="IH16" s="1903" t="str">
        <f t="shared" si="221"/>
        <v/>
      </c>
      <c r="II16" s="1903" t="str">
        <f t="shared" si="222"/>
        <v/>
      </c>
      <c r="IJ16" s="1903" t="str">
        <f t="shared" si="223"/>
        <v/>
      </c>
      <c r="IK16" s="1903" t="str">
        <f t="shared" si="224"/>
        <v/>
      </c>
      <c r="IL16" s="1903" t="str">
        <f t="shared" si="225"/>
        <v/>
      </c>
      <c r="IM16" s="1903" t="str">
        <f t="shared" si="226"/>
        <v/>
      </c>
      <c r="IN16" s="1903" t="str">
        <f t="shared" si="227"/>
        <v/>
      </c>
      <c r="IO16" s="1903" t="str">
        <f t="shared" si="228"/>
        <v/>
      </c>
      <c r="IP16" s="1903" t="str">
        <f t="shared" si="229"/>
        <v/>
      </c>
      <c r="IQ16" s="1903" t="str">
        <f t="shared" si="230"/>
        <v/>
      </c>
      <c r="IR16" s="1903" t="str">
        <f t="shared" si="231"/>
        <v/>
      </c>
      <c r="IS16" s="1903" t="str">
        <f t="shared" si="232"/>
        <v/>
      </c>
      <c r="IT16" s="1903" t="str">
        <f t="shared" si="233"/>
        <v/>
      </c>
      <c r="IU16" s="1903" t="str">
        <f t="shared" si="234"/>
        <v/>
      </c>
      <c r="IV16" s="1903" t="str">
        <f t="shared" si="235"/>
        <v/>
      </c>
      <c r="IW16" s="1903" t="str">
        <f t="shared" si="236"/>
        <v/>
      </c>
      <c r="IX16" s="1903" t="str">
        <f t="shared" si="237"/>
        <v/>
      </c>
      <c r="IY16" s="1903" t="str">
        <f t="shared" si="238"/>
        <v/>
      </c>
      <c r="IZ16" s="1903" t="str">
        <f t="shared" si="239"/>
        <v/>
      </c>
      <c r="JA16" s="1903" t="str">
        <f t="shared" si="240"/>
        <v/>
      </c>
      <c r="JB16" s="1903" t="str">
        <f t="shared" si="241"/>
        <v/>
      </c>
      <c r="JC16" s="1903" t="str">
        <f t="shared" si="242"/>
        <v/>
      </c>
      <c r="JD16" s="1903" t="str">
        <f t="shared" si="243"/>
        <v/>
      </c>
      <c r="JE16" s="1903" t="str">
        <f t="shared" si="244"/>
        <v/>
      </c>
      <c r="JF16" s="1903" t="str">
        <f t="shared" si="245"/>
        <v/>
      </c>
      <c r="JG16" s="1903" t="str">
        <f t="shared" si="246"/>
        <v/>
      </c>
      <c r="JH16" s="1903" t="str">
        <f t="shared" si="247"/>
        <v/>
      </c>
      <c r="JI16" s="1903" t="str">
        <f t="shared" si="248"/>
        <v/>
      </c>
      <c r="JJ16" s="1903" t="str">
        <f t="shared" si="249"/>
        <v/>
      </c>
      <c r="JK16" s="1903" t="str">
        <f t="shared" si="250"/>
        <v/>
      </c>
      <c r="JL16" s="1903" t="str">
        <f t="shared" si="251"/>
        <v/>
      </c>
      <c r="JM16" s="1903" t="str">
        <f t="shared" si="252"/>
        <v/>
      </c>
      <c r="JN16" s="1903" t="str">
        <f t="shared" si="253"/>
        <v/>
      </c>
      <c r="JO16" s="1903" t="str">
        <f t="shared" si="254"/>
        <v/>
      </c>
      <c r="JP16" s="1903" t="str">
        <f t="shared" si="255"/>
        <v/>
      </c>
      <c r="JQ16" s="1903" t="str">
        <f t="shared" si="256"/>
        <v/>
      </c>
      <c r="JR16" s="1903" t="str">
        <f t="shared" si="257"/>
        <v/>
      </c>
      <c r="JS16" s="1903" t="str">
        <f t="shared" si="258"/>
        <v/>
      </c>
      <c r="JT16" s="1903" t="str">
        <f t="shared" si="259"/>
        <v/>
      </c>
      <c r="JU16" s="1903" t="str">
        <f t="shared" si="260"/>
        <v/>
      </c>
      <c r="JV16" s="1903" t="str">
        <f t="shared" si="261"/>
        <v/>
      </c>
      <c r="JW16" s="1903" t="str">
        <f t="shared" si="262"/>
        <v/>
      </c>
      <c r="JX16" s="1903" t="str">
        <f t="shared" si="263"/>
        <v/>
      </c>
      <c r="JY16" s="1903" t="str">
        <f t="shared" si="264"/>
        <v/>
      </c>
      <c r="JZ16" s="1903" t="str">
        <f t="shared" si="265"/>
        <v/>
      </c>
      <c r="KA16" s="1903" t="str">
        <f t="shared" si="266"/>
        <v/>
      </c>
      <c r="KB16" s="1903" t="str">
        <f t="shared" si="267"/>
        <v/>
      </c>
      <c r="KC16" s="1903" t="str">
        <f t="shared" si="268"/>
        <v/>
      </c>
      <c r="KD16" s="1903" t="str">
        <f t="shared" si="269"/>
        <v/>
      </c>
      <c r="KE16" s="1903" t="str">
        <f t="shared" si="270"/>
        <v/>
      </c>
      <c r="KF16" s="1903" t="str">
        <f t="shared" si="271"/>
        <v/>
      </c>
      <c r="KG16" s="1903" t="str">
        <f t="shared" si="272"/>
        <v/>
      </c>
      <c r="KH16" s="1903" t="str">
        <f t="shared" si="273"/>
        <v/>
      </c>
      <c r="KI16" s="1903" t="str">
        <f t="shared" si="274"/>
        <v/>
      </c>
      <c r="KJ16" s="1903" t="str">
        <f t="shared" si="275"/>
        <v/>
      </c>
      <c r="KK16" s="1903" t="str">
        <f t="shared" si="276"/>
        <v/>
      </c>
      <c r="KL16" s="1903" t="str">
        <f t="shared" si="277"/>
        <v/>
      </c>
      <c r="KM16" s="1903" t="str">
        <f t="shared" si="278"/>
        <v/>
      </c>
      <c r="KN16" s="1903" t="str">
        <f t="shared" si="279"/>
        <v/>
      </c>
      <c r="KO16" s="1903" t="str">
        <f t="shared" si="280"/>
        <v/>
      </c>
      <c r="KP16" s="1903" t="str">
        <f t="shared" si="281"/>
        <v/>
      </c>
      <c r="KQ16" s="1903" t="str">
        <f t="shared" si="282"/>
        <v/>
      </c>
      <c r="KR16" s="1903" t="str">
        <f t="shared" si="283"/>
        <v/>
      </c>
      <c r="KS16" s="1903" t="str">
        <f t="shared" si="284"/>
        <v/>
      </c>
      <c r="KT16" s="1903" t="str">
        <f t="shared" si="285"/>
        <v/>
      </c>
      <c r="KU16" s="1903" t="str">
        <f t="shared" si="286"/>
        <v/>
      </c>
      <c r="KV16" s="1903" t="str">
        <f t="shared" si="287"/>
        <v/>
      </c>
      <c r="KW16" s="1903" t="str">
        <f t="shared" si="288"/>
        <v/>
      </c>
      <c r="KX16" s="1903" t="str">
        <f t="shared" si="289"/>
        <v/>
      </c>
      <c r="KY16" s="1903" t="str">
        <f t="shared" si="290"/>
        <v/>
      </c>
      <c r="KZ16" s="1903" t="str">
        <f t="shared" si="291"/>
        <v/>
      </c>
      <c r="LA16" s="1903" t="str">
        <f t="shared" si="292"/>
        <v/>
      </c>
      <c r="LB16" s="1903" t="str">
        <f t="shared" si="293"/>
        <v/>
      </c>
      <c r="LC16" s="1903" t="str">
        <f t="shared" si="294"/>
        <v/>
      </c>
      <c r="LD16" s="1903" t="str">
        <f t="shared" si="295"/>
        <v/>
      </c>
      <c r="LE16" s="1903" t="str">
        <f t="shared" si="296"/>
        <v/>
      </c>
      <c r="LF16" s="1903" t="str">
        <f t="shared" si="297"/>
        <v/>
      </c>
      <c r="LG16" s="1892" t="str">
        <f t="shared" si="298"/>
        <v/>
      </c>
      <c r="LH16" s="1892" t="str">
        <f t="shared" si="299"/>
        <v/>
      </c>
      <c r="LI16" s="1892" t="str">
        <f t="shared" si="300"/>
        <v/>
      </c>
      <c r="LJ16" s="1892" t="str">
        <f t="shared" si="301"/>
        <v/>
      </c>
      <c r="LK16" s="1892"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50">
        <f t="shared" si="323"/>
        <v>0</v>
      </c>
      <c r="MG16" s="1750">
        <f t="shared" si="324"/>
        <v>0</v>
      </c>
      <c r="MH16" s="1750">
        <f t="shared" si="325"/>
        <v>0</v>
      </c>
      <c r="MI16" s="1750">
        <f t="shared" si="326"/>
        <v>0</v>
      </c>
      <c r="MJ16" s="1750">
        <f t="shared" si="327"/>
        <v>0</v>
      </c>
      <c r="MK16" s="1750">
        <f t="shared" si="333"/>
        <v>0</v>
      </c>
      <c r="ML16" s="1750">
        <f t="shared" si="334"/>
        <v>0</v>
      </c>
      <c r="MM16" s="1750">
        <f t="shared" si="335"/>
        <v>0</v>
      </c>
      <c r="MN16" s="1750">
        <f t="shared" si="336"/>
        <v>0</v>
      </c>
      <c r="MO16" s="1750">
        <f t="shared" si="337"/>
        <v>0</v>
      </c>
      <c r="MP16" s="1750">
        <f t="shared" si="328"/>
        <v>0</v>
      </c>
      <c r="MQ16" s="1750">
        <f t="shared" si="329"/>
        <v>0</v>
      </c>
      <c r="MR16" s="1750">
        <f t="shared" si="330"/>
        <v>0</v>
      </c>
      <c r="MS16" s="1750">
        <f t="shared" si="331"/>
        <v>0</v>
      </c>
      <c r="MT16" s="1750">
        <f t="shared" si="332"/>
        <v>0</v>
      </c>
      <c r="NP16" s="1721" t="s">
        <v>6419</v>
      </c>
    </row>
    <row r="17" spans="1:380" ht="13.9" customHeight="1" thickBot="1">
      <c r="A17" s="86" t="str">
        <f t="shared" si="0"/>
        <v/>
      </c>
      <c r="B17" s="1084" t="s">
        <v>290</v>
      </c>
      <c r="C17" s="1087"/>
      <c r="D17" s="1754"/>
      <c r="E17" s="1088"/>
      <c r="F17" s="1088"/>
      <c r="G17" s="1088"/>
      <c r="H17" s="1088"/>
      <c r="I17" s="1088"/>
      <c r="J17" s="1433"/>
      <c r="K17" s="1107"/>
      <c r="L17" s="1108">
        <f t="shared" si="1"/>
        <v>0</v>
      </c>
      <c r="M17" s="1108">
        <f t="shared" si="2"/>
        <v>0</v>
      </c>
      <c r="N17" s="1109"/>
      <c r="O17" s="1686"/>
      <c r="P17" s="1109"/>
      <c r="Q17" s="1110"/>
      <c r="R17" s="739"/>
      <c r="S17" s="740"/>
      <c r="T17" s="3087"/>
      <c r="U17" s="3088"/>
      <c r="V17" s="3088"/>
      <c r="W17" s="3089"/>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903" t="str">
        <f t="shared" si="213"/>
        <v/>
      </c>
      <c r="IA17" s="1903" t="str">
        <f t="shared" si="214"/>
        <v/>
      </c>
      <c r="IB17" s="1903" t="str">
        <f t="shared" si="215"/>
        <v/>
      </c>
      <c r="IC17" s="1903" t="str">
        <f t="shared" si="216"/>
        <v/>
      </c>
      <c r="ID17" s="1903" t="str">
        <f t="shared" si="217"/>
        <v/>
      </c>
      <c r="IE17" s="1903" t="str">
        <f t="shared" si="218"/>
        <v/>
      </c>
      <c r="IF17" s="1903" t="str">
        <f t="shared" si="219"/>
        <v/>
      </c>
      <c r="IG17" s="1903" t="str">
        <f t="shared" si="220"/>
        <v/>
      </c>
      <c r="IH17" s="1903" t="str">
        <f t="shared" si="221"/>
        <v/>
      </c>
      <c r="II17" s="1903" t="str">
        <f t="shared" si="222"/>
        <v/>
      </c>
      <c r="IJ17" s="1903" t="str">
        <f t="shared" si="223"/>
        <v/>
      </c>
      <c r="IK17" s="1903" t="str">
        <f t="shared" si="224"/>
        <v/>
      </c>
      <c r="IL17" s="1903" t="str">
        <f t="shared" si="225"/>
        <v/>
      </c>
      <c r="IM17" s="1903" t="str">
        <f t="shared" si="226"/>
        <v/>
      </c>
      <c r="IN17" s="1903" t="str">
        <f t="shared" si="227"/>
        <v/>
      </c>
      <c r="IO17" s="1903" t="str">
        <f t="shared" si="228"/>
        <v/>
      </c>
      <c r="IP17" s="1903" t="str">
        <f t="shared" si="229"/>
        <v/>
      </c>
      <c r="IQ17" s="1903" t="str">
        <f t="shared" si="230"/>
        <v/>
      </c>
      <c r="IR17" s="1903" t="str">
        <f t="shared" si="231"/>
        <v/>
      </c>
      <c r="IS17" s="1903" t="str">
        <f t="shared" si="232"/>
        <v/>
      </c>
      <c r="IT17" s="1903" t="str">
        <f t="shared" si="233"/>
        <v/>
      </c>
      <c r="IU17" s="1903" t="str">
        <f t="shared" si="234"/>
        <v/>
      </c>
      <c r="IV17" s="1903" t="str">
        <f t="shared" si="235"/>
        <v/>
      </c>
      <c r="IW17" s="1903" t="str">
        <f t="shared" si="236"/>
        <v/>
      </c>
      <c r="IX17" s="1903" t="str">
        <f t="shared" si="237"/>
        <v/>
      </c>
      <c r="IY17" s="1903" t="str">
        <f t="shared" si="238"/>
        <v/>
      </c>
      <c r="IZ17" s="1903" t="str">
        <f t="shared" si="239"/>
        <v/>
      </c>
      <c r="JA17" s="1903" t="str">
        <f t="shared" si="240"/>
        <v/>
      </c>
      <c r="JB17" s="1903" t="str">
        <f t="shared" si="241"/>
        <v/>
      </c>
      <c r="JC17" s="1903" t="str">
        <f t="shared" si="242"/>
        <v/>
      </c>
      <c r="JD17" s="1903" t="str">
        <f t="shared" si="243"/>
        <v/>
      </c>
      <c r="JE17" s="1903" t="str">
        <f t="shared" si="244"/>
        <v/>
      </c>
      <c r="JF17" s="1903" t="str">
        <f t="shared" si="245"/>
        <v/>
      </c>
      <c r="JG17" s="1903" t="str">
        <f t="shared" si="246"/>
        <v/>
      </c>
      <c r="JH17" s="1903" t="str">
        <f t="shared" si="247"/>
        <v/>
      </c>
      <c r="JI17" s="1903" t="str">
        <f t="shared" si="248"/>
        <v/>
      </c>
      <c r="JJ17" s="1903" t="str">
        <f t="shared" si="249"/>
        <v/>
      </c>
      <c r="JK17" s="1903" t="str">
        <f t="shared" si="250"/>
        <v/>
      </c>
      <c r="JL17" s="1903" t="str">
        <f t="shared" si="251"/>
        <v/>
      </c>
      <c r="JM17" s="1903" t="str">
        <f t="shared" si="252"/>
        <v/>
      </c>
      <c r="JN17" s="1903" t="str">
        <f t="shared" si="253"/>
        <v/>
      </c>
      <c r="JO17" s="1903" t="str">
        <f t="shared" si="254"/>
        <v/>
      </c>
      <c r="JP17" s="1903" t="str">
        <f t="shared" si="255"/>
        <v/>
      </c>
      <c r="JQ17" s="1903" t="str">
        <f t="shared" si="256"/>
        <v/>
      </c>
      <c r="JR17" s="1903" t="str">
        <f t="shared" si="257"/>
        <v/>
      </c>
      <c r="JS17" s="1903" t="str">
        <f t="shared" si="258"/>
        <v/>
      </c>
      <c r="JT17" s="1903" t="str">
        <f t="shared" si="259"/>
        <v/>
      </c>
      <c r="JU17" s="1903" t="str">
        <f t="shared" si="260"/>
        <v/>
      </c>
      <c r="JV17" s="1903" t="str">
        <f t="shared" si="261"/>
        <v/>
      </c>
      <c r="JW17" s="1903" t="str">
        <f t="shared" si="262"/>
        <v/>
      </c>
      <c r="JX17" s="1903" t="str">
        <f t="shared" si="263"/>
        <v/>
      </c>
      <c r="JY17" s="1903" t="str">
        <f t="shared" si="264"/>
        <v/>
      </c>
      <c r="JZ17" s="1903" t="str">
        <f t="shared" si="265"/>
        <v/>
      </c>
      <c r="KA17" s="1903" t="str">
        <f t="shared" si="266"/>
        <v/>
      </c>
      <c r="KB17" s="1903" t="str">
        <f t="shared" si="267"/>
        <v/>
      </c>
      <c r="KC17" s="1903" t="str">
        <f t="shared" si="268"/>
        <v/>
      </c>
      <c r="KD17" s="1903" t="str">
        <f t="shared" si="269"/>
        <v/>
      </c>
      <c r="KE17" s="1903" t="str">
        <f t="shared" si="270"/>
        <v/>
      </c>
      <c r="KF17" s="1903" t="str">
        <f t="shared" si="271"/>
        <v/>
      </c>
      <c r="KG17" s="1903" t="str">
        <f t="shared" si="272"/>
        <v/>
      </c>
      <c r="KH17" s="1903" t="str">
        <f t="shared" si="273"/>
        <v/>
      </c>
      <c r="KI17" s="1903" t="str">
        <f t="shared" si="274"/>
        <v/>
      </c>
      <c r="KJ17" s="1903" t="str">
        <f t="shared" si="275"/>
        <v/>
      </c>
      <c r="KK17" s="1903" t="str">
        <f t="shared" si="276"/>
        <v/>
      </c>
      <c r="KL17" s="1903" t="str">
        <f t="shared" si="277"/>
        <v/>
      </c>
      <c r="KM17" s="1903" t="str">
        <f t="shared" si="278"/>
        <v/>
      </c>
      <c r="KN17" s="1903" t="str">
        <f t="shared" si="279"/>
        <v/>
      </c>
      <c r="KO17" s="1903" t="str">
        <f t="shared" si="280"/>
        <v/>
      </c>
      <c r="KP17" s="1903" t="str">
        <f t="shared" si="281"/>
        <v/>
      </c>
      <c r="KQ17" s="1903" t="str">
        <f t="shared" si="282"/>
        <v/>
      </c>
      <c r="KR17" s="1903" t="str">
        <f t="shared" si="283"/>
        <v/>
      </c>
      <c r="KS17" s="1903" t="str">
        <f t="shared" si="284"/>
        <v/>
      </c>
      <c r="KT17" s="1903" t="str">
        <f t="shared" si="285"/>
        <v/>
      </c>
      <c r="KU17" s="1903" t="str">
        <f t="shared" si="286"/>
        <v/>
      </c>
      <c r="KV17" s="1903" t="str">
        <f t="shared" si="287"/>
        <v/>
      </c>
      <c r="KW17" s="1903" t="str">
        <f t="shared" si="288"/>
        <v/>
      </c>
      <c r="KX17" s="1903" t="str">
        <f t="shared" si="289"/>
        <v/>
      </c>
      <c r="KY17" s="1903" t="str">
        <f t="shared" si="290"/>
        <v/>
      </c>
      <c r="KZ17" s="1903" t="str">
        <f t="shared" si="291"/>
        <v/>
      </c>
      <c r="LA17" s="1903" t="str">
        <f t="shared" si="292"/>
        <v/>
      </c>
      <c r="LB17" s="1903" t="str">
        <f t="shared" si="293"/>
        <v/>
      </c>
      <c r="LC17" s="1903" t="str">
        <f t="shared" si="294"/>
        <v/>
      </c>
      <c r="LD17" s="1903" t="str">
        <f t="shared" si="295"/>
        <v/>
      </c>
      <c r="LE17" s="1903" t="str">
        <f t="shared" si="296"/>
        <v/>
      </c>
      <c r="LF17" s="1903" t="str">
        <f t="shared" si="297"/>
        <v/>
      </c>
      <c r="LG17" s="1892" t="str">
        <f t="shared" si="298"/>
        <v/>
      </c>
      <c r="LH17" s="1892" t="str">
        <f t="shared" si="299"/>
        <v/>
      </c>
      <c r="LI17" s="1892" t="str">
        <f t="shared" si="300"/>
        <v/>
      </c>
      <c r="LJ17" s="1892" t="str">
        <f t="shared" si="301"/>
        <v/>
      </c>
      <c r="LK17" s="1892"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50">
        <f t="shared" si="323"/>
        <v>0</v>
      </c>
      <c r="MG17" s="1750">
        <f t="shared" si="324"/>
        <v>0</v>
      </c>
      <c r="MH17" s="1750">
        <f t="shared" si="325"/>
        <v>0</v>
      </c>
      <c r="MI17" s="1750">
        <f t="shared" si="326"/>
        <v>0</v>
      </c>
      <c r="MJ17" s="1750">
        <f t="shared" si="327"/>
        <v>0</v>
      </c>
      <c r="MK17" s="1750">
        <f t="shared" si="333"/>
        <v>0</v>
      </c>
      <c r="ML17" s="1750">
        <f t="shared" si="334"/>
        <v>0</v>
      </c>
      <c r="MM17" s="1750">
        <f t="shared" si="335"/>
        <v>0</v>
      </c>
      <c r="MN17" s="1750">
        <f t="shared" si="336"/>
        <v>0</v>
      </c>
      <c r="MO17" s="1750">
        <f t="shared" si="337"/>
        <v>0</v>
      </c>
      <c r="MP17" s="1750">
        <f t="shared" si="328"/>
        <v>0</v>
      </c>
      <c r="MQ17" s="1750">
        <f t="shared" si="329"/>
        <v>0</v>
      </c>
      <c r="MR17" s="1750">
        <f t="shared" si="330"/>
        <v>0</v>
      </c>
      <c r="MS17" s="1750">
        <f t="shared" si="331"/>
        <v>0</v>
      </c>
      <c r="MT17" s="1750">
        <f t="shared" si="332"/>
        <v>0</v>
      </c>
      <c r="NP17" s="1721" t="s">
        <v>6420</v>
      </c>
    </row>
    <row r="18" spans="1:380" ht="13.9" customHeight="1">
      <c r="A18" s="86" t="str">
        <f t="shared" si="0"/>
        <v/>
      </c>
      <c r="B18" s="1120">
        <v>30</v>
      </c>
      <c r="C18" s="1085">
        <v>1</v>
      </c>
      <c r="D18" s="1755">
        <v>1</v>
      </c>
      <c r="E18" s="1086">
        <v>4</v>
      </c>
      <c r="F18" s="1086">
        <v>845</v>
      </c>
      <c r="G18" s="1086">
        <v>492</v>
      </c>
      <c r="H18" s="1086">
        <v>492</v>
      </c>
      <c r="I18" s="1086">
        <v>0</v>
      </c>
      <c r="J18" s="1102">
        <f>IF(C18="",0,HLOOKUP(C18,'Part IV-Utility Allowances'!$I$11:$M$22,12))</f>
        <v>60</v>
      </c>
      <c r="K18" s="1103"/>
      <c r="L18" s="1104">
        <f t="shared" si="1"/>
        <v>432</v>
      </c>
      <c r="M18" s="1104">
        <f t="shared" si="2"/>
        <v>1728</v>
      </c>
      <c r="N18" s="1105" t="s">
        <v>2655</v>
      </c>
      <c r="O18" s="1687" t="s">
        <v>6300</v>
      </c>
      <c r="P18" s="1105" t="s">
        <v>2121</v>
      </c>
      <c r="Q18" s="1106" t="s">
        <v>2655</v>
      </c>
      <c r="R18" s="739"/>
      <c r="S18" s="740"/>
      <c r="T18" s="3087"/>
      <c r="U18" s="3088"/>
      <c r="V18" s="3088"/>
      <c r="W18" s="3089"/>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f t="shared" si="29"/>
        <v>4</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f t="shared" si="144"/>
        <v>3380</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4</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903" t="str">
        <f t="shared" si="213"/>
        <v/>
      </c>
      <c r="IA18" s="1903">
        <f t="shared" si="214"/>
        <v>4</v>
      </c>
      <c r="IB18" s="1903" t="str">
        <f t="shared" si="215"/>
        <v/>
      </c>
      <c r="IC18" s="1903" t="str">
        <f t="shared" si="216"/>
        <v/>
      </c>
      <c r="ID18" s="1903" t="str">
        <f t="shared" si="217"/>
        <v/>
      </c>
      <c r="IE18" s="1903" t="str">
        <f t="shared" si="218"/>
        <v/>
      </c>
      <c r="IF18" s="1903" t="str">
        <f t="shared" si="219"/>
        <v/>
      </c>
      <c r="IG18" s="1903" t="str">
        <f t="shared" si="220"/>
        <v/>
      </c>
      <c r="IH18" s="1903" t="str">
        <f t="shared" si="221"/>
        <v/>
      </c>
      <c r="II18" s="1903" t="str">
        <f t="shared" si="222"/>
        <v/>
      </c>
      <c r="IJ18" s="1903" t="str">
        <f t="shared" si="223"/>
        <v/>
      </c>
      <c r="IK18" s="1903" t="str">
        <f t="shared" si="224"/>
        <v/>
      </c>
      <c r="IL18" s="1903" t="str">
        <f t="shared" si="225"/>
        <v/>
      </c>
      <c r="IM18" s="1903" t="str">
        <f t="shared" si="226"/>
        <v/>
      </c>
      <c r="IN18" s="1903" t="str">
        <f t="shared" si="227"/>
        <v/>
      </c>
      <c r="IO18" s="1903" t="str">
        <f t="shared" si="228"/>
        <v/>
      </c>
      <c r="IP18" s="1903" t="str">
        <f t="shared" si="229"/>
        <v/>
      </c>
      <c r="IQ18" s="1903" t="str">
        <f t="shared" si="230"/>
        <v/>
      </c>
      <c r="IR18" s="1903" t="str">
        <f t="shared" si="231"/>
        <v/>
      </c>
      <c r="IS18" s="1903" t="str">
        <f t="shared" si="232"/>
        <v/>
      </c>
      <c r="IT18" s="1903" t="str">
        <f t="shared" si="233"/>
        <v/>
      </c>
      <c r="IU18" s="1903" t="str">
        <f t="shared" si="234"/>
        <v/>
      </c>
      <c r="IV18" s="1903" t="str">
        <f t="shared" si="235"/>
        <v/>
      </c>
      <c r="IW18" s="1903" t="str">
        <f t="shared" si="236"/>
        <v/>
      </c>
      <c r="IX18" s="1903" t="str">
        <f t="shared" si="237"/>
        <v/>
      </c>
      <c r="IY18" s="1903" t="str">
        <f t="shared" si="238"/>
        <v/>
      </c>
      <c r="IZ18" s="1903" t="str">
        <f t="shared" si="239"/>
        <v/>
      </c>
      <c r="JA18" s="1903" t="str">
        <f t="shared" si="240"/>
        <v/>
      </c>
      <c r="JB18" s="1903" t="str">
        <f t="shared" si="241"/>
        <v/>
      </c>
      <c r="JC18" s="1903" t="str">
        <f t="shared" si="242"/>
        <v/>
      </c>
      <c r="JD18" s="1903" t="str">
        <f t="shared" si="243"/>
        <v/>
      </c>
      <c r="JE18" s="1903" t="str">
        <f t="shared" si="244"/>
        <v/>
      </c>
      <c r="JF18" s="1903" t="str">
        <f t="shared" si="245"/>
        <v/>
      </c>
      <c r="JG18" s="1903" t="str">
        <f t="shared" si="246"/>
        <v/>
      </c>
      <c r="JH18" s="1903" t="str">
        <f t="shared" si="247"/>
        <v/>
      </c>
      <c r="JI18" s="1903" t="str">
        <f t="shared" si="248"/>
        <v/>
      </c>
      <c r="JJ18" s="1903" t="str">
        <f t="shared" si="249"/>
        <v/>
      </c>
      <c r="JK18" s="1903" t="str">
        <f t="shared" si="250"/>
        <v/>
      </c>
      <c r="JL18" s="1903" t="str">
        <f t="shared" si="251"/>
        <v/>
      </c>
      <c r="JM18" s="1903" t="str">
        <f t="shared" si="252"/>
        <v/>
      </c>
      <c r="JN18" s="1903" t="str">
        <f t="shared" si="253"/>
        <v/>
      </c>
      <c r="JO18" s="1903" t="str">
        <f t="shared" si="254"/>
        <v/>
      </c>
      <c r="JP18" s="1903" t="str">
        <f t="shared" si="255"/>
        <v/>
      </c>
      <c r="JQ18" s="1903" t="str">
        <f t="shared" si="256"/>
        <v/>
      </c>
      <c r="JR18" s="1903" t="str">
        <f t="shared" si="257"/>
        <v/>
      </c>
      <c r="JS18" s="1903" t="str">
        <f t="shared" si="258"/>
        <v/>
      </c>
      <c r="JT18" s="1903">
        <f t="shared" si="259"/>
        <v>4</v>
      </c>
      <c r="JU18" s="1903" t="str">
        <f t="shared" si="260"/>
        <v/>
      </c>
      <c r="JV18" s="1903" t="str">
        <f t="shared" si="261"/>
        <v/>
      </c>
      <c r="JW18" s="1903" t="str">
        <f t="shared" si="262"/>
        <v/>
      </c>
      <c r="JX18" s="1903" t="str">
        <f t="shared" si="263"/>
        <v/>
      </c>
      <c r="JY18" s="1903" t="str">
        <f t="shared" si="264"/>
        <v/>
      </c>
      <c r="JZ18" s="1903" t="str">
        <f t="shared" si="265"/>
        <v/>
      </c>
      <c r="KA18" s="1903" t="str">
        <f t="shared" si="266"/>
        <v/>
      </c>
      <c r="KB18" s="1903" t="str">
        <f t="shared" si="267"/>
        <v/>
      </c>
      <c r="KC18" s="1903" t="str">
        <f t="shared" si="268"/>
        <v/>
      </c>
      <c r="KD18" s="1903" t="str">
        <f t="shared" si="269"/>
        <v/>
      </c>
      <c r="KE18" s="1903" t="str">
        <f t="shared" si="270"/>
        <v/>
      </c>
      <c r="KF18" s="1903" t="str">
        <f t="shared" si="271"/>
        <v/>
      </c>
      <c r="KG18" s="1903" t="str">
        <f t="shared" si="272"/>
        <v/>
      </c>
      <c r="KH18" s="1903" t="str">
        <f t="shared" si="273"/>
        <v/>
      </c>
      <c r="KI18" s="1903" t="str">
        <f t="shared" si="274"/>
        <v/>
      </c>
      <c r="KJ18" s="1903" t="str">
        <f t="shared" si="275"/>
        <v/>
      </c>
      <c r="KK18" s="1903" t="str">
        <f t="shared" si="276"/>
        <v/>
      </c>
      <c r="KL18" s="1903" t="str">
        <f t="shared" si="277"/>
        <v/>
      </c>
      <c r="KM18" s="1903" t="str">
        <f t="shared" si="278"/>
        <v/>
      </c>
      <c r="KN18" s="1903" t="str">
        <f t="shared" si="279"/>
        <v/>
      </c>
      <c r="KO18" s="1903" t="str">
        <f t="shared" si="280"/>
        <v/>
      </c>
      <c r="KP18" s="1903" t="str">
        <f t="shared" si="281"/>
        <v/>
      </c>
      <c r="KQ18" s="1903" t="str">
        <f t="shared" si="282"/>
        <v/>
      </c>
      <c r="KR18" s="1903" t="str">
        <f t="shared" si="283"/>
        <v/>
      </c>
      <c r="KS18" s="1903" t="str">
        <f t="shared" si="284"/>
        <v/>
      </c>
      <c r="KT18" s="1903" t="str">
        <f t="shared" si="285"/>
        <v/>
      </c>
      <c r="KU18" s="1903" t="str">
        <f t="shared" si="286"/>
        <v/>
      </c>
      <c r="KV18" s="1903" t="str">
        <f t="shared" si="287"/>
        <v/>
      </c>
      <c r="KW18" s="1903" t="str">
        <f t="shared" si="288"/>
        <v/>
      </c>
      <c r="KX18" s="1903" t="str">
        <f t="shared" si="289"/>
        <v/>
      </c>
      <c r="KY18" s="1903" t="str">
        <f t="shared" si="290"/>
        <v/>
      </c>
      <c r="KZ18" s="1903" t="str">
        <f t="shared" si="291"/>
        <v/>
      </c>
      <c r="LA18" s="1903" t="str">
        <f t="shared" si="292"/>
        <v/>
      </c>
      <c r="LB18" s="1903" t="str">
        <f t="shared" si="293"/>
        <v/>
      </c>
      <c r="LC18" s="1903" t="str">
        <f t="shared" si="294"/>
        <v/>
      </c>
      <c r="LD18" s="1903" t="str">
        <f t="shared" si="295"/>
        <v/>
      </c>
      <c r="LE18" s="1903" t="str">
        <f t="shared" si="296"/>
        <v/>
      </c>
      <c r="LF18" s="1903" t="str">
        <f t="shared" si="297"/>
        <v/>
      </c>
      <c r="LG18" s="1892" t="str">
        <f t="shared" si="298"/>
        <v/>
      </c>
      <c r="LH18" s="1892" t="str">
        <f t="shared" si="299"/>
        <v/>
      </c>
      <c r="LI18" s="1892" t="str">
        <f t="shared" si="300"/>
        <v/>
      </c>
      <c r="LJ18" s="1892" t="str">
        <f t="shared" si="301"/>
        <v/>
      </c>
      <c r="LK18" s="1892"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50">
        <f t="shared" si="323"/>
        <v>0</v>
      </c>
      <c r="MG18" s="1750">
        <f t="shared" si="324"/>
        <v>0</v>
      </c>
      <c r="MH18" s="1750">
        <f t="shared" si="325"/>
        <v>0</v>
      </c>
      <c r="MI18" s="1750">
        <f t="shared" si="326"/>
        <v>0</v>
      </c>
      <c r="MJ18" s="1750">
        <f t="shared" si="327"/>
        <v>0</v>
      </c>
      <c r="MK18" s="1750">
        <f t="shared" si="333"/>
        <v>0</v>
      </c>
      <c r="ML18" s="1750">
        <f t="shared" si="334"/>
        <v>4</v>
      </c>
      <c r="MM18" s="1750">
        <f t="shared" si="335"/>
        <v>0</v>
      </c>
      <c r="MN18" s="1750">
        <f t="shared" si="336"/>
        <v>0</v>
      </c>
      <c r="MO18" s="1750">
        <f t="shared" si="337"/>
        <v>0</v>
      </c>
      <c r="MP18" s="1750">
        <f t="shared" si="328"/>
        <v>0</v>
      </c>
      <c r="MQ18" s="1750">
        <f t="shared" si="329"/>
        <v>0</v>
      </c>
      <c r="MR18" s="1750">
        <f t="shared" si="330"/>
        <v>0</v>
      </c>
      <c r="MS18" s="1750">
        <f t="shared" si="331"/>
        <v>0</v>
      </c>
      <c r="MT18" s="1750">
        <f t="shared" si="332"/>
        <v>0</v>
      </c>
      <c r="NP18" s="1721" t="s">
        <v>6421</v>
      </c>
    </row>
    <row r="19" spans="1:380" ht="13.9" customHeight="1">
      <c r="A19" s="86" t="str">
        <f t="shared" si="0"/>
        <v/>
      </c>
      <c r="B19" s="1120">
        <v>60</v>
      </c>
      <c r="C19" s="132">
        <v>1</v>
      </c>
      <c r="D19" s="1753">
        <v>1</v>
      </c>
      <c r="E19" s="133">
        <v>6</v>
      </c>
      <c r="F19" s="1086">
        <v>845</v>
      </c>
      <c r="G19" s="133">
        <v>984</v>
      </c>
      <c r="H19" s="133">
        <v>934</v>
      </c>
      <c r="I19" s="133">
        <v>0</v>
      </c>
      <c r="J19" s="756">
        <f>IF(C19="",0,HLOOKUP(C19,'Part IV-Utility Allowances'!$I$11:$M$22,12))</f>
        <v>60</v>
      </c>
      <c r="K19" s="644"/>
      <c r="L19" s="461">
        <f t="shared" si="1"/>
        <v>874</v>
      </c>
      <c r="M19" s="461">
        <f t="shared" si="2"/>
        <v>5244</v>
      </c>
      <c r="N19" s="695" t="s">
        <v>2655</v>
      </c>
      <c r="O19" s="1685" t="s">
        <v>6300</v>
      </c>
      <c r="P19" s="695" t="s">
        <v>2121</v>
      </c>
      <c r="Q19" s="134" t="s">
        <v>2655</v>
      </c>
      <c r="R19" s="739"/>
      <c r="S19" s="740"/>
      <c r="T19" s="3087"/>
      <c r="U19" s="3088"/>
      <c r="V19" s="3088"/>
      <c r="W19" s="3089"/>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f t="shared" si="14"/>
        <v>6</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f t="shared" si="129"/>
        <v>5070</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6</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903" t="str">
        <f t="shared" si="213"/>
        <v/>
      </c>
      <c r="IA19" s="1903">
        <f t="shared" si="214"/>
        <v>6</v>
      </c>
      <c r="IB19" s="1903" t="str">
        <f t="shared" si="215"/>
        <v/>
      </c>
      <c r="IC19" s="1903" t="str">
        <f t="shared" si="216"/>
        <v/>
      </c>
      <c r="ID19" s="1903" t="str">
        <f t="shared" si="217"/>
        <v/>
      </c>
      <c r="IE19" s="1903" t="str">
        <f t="shared" si="218"/>
        <v/>
      </c>
      <c r="IF19" s="1903" t="str">
        <f t="shared" si="219"/>
        <v/>
      </c>
      <c r="IG19" s="1903" t="str">
        <f t="shared" si="220"/>
        <v/>
      </c>
      <c r="IH19" s="1903" t="str">
        <f t="shared" si="221"/>
        <v/>
      </c>
      <c r="II19" s="1903" t="str">
        <f t="shared" si="222"/>
        <v/>
      </c>
      <c r="IJ19" s="1903" t="str">
        <f t="shared" si="223"/>
        <v/>
      </c>
      <c r="IK19" s="1903" t="str">
        <f t="shared" si="224"/>
        <v/>
      </c>
      <c r="IL19" s="1903" t="str">
        <f t="shared" si="225"/>
        <v/>
      </c>
      <c r="IM19" s="1903" t="str">
        <f t="shared" si="226"/>
        <v/>
      </c>
      <c r="IN19" s="1903" t="str">
        <f t="shared" si="227"/>
        <v/>
      </c>
      <c r="IO19" s="1903" t="str">
        <f t="shared" si="228"/>
        <v/>
      </c>
      <c r="IP19" s="1903" t="str">
        <f t="shared" si="229"/>
        <v/>
      </c>
      <c r="IQ19" s="1903" t="str">
        <f t="shared" si="230"/>
        <v/>
      </c>
      <c r="IR19" s="1903" t="str">
        <f t="shared" si="231"/>
        <v/>
      </c>
      <c r="IS19" s="1903" t="str">
        <f t="shared" si="232"/>
        <v/>
      </c>
      <c r="IT19" s="1903" t="str">
        <f t="shared" si="233"/>
        <v/>
      </c>
      <c r="IU19" s="1903" t="str">
        <f t="shared" si="234"/>
        <v/>
      </c>
      <c r="IV19" s="1903" t="str">
        <f t="shared" si="235"/>
        <v/>
      </c>
      <c r="IW19" s="1903" t="str">
        <f t="shared" si="236"/>
        <v/>
      </c>
      <c r="IX19" s="1903" t="str">
        <f t="shared" si="237"/>
        <v/>
      </c>
      <c r="IY19" s="1903" t="str">
        <f t="shared" si="238"/>
        <v/>
      </c>
      <c r="IZ19" s="1903" t="str">
        <f t="shared" si="239"/>
        <v/>
      </c>
      <c r="JA19" s="1903" t="str">
        <f t="shared" si="240"/>
        <v/>
      </c>
      <c r="JB19" s="1903" t="str">
        <f t="shared" si="241"/>
        <v/>
      </c>
      <c r="JC19" s="1903" t="str">
        <f t="shared" si="242"/>
        <v/>
      </c>
      <c r="JD19" s="1903" t="str">
        <f t="shared" si="243"/>
        <v/>
      </c>
      <c r="JE19" s="1903" t="str">
        <f t="shared" si="244"/>
        <v/>
      </c>
      <c r="JF19" s="1903" t="str">
        <f t="shared" si="245"/>
        <v/>
      </c>
      <c r="JG19" s="1903" t="str">
        <f t="shared" si="246"/>
        <v/>
      </c>
      <c r="JH19" s="1903" t="str">
        <f t="shared" si="247"/>
        <v/>
      </c>
      <c r="JI19" s="1903" t="str">
        <f t="shared" si="248"/>
        <v/>
      </c>
      <c r="JJ19" s="1903" t="str">
        <f t="shared" si="249"/>
        <v/>
      </c>
      <c r="JK19" s="1903" t="str">
        <f t="shared" si="250"/>
        <v/>
      </c>
      <c r="JL19" s="1903" t="str">
        <f t="shared" si="251"/>
        <v/>
      </c>
      <c r="JM19" s="1903" t="str">
        <f t="shared" si="252"/>
        <v/>
      </c>
      <c r="JN19" s="1903" t="str">
        <f t="shared" si="253"/>
        <v/>
      </c>
      <c r="JO19" s="1903" t="str">
        <f t="shared" si="254"/>
        <v/>
      </c>
      <c r="JP19" s="1903" t="str">
        <f t="shared" si="255"/>
        <v/>
      </c>
      <c r="JQ19" s="1903" t="str">
        <f t="shared" si="256"/>
        <v/>
      </c>
      <c r="JR19" s="1903" t="str">
        <f t="shared" si="257"/>
        <v/>
      </c>
      <c r="JS19" s="1903" t="str">
        <f t="shared" si="258"/>
        <v/>
      </c>
      <c r="JT19" s="1903">
        <f t="shared" si="259"/>
        <v>6</v>
      </c>
      <c r="JU19" s="1903" t="str">
        <f t="shared" si="260"/>
        <v/>
      </c>
      <c r="JV19" s="1903" t="str">
        <f t="shared" si="261"/>
        <v/>
      </c>
      <c r="JW19" s="1903" t="str">
        <f t="shared" si="262"/>
        <v/>
      </c>
      <c r="JX19" s="1903" t="str">
        <f t="shared" si="263"/>
        <v/>
      </c>
      <c r="JY19" s="1903" t="str">
        <f t="shared" si="264"/>
        <v/>
      </c>
      <c r="JZ19" s="1903" t="str">
        <f t="shared" si="265"/>
        <v/>
      </c>
      <c r="KA19" s="1903" t="str">
        <f t="shared" si="266"/>
        <v/>
      </c>
      <c r="KB19" s="1903" t="str">
        <f t="shared" si="267"/>
        <v/>
      </c>
      <c r="KC19" s="1903" t="str">
        <f t="shared" si="268"/>
        <v/>
      </c>
      <c r="KD19" s="1903" t="str">
        <f t="shared" si="269"/>
        <v/>
      </c>
      <c r="KE19" s="1903" t="str">
        <f t="shared" si="270"/>
        <v/>
      </c>
      <c r="KF19" s="1903" t="str">
        <f t="shared" si="271"/>
        <v/>
      </c>
      <c r="KG19" s="1903" t="str">
        <f t="shared" si="272"/>
        <v/>
      </c>
      <c r="KH19" s="1903" t="str">
        <f t="shared" si="273"/>
        <v/>
      </c>
      <c r="KI19" s="1903" t="str">
        <f t="shared" si="274"/>
        <v/>
      </c>
      <c r="KJ19" s="1903" t="str">
        <f t="shared" si="275"/>
        <v/>
      </c>
      <c r="KK19" s="1903" t="str">
        <f t="shared" si="276"/>
        <v/>
      </c>
      <c r="KL19" s="1903" t="str">
        <f t="shared" si="277"/>
        <v/>
      </c>
      <c r="KM19" s="1903" t="str">
        <f t="shared" si="278"/>
        <v/>
      </c>
      <c r="KN19" s="1903" t="str">
        <f t="shared" si="279"/>
        <v/>
      </c>
      <c r="KO19" s="1903" t="str">
        <f t="shared" si="280"/>
        <v/>
      </c>
      <c r="KP19" s="1903" t="str">
        <f t="shared" si="281"/>
        <v/>
      </c>
      <c r="KQ19" s="1903" t="str">
        <f t="shared" si="282"/>
        <v/>
      </c>
      <c r="KR19" s="1903" t="str">
        <f t="shared" si="283"/>
        <v/>
      </c>
      <c r="KS19" s="1903" t="str">
        <f t="shared" si="284"/>
        <v/>
      </c>
      <c r="KT19" s="1903" t="str">
        <f t="shared" si="285"/>
        <v/>
      </c>
      <c r="KU19" s="1903" t="str">
        <f t="shared" si="286"/>
        <v/>
      </c>
      <c r="KV19" s="1903" t="str">
        <f t="shared" si="287"/>
        <v/>
      </c>
      <c r="KW19" s="1903" t="str">
        <f t="shared" si="288"/>
        <v/>
      </c>
      <c r="KX19" s="1903" t="str">
        <f t="shared" si="289"/>
        <v/>
      </c>
      <c r="KY19" s="1903" t="str">
        <f t="shared" si="290"/>
        <v/>
      </c>
      <c r="KZ19" s="1903" t="str">
        <f t="shared" si="291"/>
        <v/>
      </c>
      <c r="LA19" s="1903" t="str">
        <f t="shared" si="292"/>
        <v/>
      </c>
      <c r="LB19" s="1903" t="str">
        <f t="shared" si="293"/>
        <v/>
      </c>
      <c r="LC19" s="1903" t="str">
        <f t="shared" si="294"/>
        <v/>
      </c>
      <c r="LD19" s="1903" t="str">
        <f t="shared" si="295"/>
        <v/>
      </c>
      <c r="LE19" s="1903" t="str">
        <f t="shared" si="296"/>
        <v/>
      </c>
      <c r="LF19" s="1903" t="str">
        <f t="shared" si="297"/>
        <v/>
      </c>
      <c r="LG19" s="1892" t="str">
        <f t="shared" si="298"/>
        <v/>
      </c>
      <c r="LH19" s="1892" t="str">
        <f t="shared" si="299"/>
        <v/>
      </c>
      <c r="LI19" s="1892" t="str">
        <f t="shared" si="300"/>
        <v/>
      </c>
      <c r="LJ19" s="1892" t="str">
        <f t="shared" si="301"/>
        <v/>
      </c>
      <c r="LK19" s="1892"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50">
        <f t="shared" si="323"/>
        <v>0</v>
      </c>
      <c r="MG19" s="1750">
        <f t="shared" si="324"/>
        <v>0</v>
      </c>
      <c r="MH19" s="1750">
        <f t="shared" si="325"/>
        <v>0</v>
      </c>
      <c r="MI19" s="1750">
        <f t="shared" si="326"/>
        <v>0</v>
      </c>
      <c r="MJ19" s="1750">
        <f t="shared" si="327"/>
        <v>0</v>
      </c>
      <c r="MK19" s="1750">
        <f t="shared" si="333"/>
        <v>0</v>
      </c>
      <c r="ML19" s="1750">
        <f t="shared" si="334"/>
        <v>6</v>
      </c>
      <c r="MM19" s="1750">
        <f t="shared" si="335"/>
        <v>0</v>
      </c>
      <c r="MN19" s="1750">
        <f t="shared" si="336"/>
        <v>0</v>
      </c>
      <c r="MO19" s="1750">
        <f t="shared" si="337"/>
        <v>0</v>
      </c>
      <c r="MP19" s="1750">
        <f t="shared" si="328"/>
        <v>0</v>
      </c>
      <c r="MQ19" s="1750">
        <f t="shared" si="329"/>
        <v>0</v>
      </c>
      <c r="MR19" s="1750">
        <f t="shared" si="330"/>
        <v>0</v>
      </c>
      <c r="MS19" s="1750">
        <f t="shared" si="331"/>
        <v>0</v>
      </c>
      <c r="MT19" s="1750">
        <f t="shared" si="332"/>
        <v>0</v>
      </c>
      <c r="NP19" s="1721" t="s">
        <v>6422</v>
      </c>
    </row>
    <row r="20" spans="1:380" ht="13.9" customHeight="1">
      <c r="A20" s="86" t="str">
        <f t="shared" si="0"/>
        <v/>
      </c>
      <c r="B20" s="1120">
        <v>80</v>
      </c>
      <c r="C20" s="132">
        <v>1</v>
      </c>
      <c r="D20" s="1753">
        <v>1</v>
      </c>
      <c r="E20" s="133">
        <v>5</v>
      </c>
      <c r="F20" s="1086">
        <v>845</v>
      </c>
      <c r="G20" s="133">
        <v>1312</v>
      </c>
      <c r="H20" s="133">
        <v>1112</v>
      </c>
      <c r="I20" s="133">
        <v>0</v>
      </c>
      <c r="J20" s="756">
        <f>IF(C20="",0,HLOOKUP(C20,'Part IV-Utility Allowances'!$I$11:$M$22,12))</f>
        <v>60</v>
      </c>
      <c r="K20" s="644"/>
      <c r="L20" s="461">
        <f t="shared" si="1"/>
        <v>1052</v>
      </c>
      <c r="M20" s="461">
        <f t="shared" si="2"/>
        <v>5260</v>
      </c>
      <c r="N20" s="695" t="s">
        <v>2655</v>
      </c>
      <c r="O20" s="1685" t="s">
        <v>6300</v>
      </c>
      <c r="P20" s="695" t="s">
        <v>2121</v>
      </c>
      <c r="Q20" s="134" t="s">
        <v>2655</v>
      </c>
      <c r="R20" s="739"/>
      <c r="S20" s="740"/>
      <c r="T20" s="3087"/>
      <c r="U20" s="3088"/>
      <c r="V20" s="3088"/>
      <c r="W20" s="3089"/>
      <c r="X20" s="357" t="str">
        <f t="shared" si="3"/>
        <v/>
      </c>
      <c r="Y20" s="357">
        <f t="shared" si="4"/>
        <v>5</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f t="shared" si="119"/>
        <v>4225</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f t="shared" si="169"/>
        <v>5</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903" t="str">
        <f t="shared" si="213"/>
        <v/>
      </c>
      <c r="IA20" s="1903">
        <f t="shared" si="214"/>
        <v>5</v>
      </c>
      <c r="IB20" s="1903" t="str">
        <f t="shared" si="215"/>
        <v/>
      </c>
      <c r="IC20" s="1903" t="str">
        <f t="shared" si="216"/>
        <v/>
      </c>
      <c r="ID20" s="1903" t="str">
        <f t="shared" si="217"/>
        <v/>
      </c>
      <c r="IE20" s="1903" t="str">
        <f t="shared" si="218"/>
        <v/>
      </c>
      <c r="IF20" s="1903" t="str">
        <f t="shared" si="219"/>
        <v/>
      </c>
      <c r="IG20" s="1903" t="str">
        <f t="shared" si="220"/>
        <v/>
      </c>
      <c r="IH20" s="1903" t="str">
        <f t="shared" si="221"/>
        <v/>
      </c>
      <c r="II20" s="1903" t="str">
        <f t="shared" si="222"/>
        <v/>
      </c>
      <c r="IJ20" s="1903" t="str">
        <f t="shared" si="223"/>
        <v/>
      </c>
      <c r="IK20" s="1903" t="str">
        <f t="shared" si="224"/>
        <v/>
      </c>
      <c r="IL20" s="1903" t="str">
        <f t="shared" si="225"/>
        <v/>
      </c>
      <c r="IM20" s="1903" t="str">
        <f t="shared" si="226"/>
        <v/>
      </c>
      <c r="IN20" s="1903" t="str">
        <f t="shared" si="227"/>
        <v/>
      </c>
      <c r="IO20" s="1903" t="str">
        <f t="shared" si="228"/>
        <v/>
      </c>
      <c r="IP20" s="1903" t="str">
        <f t="shared" si="229"/>
        <v/>
      </c>
      <c r="IQ20" s="1903" t="str">
        <f t="shared" si="230"/>
        <v/>
      </c>
      <c r="IR20" s="1903" t="str">
        <f t="shared" si="231"/>
        <v/>
      </c>
      <c r="IS20" s="1903" t="str">
        <f t="shared" si="232"/>
        <v/>
      </c>
      <c r="IT20" s="1903" t="str">
        <f t="shared" si="233"/>
        <v/>
      </c>
      <c r="IU20" s="1903" t="str">
        <f t="shared" si="234"/>
        <v/>
      </c>
      <c r="IV20" s="1903" t="str">
        <f t="shared" si="235"/>
        <v/>
      </c>
      <c r="IW20" s="1903" t="str">
        <f t="shared" si="236"/>
        <v/>
      </c>
      <c r="IX20" s="1903" t="str">
        <f t="shared" si="237"/>
        <v/>
      </c>
      <c r="IY20" s="1903" t="str">
        <f t="shared" si="238"/>
        <v/>
      </c>
      <c r="IZ20" s="1903" t="str">
        <f t="shared" si="239"/>
        <v/>
      </c>
      <c r="JA20" s="1903" t="str">
        <f t="shared" si="240"/>
        <v/>
      </c>
      <c r="JB20" s="1903" t="str">
        <f t="shared" si="241"/>
        <v/>
      </c>
      <c r="JC20" s="1903" t="str">
        <f t="shared" si="242"/>
        <v/>
      </c>
      <c r="JD20" s="1903" t="str">
        <f t="shared" si="243"/>
        <v/>
      </c>
      <c r="JE20" s="1903" t="str">
        <f t="shared" si="244"/>
        <v/>
      </c>
      <c r="JF20" s="1903" t="str">
        <f t="shared" si="245"/>
        <v/>
      </c>
      <c r="JG20" s="1903" t="str">
        <f t="shared" si="246"/>
        <v/>
      </c>
      <c r="JH20" s="1903" t="str">
        <f t="shared" si="247"/>
        <v/>
      </c>
      <c r="JI20" s="1903" t="str">
        <f t="shared" si="248"/>
        <v/>
      </c>
      <c r="JJ20" s="1903" t="str">
        <f t="shared" si="249"/>
        <v/>
      </c>
      <c r="JK20" s="1903" t="str">
        <f t="shared" si="250"/>
        <v/>
      </c>
      <c r="JL20" s="1903" t="str">
        <f t="shared" si="251"/>
        <v/>
      </c>
      <c r="JM20" s="1903" t="str">
        <f t="shared" si="252"/>
        <v/>
      </c>
      <c r="JN20" s="1903" t="str">
        <f t="shared" si="253"/>
        <v/>
      </c>
      <c r="JO20" s="1903" t="str">
        <f t="shared" si="254"/>
        <v/>
      </c>
      <c r="JP20" s="1903" t="str">
        <f t="shared" si="255"/>
        <v/>
      </c>
      <c r="JQ20" s="1903" t="str">
        <f t="shared" si="256"/>
        <v/>
      </c>
      <c r="JR20" s="1903" t="str">
        <f t="shared" si="257"/>
        <v/>
      </c>
      <c r="JS20" s="1903" t="str">
        <f t="shared" si="258"/>
        <v/>
      </c>
      <c r="JT20" s="1903">
        <f t="shared" si="259"/>
        <v>5</v>
      </c>
      <c r="JU20" s="1903" t="str">
        <f t="shared" si="260"/>
        <v/>
      </c>
      <c r="JV20" s="1903" t="str">
        <f t="shared" si="261"/>
        <v/>
      </c>
      <c r="JW20" s="1903" t="str">
        <f t="shared" si="262"/>
        <v/>
      </c>
      <c r="JX20" s="1903" t="str">
        <f t="shared" si="263"/>
        <v/>
      </c>
      <c r="JY20" s="1903" t="str">
        <f t="shared" si="264"/>
        <v/>
      </c>
      <c r="JZ20" s="1903" t="str">
        <f t="shared" si="265"/>
        <v/>
      </c>
      <c r="KA20" s="1903" t="str">
        <f t="shared" si="266"/>
        <v/>
      </c>
      <c r="KB20" s="1903" t="str">
        <f t="shared" si="267"/>
        <v/>
      </c>
      <c r="KC20" s="1903" t="str">
        <f t="shared" si="268"/>
        <v/>
      </c>
      <c r="KD20" s="1903" t="str">
        <f t="shared" si="269"/>
        <v/>
      </c>
      <c r="KE20" s="1903" t="str">
        <f t="shared" si="270"/>
        <v/>
      </c>
      <c r="KF20" s="1903" t="str">
        <f t="shared" si="271"/>
        <v/>
      </c>
      <c r="KG20" s="1903" t="str">
        <f t="shared" si="272"/>
        <v/>
      </c>
      <c r="KH20" s="1903" t="str">
        <f t="shared" si="273"/>
        <v/>
      </c>
      <c r="KI20" s="1903" t="str">
        <f t="shared" si="274"/>
        <v/>
      </c>
      <c r="KJ20" s="1903" t="str">
        <f t="shared" si="275"/>
        <v/>
      </c>
      <c r="KK20" s="1903" t="str">
        <f t="shared" si="276"/>
        <v/>
      </c>
      <c r="KL20" s="1903" t="str">
        <f t="shared" si="277"/>
        <v/>
      </c>
      <c r="KM20" s="1903" t="str">
        <f t="shared" si="278"/>
        <v/>
      </c>
      <c r="KN20" s="1903" t="str">
        <f t="shared" si="279"/>
        <v/>
      </c>
      <c r="KO20" s="1903" t="str">
        <f t="shared" si="280"/>
        <v/>
      </c>
      <c r="KP20" s="1903" t="str">
        <f t="shared" si="281"/>
        <v/>
      </c>
      <c r="KQ20" s="1903" t="str">
        <f t="shared" si="282"/>
        <v/>
      </c>
      <c r="KR20" s="1903" t="str">
        <f t="shared" si="283"/>
        <v/>
      </c>
      <c r="KS20" s="1903" t="str">
        <f t="shared" si="284"/>
        <v/>
      </c>
      <c r="KT20" s="1903" t="str">
        <f t="shared" si="285"/>
        <v/>
      </c>
      <c r="KU20" s="1903" t="str">
        <f t="shared" si="286"/>
        <v/>
      </c>
      <c r="KV20" s="1903" t="str">
        <f t="shared" si="287"/>
        <v/>
      </c>
      <c r="KW20" s="1903" t="str">
        <f t="shared" si="288"/>
        <v/>
      </c>
      <c r="KX20" s="1903" t="str">
        <f t="shared" si="289"/>
        <v/>
      </c>
      <c r="KY20" s="1903" t="str">
        <f t="shared" si="290"/>
        <v/>
      </c>
      <c r="KZ20" s="1903" t="str">
        <f t="shared" si="291"/>
        <v/>
      </c>
      <c r="LA20" s="1903" t="str">
        <f t="shared" si="292"/>
        <v/>
      </c>
      <c r="LB20" s="1903" t="str">
        <f t="shared" si="293"/>
        <v/>
      </c>
      <c r="LC20" s="1903" t="str">
        <f t="shared" si="294"/>
        <v/>
      </c>
      <c r="LD20" s="1903" t="str">
        <f t="shared" si="295"/>
        <v/>
      </c>
      <c r="LE20" s="1903" t="str">
        <f t="shared" si="296"/>
        <v/>
      </c>
      <c r="LF20" s="1903" t="str">
        <f t="shared" si="297"/>
        <v/>
      </c>
      <c r="LG20" s="1892" t="str">
        <f t="shared" si="298"/>
        <v/>
      </c>
      <c r="LH20" s="1892" t="str">
        <f t="shared" si="299"/>
        <v/>
      </c>
      <c r="LI20" s="1892" t="str">
        <f t="shared" si="300"/>
        <v/>
      </c>
      <c r="LJ20" s="1892" t="str">
        <f t="shared" si="301"/>
        <v/>
      </c>
      <c r="LK20" s="1892"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50">
        <f t="shared" si="323"/>
        <v>0</v>
      </c>
      <c r="MG20" s="1750">
        <f t="shared" si="324"/>
        <v>0</v>
      </c>
      <c r="MH20" s="1750">
        <f t="shared" si="325"/>
        <v>0</v>
      </c>
      <c r="MI20" s="1750">
        <f t="shared" si="326"/>
        <v>0</v>
      </c>
      <c r="MJ20" s="1750">
        <f t="shared" si="327"/>
        <v>0</v>
      </c>
      <c r="MK20" s="1750">
        <f t="shared" si="333"/>
        <v>0</v>
      </c>
      <c r="ML20" s="1750">
        <f t="shared" si="334"/>
        <v>5</v>
      </c>
      <c r="MM20" s="1750">
        <f t="shared" si="335"/>
        <v>0</v>
      </c>
      <c r="MN20" s="1750">
        <f t="shared" si="336"/>
        <v>0</v>
      </c>
      <c r="MO20" s="1750">
        <f t="shared" si="337"/>
        <v>0</v>
      </c>
      <c r="MP20" s="1750">
        <f t="shared" si="328"/>
        <v>0</v>
      </c>
      <c r="MQ20" s="1750">
        <f t="shared" si="329"/>
        <v>0</v>
      </c>
      <c r="MR20" s="1750">
        <f t="shared" si="330"/>
        <v>0</v>
      </c>
      <c r="MS20" s="1750">
        <f t="shared" si="331"/>
        <v>0</v>
      </c>
      <c r="MT20" s="1750">
        <f t="shared" si="332"/>
        <v>0</v>
      </c>
      <c r="NP20" s="1721" t="s">
        <v>6423</v>
      </c>
    </row>
    <row r="21" spans="1:380" ht="13.9" customHeight="1">
      <c r="A21" s="86" t="str">
        <f t="shared" si="0"/>
        <v/>
      </c>
      <c r="B21" s="1120">
        <v>30</v>
      </c>
      <c r="C21" s="132">
        <v>2</v>
      </c>
      <c r="D21" s="1753">
        <v>2</v>
      </c>
      <c r="E21" s="133">
        <v>15</v>
      </c>
      <c r="F21" s="133">
        <v>1156</v>
      </c>
      <c r="G21" s="133">
        <v>590</v>
      </c>
      <c r="H21" s="133">
        <v>843</v>
      </c>
      <c r="I21" s="133">
        <v>0</v>
      </c>
      <c r="J21" s="756">
        <f>IF(C21="",0,HLOOKUP(C21,'Part IV-Utility Allowances'!$I$11:$M$22,12))</f>
        <v>77</v>
      </c>
      <c r="K21" s="644" t="s">
        <v>6925</v>
      </c>
      <c r="L21" s="461">
        <f t="shared" si="1"/>
        <v>766</v>
      </c>
      <c r="M21" s="461">
        <f t="shared" si="2"/>
        <v>11490</v>
      </c>
      <c r="N21" s="695" t="s">
        <v>2655</v>
      </c>
      <c r="O21" s="1685" t="s">
        <v>6300</v>
      </c>
      <c r="P21" s="695" t="s">
        <v>2121</v>
      </c>
      <c r="Q21" s="134" t="s">
        <v>2655</v>
      </c>
      <c r="R21" s="739"/>
      <c r="S21" s="740"/>
      <c r="T21" s="3087"/>
      <c r="U21" s="3088"/>
      <c r="V21" s="3088"/>
      <c r="W21" s="3089"/>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f t="shared" si="30"/>
        <v>15</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f t="shared" si="50"/>
        <v>15</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f t="shared" si="145"/>
        <v>17340</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f t="shared" si="160"/>
        <v>17340</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15</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903" t="str">
        <f t="shared" si="213"/>
        <v/>
      </c>
      <c r="IA21" s="1903" t="str">
        <f t="shared" si="214"/>
        <v/>
      </c>
      <c r="IB21" s="1903">
        <f t="shared" si="215"/>
        <v>15</v>
      </c>
      <c r="IC21" s="1903" t="str">
        <f t="shared" si="216"/>
        <v/>
      </c>
      <c r="ID21" s="1903" t="str">
        <f t="shared" si="217"/>
        <v/>
      </c>
      <c r="IE21" s="1903" t="str">
        <f t="shared" si="218"/>
        <v/>
      </c>
      <c r="IF21" s="1903" t="str">
        <f t="shared" si="219"/>
        <v/>
      </c>
      <c r="IG21" s="1903" t="str">
        <f t="shared" si="220"/>
        <v/>
      </c>
      <c r="IH21" s="1903" t="str">
        <f t="shared" si="221"/>
        <v/>
      </c>
      <c r="II21" s="1903" t="str">
        <f t="shared" si="222"/>
        <v/>
      </c>
      <c r="IJ21" s="1903" t="str">
        <f t="shared" si="223"/>
        <v/>
      </c>
      <c r="IK21" s="1903" t="str">
        <f t="shared" si="224"/>
        <v/>
      </c>
      <c r="IL21" s="1903" t="str">
        <f t="shared" si="225"/>
        <v/>
      </c>
      <c r="IM21" s="1903" t="str">
        <f t="shared" si="226"/>
        <v/>
      </c>
      <c r="IN21" s="1903" t="str">
        <f t="shared" si="227"/>
        <v/>
      </c>
      <c r="IO21" s="1903" t="str">
        <f t="shared" si="228"/>
        <v/>
      </c>
      <c r="IP21" s="1903" t="str">
        <f t="shared" si="229"/>
        <v/>
      </c>
      <c r="IQ21" s="1903" t="str">
        <f t="shared" si="230"/>
        <v/>
      </c>
      <c r="IR21" s="1903" t="str">
        <f t="shared" si="231"/>
        <v/>
      </c>
      <c r="IS21" s="1903" t="str">
        <f t="shared" si="232"/>
        <v/>
      </c>
      <c r="IT21" s="1903" t="str">
        <f t="shared" si="233"/>
        <v/>
      </c>
      <c r="IU21" s="1903" t="str">
        <f t="shared" si="234"/>
        <v/>
      </c>
      <c r="IV21" s="1903" t="str">
        <f t="shared" si="235"/>
        <v/>
      </c>
      <c r="IW21" s="1903" t="str">
        <f t="shared" si="236"/>
        <v/>
      </c>
      <c r="IX21" s="1903" t="str">
        <f t="shared" si="237"/>
        <v/>
      </c>
      <c r="IY21" s="1903" t="str">
        <f t="shared" si="238"/>
        <v/>
      </c>
      <c r="IZ21" s="1903" t="str">
        <f t="shared" si="239"/>
        <v/>
      </c>
      <c r="JA21" s="1903" t="str">
        <f t="shared" si="240"/>
        <v/>
      </c>
      <c r="JB21" s="1903" t="str">
        <f t="shared" si="241"/>
        <v/>
      </c>
      <c r="JC21" s="1903" t="str">
        <f t="shared" si="242"/>
        <v/>
      </c>
      <c r="JD21" s="1903" t="str">
        <f t="shared" si="243"/>
        <v/>
      </c>
      <c r="JE21" s="1903" t="str">
        <f t="shared" si="244"/>
        <v/>
      </c>
      <c r="JF21" s="1903" t="str">
        <f t="shared" si="245"/>
        <v/>
      </c>
      <c r="JG21" s="1903" t="str">
        <f t="shared" si="246"/>
        <v/>
      </c>
      <c r="JH21" s="1903" t="str">
        <f t="shared" si="247"/>
        <v/>
      </c>
      <c r="JI21" s="1903" t="str">
        <f t="shared" si="248"/>
        <v/>
      </c>
      <c r="JJ21" s="1903" t="str">
        <f t="shared" si="249"/>
        <v/>
      </c>
      <c r="JK21" s="1903" t="str">
        <f t="shared" si="250"/>
        <v/>
      </c>
      <c r="JL21" s="1903" t="str">
        <f t="shared" si="251"/>
        <v/>
      </c>
      <c r="JM21" s="1903" t="str">
        <f t="shared" si="252"/>
        <v/>
      </c>
      <c r="JN21" s="1903" t="str">
        <f t="shared" si="253"/>
        <v/>
      </c>
      <c r="JO21" s="1903" t="str">
        <f t="shared" si="254"/>
        <v/>
      </c>
      <c r="JP21" s="1903" t="str">
        <f t="shared" si="255"/>
        <v/>
      </c>
      <c r="JQ21" s="1903" t="str">
        <f t="shared" si="256"/>
        <v/>
      </c>
      <c r="JR21" s="1903" t="str">
        <f t="shared" si="257"/>
        <v/>
      </c>
      <c r="JS21" s="1903" t="str">
        <f t="shared" si="258"/>
        <v/>
      </c>
      <c r="JT21" s="1903" t="str">
        <f t="shared" si="259"/>
        <v/>
      </c>
      <c r="JU21" s="1903">
        <f t="shared" si="260"/>
        <v>15</v>
      </c>
      <c r="JV21" s="1903" t="str">
        <f t="shared" si="261"/>
        <v/>
      </c>
      <c r="JW21" s="1903" t="str">
        <f t="shared" si="262"/>
        <v/>
      </c>
      <c r="JX21" s="1903" t="str">
        <f t="shared" si="263"/>
        <v/>
      </c>
      <c r="JY21" s="1903" t="str">
        <f t="shared" si="264"/>
        <v/>
      </c>
      <c r="JZ21" s="1903" t="str">
        <f t="shared" si="265"/>
        <v/>
      </c>
      <c r="KA21" s="1903" t="str">
        <f t="shared" si="266"/>
        <v/>
      </c>
      <c r="KB21" s="1903" t="str">
        <f t="shared" si="267"/>
        <v/>
      </c>
      <c r="KC21" s="1903" t="str">
        <f t="shared" si="268"/>
        <v/>
      </c>
      <c r="KD21" s="1903" t="str">
        <f t="shared" si="269"/>
        <v/>
      </c>
      <c r="KE21" s="1903" t="str">
        <f t="shared" si="270"/>
        <v/>
      </c>
      <c r="KF21" s="1903" t="str">
        <f t="shared" si="271"/>
        <v/>
      </c>
      <c r="KG21" s="1903" t="str">
        <f t="shared" si="272"/>
        <v/>
      </c>
      <c r="KH21" s="1903" t="str">
        <f t="shared" si="273"/>
        <v/>
      </c>
      <c r="KI21" s="1903" t="str">
        <f t="shared" si="274"/>
        <v/>
      </c>
      <c r="KJ21" s="1903" t="str">
        <f t="shared" si="275"/>
        <v/>
      </c>
      <c r="KK21" s="1903" t="str">
        <f t="shared" si="276"/>
        <v/>
      </c>
      <c r="KL21" s="1903" t="str">
        <f t="shared" si="277"/>
        <v/>
      </c>
      <c r="KM21" s="1903" t="str">
        <f t="shared" si="278"/>
        <v/>
      </c>
      <c r="KN21" s="1903" t="str">
        <f t="shared" si="279"/>
        <v/>
      </c>
      <c r="KO21" s="1903" t="str">
        <f t="shared" si="280"/>
        <v/>
      </c>
      <c r="KP21" s="1903" t="str">
        <f t="shared" si="281"/>
        <v/>
      </c>
      <c r="KQ21" s="1903" t="str">
        <f t="shared" si="282"/>
        <v/>
      </c>
      <c r="KR21" s="1903" t="str">
        <f t="shared" si="283"/>
        <v/>
      </c>
      <c r="KS21" s="1903" t="str">
        <f t="shared" si="284"/>
        <v/>
      </c>
      <c r="KT21" s="1903" t="str">
        <f t="shared" si="285"/>
        <v/>
      </c>
      <c r="KU21" s="1903" t="str">
        <f t="shared" si="286"/>
        <v/>
      </c>
      <c r="KV21" s="1903" t="str">
        <f t="shared" si="287"/>
        <v/>
      </c>
      <c r="KW21" s="1903" t="str">
        <f t="shared" si="288"/>
        <v/>
      </c>
      <c r="KX21" s="1903" t="str">
        <f t="shared" si="289"/>
        <v/>
      </c>
      <c r="KY21" s="1903" t="str">
        <f t="shared" si="290"/>
        <v/>
      </c>
      <c r="KZ21" s="1903" t="str">
        <f t="shared" si="291"/>
        <v/>
      </c>
      <c r="LA21" s="1903" t="str">
        <f t="shared" si="292"/>
        <v/>
      </c>
      <c r="LB21" s="1903" t="str">
        <f t="shared" si="293"/>
        <v/>
      </c>
      <c r="LC21" s="1903" t="str">
        <f t="shared" si="294"/>
        <v/>
      </c>
      <c r="LD21" s="1903" t="str">
        <f t="shared" si="295"/>
        <v/>
      </c>
      <c r="LE21" s="1903" t="str">
        <f t="shared" si="296"/>
        <v/>
      </c>
      <c r="LF21" s="1903" t="str">
        <f t="shared" si="297"/>
        <v/>
      </c>
      <c r="LG21" s="1892" t="str">
        <f t="shared" si="298"/>
        <v/>
      </c>
      <c r="LH21" s="1892" t="str">
        <f t="shared" si="299"/>
        <v/>
      </c>
      <c r="LI21" s="1892" t="str">
        <f t="shared" si="300"/>
        <v/>
      </c>
      <c r="LJ21" s="1892" t="str">
        <f t="shared" si="301"/>
        <v/>
      </c>
      <c r="LK21" s="1892"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50">
        <f t="shared" si="323"/>
        <v>0</v>
      </c>
      <c r="MG21" s="1750">
        <f t="shared" si="324"/>
        <v>0</v>
      </c>
      <c r="MH21" s="1750">
        <f t="shared" si="325"/>
        <v>0</v>
      </c>
      <c r="MI21" s="1750">
        <f t="shared" si="326"/>
        <v>0</v>
      </c>
      <c r="MJ21" s="1750">
        <f t="shared" si="327"/>
        <v>0</v>
      </c>
      <c r="MK21" s="1750">
        <f t="shared" si="333"/>
        <v>0</v>
      </c>
      <c r="ML21" s="1750">
        <f t="shared" si="334"/>
        <v>0</v>
      </c>
      <c r="MM21" s="1750">
        <f t="shared" si="335"/>
        <v>15</v>
      </c>
      <c r="MN21" s="1750">
        <f t="shared" si="336"/>
        <v>0</v>
      </c>
      <c r="MO21" s="1750">
        <f t="shared" si="337"/>
        <v>0</v>
      </c>
      <c r="MP21" s="1750">
        <f t="shared" si="328"/>
        <v>0</v>
      </c>
      <c r="MQ21" s="1750">
        <f t="shared" si="329"/>
        <v>0</v>
      </c>
      <c r="MR21" s="1750">
        <f t="shared" si="330"/>
        <v>0</v>
      </c>
      <c r="MS21" s="1750">
        <f t="shared" si="331"/>
        <v>0</v>
      </c>
      <c r="MT21" s="1750">
        <f t="shared" si="332"/>
        <v>0</v>
      </c>
      <c r="NP21" s="1721" t="s">
        <v>6424</v>
      </c>
    </row>
    <row r="22" spans="1:380" ht="13.9" customHeight="1">
      <c r="A22" s="86" t="str">
        <f t="shared" si="0"/>
        <v/>
      </c>
      <c r="B22" s="1120">
        <v>60</v>
      </c>
      <c r="C22" s="132">
        <v>2</v>
      </c>
      <c r="D22" s="1753">
        <v>2</v>
      </c>
      <c r="E22" s="133">
        <v>15</v>
      </c>
      <c r="F22" s="133">
        <v>1156</v>
      </c>
      <c r="G22" s="133">
        <v>1180</v>
      </c>
      <c r="H22" s="133">
        <v>1320</v>
      </c>
      <c r="I22" s="133">
        <v>0</v>
      </c>
      <c r="J22" s="756">
        <f>IF(C22="",0,HLOOKUP(C22,'Part IV-Utility Allowances'!$I$11:$M$22,12))</f>
        <v>77</v>
      </c>
      <c r="K22" s="644" t="s">
        <v>6932</v>
      </c>
      <c r="L22" s="461">
        <f t="shared" si="1"/>
        <v>1243</v>
      </c>
      <c r="M22" s="461">
        <f t="shared" si="2"/>
        <v>18645</v>
      </c>
      <c r="N22" s="695" t="s">
        <v>2655</v>
      </c>
      <c r="O22" s="1685" t="s">
        <v>6300</v>
      </c>
      <c r="P22" s="695" t="s">
        <v>2121</v>
      </c>
      <c r="Q22" s="134" t="s">
        <v>2655</v>
      </c>
      <c r="R22" s="739"/>
      <c r="S22" s="740"/>
      <c r="T22" s="3087"/>
      <c r="U22" s="3088"/>
      <c r="V22" s="3088"/>
      <c r="W22" s="3089"/>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15</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f t="shared" si="65"/>
        <v>15</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17340</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f t="shared" si="160"/>
        <v>17340</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15</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903" t="str">
        <f t="shared" si="213"/>
        <v/>
      </c>
      <c r="IA22" s="1903" t="str">
        <f t="shared" si="214"/>
        <v/>
      </c>
      <c r="IB22" s="1903">
        <f t="shared" si="215"/>
        <v>15</v>
      </c>
      <c r="IC22" s="1903" t="str">
        <f t="shared" si="216"/>
        <v/>
      </c>
      <c r="ID22" s="1903" t="str">
        <f t="shared" si="217"/>
        <v/>
      </c>
      <c r="IE22" s="1903" t="str">
        <f t="shared" si="218"/>
        <v/>
      </c>
      <c r="IF22" s="1903" t="str">
        <f t="shared" si="219"/>
        <v/>
      </c>
      <c r="IG22" s="1903" t="str">
        <f t="shared" si="220"/>
        <v/>
      </c>
      <c r="IH22" s="1903" t="str">
        <f t="shared" si="221"/>
        <v/>
      </c>
      <c r="II22" s="1903" t="str">
        <f t="shared" si="222"/>
        <v/>
      </c>
      <c r="IJ22" s="1903" t="str">
        <f t="shared" si="223"/>
        <v/>
      </c>
      <c r="IK22" s="1903" t="str">
        <f t="shared" si="224"/>
        <v/>
      </c>
      <c r="IL22" s="1903" t="str">
        <f t="shared" si="225"/>
        <v/>
      </c>
      <c r="IM22" s="1903" t="str">
        <f t="shared" si="226"/>
        <v/>
      </c>
      <c r="IN22" s="1903" t="str">
        <f t="shared" si="227"/>
        <v/>
      </c>
      <c r="IO22" s="1903" t="str">
        <f t="shared" si="228"/>
        <v/>
      </c>
      <c r="IP22" s="1903" t="str">
        <f t="shared" si="229"/>
        <v/>
      </c>
      <c r="IQ22" s="1903" t="str">
        <f t="shared" si="230"/>
        <v/>
      </c>
      <c r="IR22" s="1903" t="str">
        <f t="shared" si="231"/>
        <v/>
      </c>
      <c r="IS22" s="1903" t="str">
        <f t="shared" si="232"/>
        <v/>
      </c>
      <c r="IT22" s="1903" t="str">
        <f t="shared" si="233"/>
        <v/>
      </c>
      <c r="IU22" s="1903" t="str">
        <f t="shared" si="234"/>
        <v/>
      </c>
      <c r="IV22" s="1903" t="str">
        <f t="shared" si="235"/>
        <v/>
      </c>
      <c r="IW22" s="1903" t="str">
        <f t="shared" si="236"/>
        <v/>
      </c>
      <c r="IX22" s="1903" t="str">
        <f t="shared" si="237"/>
        <v/>
      </c>
      <c r="IY22" s="1903" t="str">
        <f t="shared" si="238"/>
        <v/>
      </c>
      <c r="IZ22" s="1903" t="str">
        <f t="shared" si="239"/>
        <v/>
      </c>
      <c r="JA22" s="1903" t="str">
        <f t="shared" si="240"/>
        <v/>
      </c>
      <c r="JB22" s="1903" t="str">
        <f t="shared" si="241"/>
        <v/>
      </c>
      <c r="JC22" s="1903" t="str">
        <f t="shared" si="242"/>
        <v/>
      </c>
      <c r="JD22" s="1903" t="str">
        <f t="shared" si="243"/>
        <v/>
      </c>
      <c r="JE22" s="1903" t="str">
        <f t="shared" si="244"/>
        <v/>
      </c>
      <c r="JF22" s="1903" t="str">
        <f t="shared" si="245"/>
        <v/>
      </c>
      <c r="JG22" s="1903" t="str">
        <f t="shared" si="246"/>
        <v/>
      </c>
      <c r="JH22" s="1903" t="str">
        <f t="shared" si="247"/>
        <v/>
      </c>
      <c r="JI22" s="1903" t="str">
        <f t="shared" si="248"/>
        <v/>
      </c>
      <c r="JJ22" s="1903" t="str">
        <f t="shared" si="249"/>
        <v/>
      </c>
      <c r="JK22" s="1903" t="str">
        <f t="shared" si="250"/>
        <v/>
      </c>
      <c r="JL22" s="1903" t="str">
        <f t="shared" si="251"/>
        <v/>
      </c>
      <c r="JM22" s="1903" t="str">
        <f t="shared" si="252"/>
        <v/>
      </c>
      <c r="JN22" s="1903" t="str">
        <f t="shared" si="253"/>
        <v/>
      </c>
      <c r="JO22" s="1903" t="str">
        <f t="shared" si="254"/>
        <v/>
      </c>
      <c r="JP22" s="1903" t="str">
        <f t="shared" si="255"/>
        <v/>
      </c>
      <c r="JQ22" s="1903" t="str">
        <f t="shared" si="256"/>
        <v/>
      </c>
      <c r="JR22" s="1903" t="str">
        <f t="shared" si="257"/>
        <v/>
      </c>
      <c r="JS22" s="1903" t="str">
        <f t="shared" si="258"/>
        <v/>
      </c>
      <c r="JT22" s="1903" t="str">
        <f t="shared" si="259"/>
        <v/>
      </c>
      <c r="JU22" s="1903">
        <f t="shared" si="260"/>
        <v>15</v>
      </c>
      <c r="JV22" s="1903" t="str">
        <f t="shared" si="261"/>
        <v/>
      </c>
      <c r="JW22" s="1903" t="str">
        <f t="shared" si="262"/>
        <v/>
      </c>
      <c r="JX22" s="1903" t="str">
        <f t="shared" si="263"/>
        <v/>
      </c>
      <c r="JY22" s="1903" t="str">
        <f t="shared" si="264"/>
        <v/>
      </c>
      <c r="JZ22" s="1903" t="str">
        <f t="shared" si="265"/>
        <v/>
      </c>
      <c r="KA22" s="1903" t="str">
        <f t="shared" si="266"/>
        <v/>
      </c>
      <c r="KB22" s="1903" t="str">
        <f t="shared" si="267"/>
        <v/>
      </c>
      <c r="KC22" s="1903" t="str">
        <f t="shared" si="268"/>
        <v/>
      </c>
      <c r="KD22" s="1903" t="str">
        <f t="shared" si="269"/>
        <v/>
      </c>
      <c r="KE22" s="1903" t="str">
        <f t="shared" si="270"/>
        <v/>
      </c>
      <c r="KF22" s="1903" t="str">
        <f t="shared" si="271"/>
        <v/>
      </c>
      <c r="KG22" s="1903" t="str">
        <f t="shared" si="272"/>
        <v/>
      </c>
      <c r="KH22" s="1903" t="str">
        <f t="shared" si="273"/>
        <v/>
      </c>
      <c r="KI22" s="1903" t="str">
        <f t="shared" si="274"/>
        <v/>
      </c>
      <c r="KJ22" s="1903" t="str">
        <f t="shared" si="275"/>
        <v/>
      </c>
      <c r="KK22" s="1903" t="str">
        <f t="shared" si="276"/>
        <v/>
      </c>
      <c r="KL22" s="1903" t="str">
        <f t="shared" si="277"/>
        <v/>
      </c>
      <c r="KM22" s="1903" t="str">
        <f t="shared" si="278"/>
        <v/>
      </c>
      <c r="KN22" s="1903" t="str">
        <f t="shared" si="279"/>
        <v/>
      </c>
      <c r="KO22" s="1903" t="str">
        <f t="shared" si="280"/>
        <v/>
      </c>
      <c r="KP22" s="1903" t="str">
        <f t="shared" si="281"/>
        <v/>
      </c>
      <c r="KQ22" s="1903" t="str">
        <f t="shared" si="282"/>
        <v/>
      </c>
      <c r="KR22" s="1903" t="str">
        <f t="shared" si="283"/>
        <v/>
      </c>
      <c r="KS22" s="1903" t="str">
        <f t="shared" si="284"/>
        <v/>
      </c>
      <c r="KT22" s="1903" t="str">
        <f t="shared" si="285"/>
        <v/>
      </c>
      <c r="KU22" s="1903" t="str">
        <f t="shared" si="286"/>
        <v/>
      </c>
      <c r="KV22" s="1903" t="str">
        <f t="shared" si="287"/>
        <v/>
      </c>
      <c r="KW22" s="1903" t="str">
        <f t="shared" si="288"/>
        <v/>
      </c>
      <c r="KX22" s="1903" t="str">
        <f t="shared" si="289"/>
        <v/>
      </c>
      <c r="KY22" s="1903" t="str">
        <f t="shared" si="290"/>
        <v/>
      </c>
      <c r="KZ22" s="1903" t="str">
        <f t="shared" si="291"/>
        <v/>
      </c>
      <c r="LA22" s="1903" t="str">
        <f t="shared" si="292"/>
        <v/>
      </c>
      <c r="LB22" s="1903" t="str">
        <f t="shared" si="293"/>
        <v/>
      </c>
      <c r="LC22" s="1903" t="str">
        <f t="shared" si="294"/>
        <v/>
      </c>
      <c r="LD22" s="1903" t="str">
        <f t="shared" si="295"/>
        <v/>
      </c>
      <c r="LE22" s="1903" t="str">
        <f t="shared" si="296"/>
        <v/>
      </c>
      <c r="LF22" s="1903" t="str">
        <f t="shared" si="297"/>
        <v/>
      </c>
      <c r="LG22" s="1892" t="str">
        <f t="shared" si="298"/>
        <v/>
      </c>
      <c r="LH22" s="1892" t="str">
        <f t="shared" si="299"/>
        <v/>
      </c>
      <c r="LI22" s="1892" t="str">
        <f t="shared" si="300"/>
        <v/>
      </c>
      <c r="LJ22" s="1892" t="str">
        <f t="shared" si="301"/>
        <v/>
      </c>
      <c r="LK22" s="1892"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50">
        <f t="shared" si="323"/>
        <v>0</v>
      </c>
      <c r="MG22" s="1750">
        <f t="shared" si="324"/>
        <v>0</v>
      </c>
      <c r="MH22" s="1750">
        <f t="shared" si="325"/>
        <v>0</v>
      </c>
      <c r="MI22" s="1750">
        <f t="shared" si="326"/>
        <v>0</v>
      </c>
      <c r="MJ22" s="1750">
        <f t="shared" si="327"/>
        <v>0</v>
      </c>
      <c r="MK22" s="1750">
        <f t="shared" si="333"/>
        <v>0</v>
      </c>
      <c r="ML22" s="1750">
        <f t="shared" si="334"/>
        <v>0</v>
      </c>
      <c r="MM22" s="1750">
        <f t="shared" si="335"/>
        <v>15</v>
      </c>
      <c r="MN22" s="1750">
        <f t="shared" si="336"/>
        <v>0</v>
      </c>
      <c r="MO22" s="1750">
        <f t="shared" si="337"/>
        <v>0</v>
      </c>
      <c r="MP22" s="1750">
        <f t="shared" si="328"/>
        <v>0</v>
      </c>
      <c r="MQ22" s="1750">
        <f t="shared" si="329"/>
        <v>0</v>
      </c>
      <c r="MR22" s="1750">
        <f t="shared" si="330"/>
        <v>0</v>
      </c>
      <c r="MS22" s="1750">
        <f t="shared" si="331"/>
        <v>0</v>
      </c>
      <c r="MT22" s="1750">
        <f t="shared" si="332"/>
        <v>0</v>
      </c>
      <c r="NP22" s="1721" t="s">
        <v>6425</v>
      </c>
    </row>
    <row r="23" spans="1:380" ht="13.9" customHeight="1">
      <c r="A23" s="86" t="str">
        <f t="shared" si="0"/>
        <v/>
      </c>
      <c r="B23" s="1120">
        <v>60</v>
      </c>
      <c r="C23" s="132">
        <v>2</v>
      </c>
      <c r="D23" s="1753">
        <v>2</v>
      </c>
      <c r="E23" s="133">
        <v>2</v>
      </c>
      <c r="F23" s="133">
        <v>1156</v>
      </c>
      <c r="G23" s="133">
        <v>1180</v>
      </c>
      <c r="H23" s="133">
        <v>1080</v>
      </c>
      <c r="I23" s="133">
        <v>0</v>
      </c>
      <c r="J23" s="756">
        <f>IF(C23="",0,HLOOKUP(C23,'Part IV-Utility Allowances'!$I$11:$M$22,12))</f>
        <v>77</v>
      </c>
      <c r="K23" s="644"/>
      <c r="L23" s="461">
        <f t="shared" si="1"/>
        <v>1003</v>
      </c>
      <c r="M23" s="461">
        <f t="shared" si="2"/>
        <v>2006</v>
      </c>
      <c r="N23" s="695" t="s">
        <v>2655</v>
      </c>
      <c r="O23" s="1685" t="s">
        <v>6300</v>
      </c>
      <c r="P23" s="695" t="s">
        <v>2121</v>
      </c>
      <c r="Q23" s="134" t="s">
        <v>2655</v>
      </c>
      <c r="R23" s="739"/>
      <c r="S23" s="740"/>
      <c r="T23" s="3087"/>
      <c r="U23" s="3088"/>
      <c r="V23" s="3088"/>
      <c r="W23" s="3089"/>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f t="shared" si="15"/>
        <v>2</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f t="shared" si="130"/>
        <v>2312</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f t="shared" si="170"/>
        <v>2</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903" t="str">
        <f t="shared" si="213"/>
        <v/>
      </c>
      <c r="IA23" s="1903" t="str">
        <f t="shared" si="214"/>
        <v/>
      </c>
      <c r="IB23" s="1903">
        <f t="shared" si="215"/>
        <v>2</v>
      </c>
      <c r="IC23" s="1903" t="str">
        <f t="shared" si="216"/>
        <v/>
      </c>
      <c r="ID23" s="1903" t="str">
        <f t="shared" si="217"/>
        <v/>
      </c>
      <c r="IE23" s="1903" t="str">
        <f t="shared" si="218"/>
        <v/>
      </c>
      <c r="IF23" s="1903" t="str">
        <f t="shared" si="219"/>
        <v/>
      </c>
      <c r="IG23" s="1903" t="str">
        <f t="shared" si="220"/>
        <v/>
      </c>
      <c r="IH23" s="1903" t="str">
        <f t="shared" si="221"/>
        <v/>
      </c>
      <c r="II23" s="1903" t="str">
        <f t="shared" si="222"/>
        <v/>
      </c>
      <c r="IJ23" s="1903" t="str">
        <f t="shared" si="223"/>
        <v/>
      </c>
      <c r="IK23" s="1903" t="str">
        <f t="shared" si="224"/>
        <v/>
      </c>
      <c r="IL23" s="1903" t="str">
        <f t="shared" si="225"/>
        <v/>
      </c>
      <c r="IM23" s="1903" t="str">
        <f t="shared" si="226"/>
        <v/>
      </c>
      <c r="IN23" s="1903" t="str">
        <f t="shared" si="227"/>
        <v/>
      </c>
      <c r="IO23" s="1903" t="str">
        <f t="shared" si="228"/>
        <v/>
      </c>
      <c r="IP23" s="1903" t="str">
        <f t="shared" si="229"/>
        <v/>
      </c>
      <c r="IQ23" s="1903" t="str">
        <f t="shared" si="230"/>
        <v/>
      </c>
      <c r="IR23" s="1903" t="str">
        <f t="shared" si="231"/>
        <v/>
      </c>
      <c r="IS23" s="1903" t="str">
        <f t="shared" si="232"/>
        <v/>
      </c>
      <c r="IT23" s="1903" t="str">
        <f t="shared" si="233"/>
        <v/>
      </c>
      <c r="IU23" s="1903" t="str">
        <f t="shared" si="234"/>
        <v/>
      </c>
      <c r="IV23" s="1903" t="str">
        <f t="shared" si="235"/>
        <v/>
      </c>
      <c r="IW23" s="1903" t="str">
        <f t="shared" si="236"/>
        <v/>
      </c>
      <c r="IX23" s="1903" t="str">
        <f t="shared" si="237"/>
        <v/>
      </c>
      <c r="IY23" s="1903" t="str">
        <f t="shared" si="238"/>
        <v/>
      </c>
      <c r="IZ23" s="1903" t="str">
        <f t="shared" si="239"/>
        <v/>
      </c>
      <c r="JA23" s="1903" t="str">
        <f t="shared" si="240"/>
        <v/>
      </c>
      <c r="JB23" s="1903" t="str">
        <f t="shared" si="241"/>
        <v/>
      </c>
      <c r="JC23" s="1903" t="str">
        <f t="shared" si="242"/>
        <v/>
      </c>
      <c r="JD23" s="1903" t="str">
        <f t="shared" si="243"/>
        <v/>
      </c>
      <c r="JE23" s="1903" t="str">
        <f t="shared" si="244"/>
        <v/>
      </c>
      <c r="JF23" s="1903" t="str">
        <f t="shared" si="245"/>
        <v/>
      </c>
      <c r="JG23" s="1903" t="str">
        <f t="shared" si="246"/>
        <v/>
      </c>
      <c r="JH23" s="1903" t="str">
        <f t="shared" si="247"/>
        <v/>
      </c>
      <c r="JI23" s="1903" t="str">
        <f t="shared" si="248"/>
        <v/>
      </c>
      <c r="JJ23" s="1903" t="str">
        <f t="shared" si="249"/>
        <v/>
      </c>
      <c r="JK23" s="1903" t="str">
        <f t="shared" si="250"/>
        <v/>
      </c>
      <c r="JL23" s="1903" t="str">
        <f t="shared" si="251"/>
        <v/>
      </c>
      <c r="JM23" s="1903" t="str">
        <f t="shared" si="252"/>
        <v/>
      </c>
      <c r="JN23" s="1903" t="str">
        <f t="shared" si="253"/>
        <v/>
      </c>
      <c r="JO23" s="1903" t="str">
        <f t="shared" si="254"/>
        <v/>
      </c>
      <c r="JP23" s="1903" t="str">
        <f t="shared" si="255"/>
        <v/>
      </c>
      <c r="JQ23" s="1903" t="str">
        <f t="shared" si="256"/>
        <v/>
      </c>
      <c r="JR23" s="1903" t="str">
        <f t="shared" si="257"/>
        <v/>
      </c>
      <c r="JS23" s="1903" t="str">
        <f t="shared" si="258"/>
        <v/>
      </c>
      <c r="JT23" s="1903" t="str">
        <f t="shared" si="259"/>
        <v/>
      </c>
      <c r="JU23" s="1903">
        <f t="shared" si="260"/>
        <v>2</v>
      </c>
      <c r="JV23" s="1903" t="str">
        <f t="shared" si="261"/>
        <v/>
      </c>
      <c r="JW23" s="1903" t="str">
        <f t="shared" si="262"/>
        <v/>
      </c>
      <c r="JX23" s="1903" t="str">
        <f t="shared" si="263"/>
        <v/>
      </c>
      <c r="JY23" s="1903" t="str">
        <f t="shared" si="264"/>
        <v/>
      </c>
      <c r="JZ23" s="1903" t="str">
        <f t="shared" si="265"/>
        <v/>
      </c>
      <c r="KA23" s="1903" t="str">
        <f t="shared" si="266"/>
        <v/>
      </c>
      <c r="KB23" s="1903" t="str">
        <f t="shared" si="267"/>
        <v/>
      </c>
      <c r="KC23" s="1903" t="str">
        <f t="shared" si="268"/>
        <v/>
      </c>
      <c r="KD23" s="1903" t="str">
        <f t="shared" si="269"/>
        <v/>
      </c>
      <c r="KE23" s="1903" t="str">
        <f t="shared" si="270"/>
        <v/>
      </c>
      <c r="KF23" s="1903" t="str">
        <f t="shared" si="271"/>
        <v/>
      </c>
      <c r="KG23" s="1903" t="str">
        <f t="shared" si="272"/>
        <v/>
      </c>
      <c r="KH23" s="1903" t="str">
        <f t="shared" si="273"/>
        <v/>
      </c>
      <c r="KI23" s="1903" t="str">
        <f t="shared" si="274"/>
        <v/>
      </c>
      <c r="KJ23" s="1903" t="str">
        <f t="shared" si="275"/>
        <v/>
      </c>
      <c r="KK23" s="1903" t="str">
        <f t="shared" si="276"/>
        <v/>
      </c>
      <c r="KL23" s="1903" t="str">
        <f t="shared" si="277"/>
        <v/>
      </c>
      <c r="KM23" s="1903" t="str">
        <f t="shared" si="278"/>
        <v/>
      </c>
      <c r="KN23" s="1903" t="str">
        <f t="shared" si="279"/>
        <v/>
      </c>
      <c r="KO23" s="1903" t="str">
        <f t="shared" si="280"/>
        <v/>
      </c>
      <c r="KP23" s="1903" t="str">
        <f t="shared" si="281"/>
        <v/>
      </c>
      <c r="KQ23" s="1903" t="str">
        <f t="shared" si="282"/>
        <v/>
      </c>
      <c r="KR23" s="1903" t="str">
        <f t="shared" si="283"/>
        <v/>
      </c>
      <c r="KS23" s="1903" t="str">
        <f t="shared" si="284"/>
        <v/>
      </c>
      <c r="KT23" s="1903" t="str">
        <f t="shared" si="285"/>
        <v/>
      </c>
      <c r="KU23" s="1903" t="str">
        <f t="shared" si="286"/>
        <v/>
      </c>
      <c r="KV23" s="1903" t="str">
        <f t="shared" si="287"/>
        <v/>
      </c>
      <c r="KW23" s="1903" t="str">
        <f t="shared" si="288"/>
        <v/>
      </c>
      <c r="KX23" s="1903" t="str">
        <f t="shared" si="289"/>
        <v/>
      </c>
      <c r="KY23" s="1903" t="str">
        <f t="shared" si="290"/>
        <v/>
      </c>
      <c r="KZ23" s="1903" t="str">
        <f t="shared" si="291"/>
        <v/>
      </c>
      <c r="LA23" s="1903" t="str">
        <f t="shared" si="292"/>
        <v/>
      </c>
      <c r="LB23" s="1903" t="str">
        <f t="shared" si="293"/>
        <v/>
      </c>
      <c r="LC23" s="1903" t="str">
        <f t="shared" si="294"/>
        <v/>
      </c>
      <c r="LD23" s="1903" t="str">
        <f t="shared" si="295"/>
        <v/>
      </c>
      <c r="LE23" s="1903" t="str">
        <f t="shared" si="296"/>
        <v/>
      </c>
      <c r="LF23" s="1903" t="str">
        <f t="shared" si="297"/>
        <v/>
      </c>
      <c r="LG23" s="1892" t="str">
        <f t="shared" si="298"/>
        <v/>
      </c>
      <c r="LH23" s="1892" t="str">
        <f t="shared" si="299"/>
        <v/>
      </c>
      <c r="LI23" s="1892" t="str">
        <f t="shared" si="300"/>
        <v/>
      </c>
      <c r="LJ23" s="1892" t="str">
        <f t="shared" si="301"/>
        <v/>
      </c>
      <c r="LK23" s="1892"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50">
        <f t="shared" si="323"/>
        <v>0</v>
      </c>
      <c r="MG23" s="1750">
        <f t="shared" si="324"/>
        <v>0</v>
      </c>
      <c r="MH23" s="1750">
        <f t="shared" si="325"/>
        <v>0</v>
      </c>
      <c r="MI23" s="1750">
        <f t="shared" si="326"/>
        <v>0</v>
      </c>
      <c r="MJ23" s="1750">
        <f t="shared" si="327"/>
        <v>0</v>
      </c>
      <c r="MK23" s="1750">
        <f t="shared" si="333"/>
        <v>0</v>
      </c>
      <c r="ML23" s="1750">
        <f t="shared" si="334"/>
        <v>0</v>
      </c>
      <c r="MM23" s="1750">
        <f t="shared" si="335"/>
        <v>2</v>
      </c>
      <c r="MN23" s="1750">
        <f t="shared" si="336"/>
        <v>0</v>
      </c>
      <c r="MO23" s="1750">
        <f t="shared" si="337"/>
        <v>0</v>
      </c>
      <c r="MP23" s="1750">
        <f t="shared" si="328"/>
        <v>0</v>
      </c>
      <c r="MQ23" s="1750">
        <f t="shared" si="329"/>
        <v>0</v>
      </c>
      <c r="MR23" s="1750">
        <f t="shared" si="330"/>
        <v>0</v>
      </c>
      <c r="MS23" s="1750">
        <f t="shared" si="331"/>
        <v>0</v>
      </c>
      <c r="MT23" s="1750">
        <f t="shared" si="332"/>
        <v>0</v>
      </c>
      <c r="NP23" s="1721" t="s">
        <v>6426</v>
      </c>
    </row>
    <row r="24" spans="1:380" ht="13.9" customHeight="1">
      <c r="A24" s="86" t="str">
        <f t="shared" si="0"/>
        <v/>
      </c>
      <c r="B24" s="1120">
        <v>80</v>
      </c>
      <c r="C24" s="132">
        <v>2</v>
      </c>
      <c r="D24" s="1753">
        <v>2</v>
      </c>
      <c r="E24" s="133">
        <v>7</v>
      </c>
      <c r="F24" s="133">
        <v>1156</v>
      </c>
      <c r="G24" s="133">
        <v>1574</v>
      </c>
      <c r="H24" s="133">
        <v>1324</v>
      </c>
      <c r="I24" s="133">
        <v>0</v>
      </c>
      <c r="J24" s="756">
        <f>IF(C24="",0,HLOOKUP(C24,'Part IV-Utility Allowances'!$I$11:$M$22,12))</f>
        <v>77</v>
      </c>
      <c r="K24" s="644"/>
      <c r="L24" s="461">
        <f t="shared" si="1"/>
        <v>1247</v>
      </c>
      <c r="M24" s="461">
        <f t="shared" si="2"/>
        <v>8729</v>
      </c>
      <c r="N24" s="695" t="s">
        <v>2655</v>
      </c>
      <c r="O24" s="1685" t="s">
        <v>6300</v>
      </c>
      <c r="P24" s="695" t="s">
        <v>2121</v>
      </c>
      <c r="Q24" s="134" t="s">
        <v>2655</v>
      </c>
      <c r="R24" s="739"/>
      <c r="S24" s="740"/>
      <c r="T24" s="3087"/>
      <c r="U24" s="3088"/>
      <c r="V24" s="3088"/>
      <c r="W24" s="3089"/>
      <c r="X24" s="357" t="str">
        <f t="shared" si="3"/>
        <v/>
      </c>
      <c r="Y24" s="357" t="str">
        <f t="shared" si="4"/>
        <v/>
      </c>
      <c r="Z24" s="357">
        <f t="shared" si="5"/>
        <v>7</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f t="shared" si="120"/>
        <v>8092</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f t="shared" si="170"/>
        <v>7</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903" t="str">
        <f t="shared" si="213"/>
        <v/>
      </c>
      <c r="IA24" s="1903" t="str">
        <f t="shared" si="214"/>
        <v/>
      </c>
      <c r="IB24" s="1903">
        <f t="shared" si="215"/>
        <v>7</v>
      </c>
      <c r="IC24" s="1903" t="str">
        <f t="shared" si="216"/>
        <v/>
      </c>
      <c r="ID24" s="1903" t="str">
        <f t="shared" si="217"/>
        <v/>
      </c>
      <c r="IE24" s="1903" t="str">
        <f t="shared" si="218"/>
        <v/>
      </c>
      <c r="IF24" s="1903" t="str">
        <f t="shared" si="219"/>
        <v/>
      </c>
      <c r="IG24" s="1903" t="str">
        <f t="shared" si="220"/>
        <v/>
      </c>
      <c r="IH24" s="1903" t="str">
        <f t="shared" si="221"/>
        <v/>
      </c>
      <c r="II24" s="1903" t="str">
        <f t="shared" si="222"/>
        <v/>
      </c>
      <c r="IJ24" s="1903" t="str">
        <f t="shared" si="223"/>
        <v/>
      </c>
      <c r="IK24" s="1903" t="str">
        <f t="shared" si="224"/>
        <v/>
      </c>
      <c r="IL24" s="1903" t="str">
        <f t="shared" si="225"/>
        <v/>
      </c>
      <c r="IM24" s="1903" t="str">
        <f t="shared" si="226"/>
        <v/>
      </c>
      <c r="IN24" s="1903" t="str">
        <f t="shared" si="227"/>
        <v/>
      </c>
      <c r="IO24" s="1903" t="str">
        <f t="shared" si="228"/>
        <v/>
      </c>
      <c r="IP24" s="1903" t="str">
        <f t="shared" si="229"/>
        <v/>
      </c>
      <c r="IQ24" s="1903" t="str">
        <f t="shared" si="230"/>
        <v/>
      </c>
      <c r="IR24" s="1903" t="str">
        <f t="shared" si="231"/>
        <v/>
      </c>
      <c r="IS24" s="1903" t="str">
        <f t="shared" si="232"/>
        <v/>
      </c>
      <c r="IT24" s="1903" t="str">
        <f t="shared" si="233"/>
        <v/>
      </c>
      <c r="IU24" s="1903" t="str">
        <f t="shared" si="234"/>
        <v/>
      </c>
      <c r="IV24" s="1903" t="str">
        <f t="shared" si="235"/>
        <v/>
      </c>
      <c r="IW24" s="1903" t="str">
        <f t="shared" si="236"/>
        <v/>
      </c>
      <c r="IX24" s="1903" t="str">
        <f t="shared" si="237"/>
        <v/>
      </c>
      <c r="IY24" s="1903" t="str">
        <f t="shared" si="238"/>
        <v/>
      </c>
      <c r="IZ24" s="1903" t="str">
        <f t="shared" si="239"/>
        <v/>
      </c>
      <c r="JA24" s="1903" t="str">
        <f t="shared" si="240"/>
        <v/>
      </c>
      <c r="JB24" s="1903" t="str">
        <f t="shared" si="241"/>
        <v/>
      </c>
      <c r="JC24" s="1903" t="str">
        <f t="shared" si="242"/>
        <v/>
      </c>
      <c r="JD24" s="1903" t="str">
        <f t="shared" si="243"/>
        <v/>
      </c>
      <c r="JE24" s="1903" t="str">
        <f t="shared" si="244"/>
        <v/>
      </c>
      <c r="JF24" s="1903" t="str">
        <f t="shared" si="245"/>
        <v/>
      </c>
      <c r="JG24" s="1903" t="str">
        <f t="shared" si="246"/>
        <v/>
      </c>
      <c r="JH24" s="1903" t="str">
        <f t="shared" si="247"/>
        <v/>
      </c>
      <c r="JI24" s="1903" t="str">
        <f t="shared" si="248"/>
        <v/>
      </c>
      <c r="JJ24" s="1903" t="str">
        <f t="shared" si="249"/>
        <v/>
      </c>
      <c r="JK24" s="1903" t="str">
        <f t="shared" si="250"/>
        <v/>
      </c>
      <c r="JL24" s="1903" t="str">
        <f t="shared" si="251"/>
        <v/>
      </c>
      <c r="JM24" s="1903" t="str">
        <f t="shared" si="252"/>
        <v/>
      </c>
      <c r="JN24" s="1903" t="str">
        <f t="shared" si="253"/>
        <v/>
      </c>
      <c r="JO24" s="1903" t="str">
        <f t="shared" si="254"/>
        <v/>
      </c>
      <c r="JP24" s="1903" t="str">
        <f t="shared" si="255"/>
        <v/>
      </c>
      <c r="JQ24" s="1903" t="str">
        <f t="shared" si="256"/>
        <v/>
      </c>
      <c r="JR24" s="1903" t="str">
        <f t="shared" si="257"/>
        <v/>
      </c>
      <c r="JS24" s="1903" t="str">
        <f t="shared" si="258"/>
        <v/>
      </c>
      <c r="JT24" s="1903" t="str">
        <f t="shared" si="259"/>
        <v/>
      </c>
      <c r="JU24" s="1903">
        <f t="shared" si="260"/>
        <v>7</v>
      </c>
      <c r="JV24" s="1903" t="str">
        <f t="shared" si="261"/>
        <v/>
      </c>
      <c r="JW24" s="1903" t="str">
        <f t="shared" si="262"/>
        <v/>
      </c>
      <c r="JX24" s="1903" t="str">
        <f t="shared" si="263"/>
        <v/>
      </c>
      <c r="JY24" s="1903" t="str">
        <f t="shared" si="264"/>
        <v/>
      </c>
      <c r="JZ24" s="1903" t="str">
        <f t="shared" si="265"/>
        <v/>
      </c>
      <c r="KA24" s="1903" t="str">
        <f t="shared" si="266"/>
        <v/>
      </c>
      <c r="KB24" s="1903" t="str">
        <f t="shared" si="267"/>
        <v/>
      </c>
      <c r="KC24" s="1903" t="str">
        <f t="shared" si="268"/>
        <v/>
      </c>
      <c r="KD24" s="1903" t="str">
        <f t="shared" si="269"/>
        <v/>
      </c>
      <c r="KE24" s="1903" t="str">
        <f t="shared" si="270"/>
        <v/>
      </c>
      <c r="KF24" s="1903" t="str">
        <f t="shared" si="271"/>
        <v/>
      </c>
      <c r="KG24" s="1903" t="str">
        <f t="shared" si="272"/>
        <v/>
      </c>
      <c r="KH24" s="1903" t="str">
        <f t="shared" si="273"/>
        <v/>
      </c>
      <c r="KI24" s="1903" t="str">
        <f t="shared" si="274"/>
        <v/>
      </c>
      <c r="KJ24" s="1903" t="str">
        <f t="shared" si="275"/>
        <v/>
      </c>
      <c r="KK24" s="1903" t="str">
        <f t="shared" si="276"/>
        <v/>
      </c>
      <c r="KL24" s="1903" t="str">
        <f t="shared" si="277"/>
        <v/>
      </c>
      <c r="KM24" s="1903" t="str">
        <f t="shared" si="278"/>
        <v/>
      </c>
      <c r="KN24" s="1903" t="str">
        <f t="shared" si="279"/>
        <v/>
      </c>
      <c r="KO24" s="1903" t="str">
        <f t="shared" si="280"/>
        <v/>
      </c>
      <c r="KP24" s="1903" t="str">
        <f t="shared" si="281"/>
        <v/>
      </c>
      <c r="KQ24" s="1903" t="str">
        <f t="shared" si="282"/>
        <v/>
      </c>
      <c r="KR24" s="1903" t="str">
        <f t="shared" si="283"/>
        <v/>
      </c>
      <c r="KS24" s="1903" t="str">
        <f t="shared" si="284"/>
        <v/>
      </c>
      <c r="KT24" s="1903" t="str">
        <f t="shared" si="285"/>
        <v/>
      </c>
      <c r="KU24" s="1903" t="str">
        <f t="shared" si="286"/>
        <v/>
      </c>
      <c r="KV24" s="1903" t="str">
        <f t="shared" si="287"/>
        <v/>
      </c>
      <c r="KW24" s="1903" t="str">
        <f t="shared" si="288"/>
        <v/>
      </c>
      <c r="KX24" s="1903" t="str">
        <f t="shared" si="289"/>
        <v/>
      </c>
      <c r="KY24" s="1903" t="str">
        <f t="shared" si="290"/>
        <v/>
      </c>
      <c r="KZ24" s="1903" t="str">
        <f t="shared" si="291"/>
        <v/>
      </c>
      <c r="LA24" s="1903" t="str">
        <f t="shared" si="292"/>
        <v/>
      </c>
      <c r="LB24" s="1903" t="str">
        <f t="shared" si="293"/>
        <v/>
      </c>
      <c r="LC24" s="1903" t="str">
        <f t="shared" si="294"/>
        <v/>
      </c>
      <c r="LD24" s="1903" t="str">
        <f t="shared" si="295"/>
        <v/>
      </c>
      <c r="LE24" s="1903" t="str">
        <f t="shared" si="296"/>
        <v/>
      </c>
      <c r="LF24" s="1903" t="str">
        <f t="shared" si="297"/>
        <v/>
      </c>
      <c r="LG24" s="1892" t="str">
        <f t="shared" si="298"/>
        <v/>
      </c>
      <c r="LH24" s="1892" t="str">
        <f t="shared" si="299"/>
        <v/>
      </c>
      <c r="LI24" s="1892" t="str">
        <f t="shared" si="300"/>
        <v/>
      </c>
      <c r="LJ24" s="1892" t="str">
        <f t="shared" si="301"/>
        <v/>
      </c>
      <c r="LK24" s="1892"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50">
        <f t="shared" si="323"/>
        <v>0</v>
      </c>
      <c r="MG24" s="1750">
        <f t="shared" si="324"/>
        <v>0</v>
      </c>
      <c r="MH24" s="1750">
        <f t="shared" si="325"/>
        <v>0</v>
      </c>
      <c r="MI24" s="1750">
        <f t="shared" si="326"/>
        <v>0</v>
      </c>
      <c r="MJ24" s="1750">
        <f t="shared" si="327"/>
        <v>0</v>
      </c>
      <c r="MK24" s="1750">
        <f t="shared" si="333"/>
        <v>0</v>
      </c>
      <c r="ML24" s="1750">
        <f t="shared" si="334"/>
        <v>0</v>
      </c>
      <c r="MM24" s="1750">
        <f t="shared" si="335"/>
        <v>7</v>
      </c>
      <c r="MN24" s="1750">
        <f t="shared" si="336"/>
        <v>0</v>
      </c>
      <c r="MO24" s="1750">
        <f t="shared" si="337"/>
        <v>0</v>
      </c>
      <c r="MP24" s="1750">
        <f t="shared" si="328"/>
        <v>0</v>
      </c>
      <c r="MQ24" s="1750">
        <f t="shared" si="329"/>
        <v>0</v>
      </c>
      <c r="MR24" s="1750">
        <f t="shared" si="330"/>
        <v>0</v>
      </c>
      <c r="MS24" s="1750">
        <f t="shared" si="331"/>
        <v>0</v>
      </c>
      <c r="MT24" s="1750">
        <f t="shared" si="332"/>
        <v>0</v>
      </c>
      <c r="NP24" s="1721" t="s">
        <v>6427</v>
      </c>
    </row>
    <row r="25" spans="1:380" ht="13.9" customHeight="1">
      <c r="A25" s="86" t="str">
        <f t="shared" si="0"/>
        <v/>
      </c>
      <c r="B25" s="1120">
        <v>30</v>
      </c>
      <c r="C25" s="132">
        <v>3</v>
      </c>
      <c r="D25" s="1753">
        <v>2</v>
      </c>
      <c r="E25" s="133">
        <v>12</v>
      </c>
      <c r="F25" s="133">
        <v>1364</v>
      </c>
      <c r="G25" s="133">
        <v>681</v>
      </c>
      <c r="H25" s="133">
        <v>1673</v>
      </c>
      <c r="I25" s="133">
        <v>0</v>
      </c>
      <c r="J25" s="756">
        <f>IF(C25="",0,HLOOKUP(C25,'Part IV-Utility Allowances'!$I$11:$M$22,12))</f>
        <v>98</v>
      </c>
      <c r="K25" s="644" t="s">
        <v>6932</v>
      </c>
      <c r="L25" s="461">
        <f t="shared" si="1"/>
        <v>1575</v>
      </c>
      <c r="M25" s="461">
        <f t="shared" si="2"/>
        <v>18900</v>
      </c>
      <c r="N25" s="695" t="s">
        <v>2655</v>
      </c>
      <c r="O25" s="1685" t="s">
        <v>6300</v>
      </c>
      <c r="P25" s="695" t="s">
        <v>2121</v>
      </c>
      <c r="Q25" s="134" t="s">
        <v>2655</v>
      </c>
      <c r="R25" s="739"/>
      <c r="S25" s="740"/>
      <c r="T25" s="3087"/>
      <c r="U25" s="3088"/>
      <c r="V25" s="3088"/>
      <c r="W25" s="3089"/>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f t="shared" si="31"/>
        <v>12</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f t="shared" si="51"/>
        <v>12</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f t="shared" si="146"/>
        <v>16368</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f t="shared" si="161"/>
        <v>16368</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f t="shared" si="171"/>
        <v>12</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903" t="str">
        <f t="shared" si="213"/>
        <v/>
      </c>
      <c r="IA25" s="1903" t="str">
        <f t="shared" si="214"/>
        <v/>
      </c>
      <c r="IB25" s="1903" t="str">
        <f t="shared" si="215"/>
        <v/>
      </c>
      <c r="IC25" s="1903">
        <f t="shared" si="216"/>
        <v>12</v>
      </c>
      <c r="ID25" s="1903" t="str">
        <f t="shared" si="217"/>
        <v/>
      </c>
      <c r="IE25" s="1903" t="str">
        <f t="shared" si="218"/>
        <v/>
      </c>
      <c r="IF25" s="1903" t="str">
        <f t="shared" si="219"/>
        <v/>
      </c>
      <c r="IG25" s="1903" t="str">
        <f t="shared" si="220"/>
        <v/>
      </c>
      <c r="IH25" s="1903" t="str">
        <f t="shared" si="221"/>
        <v/>
      </c>
      <c r="II25" s="1903" t="str">
        <f t="shared" si="222"/>
        <v/>
      </c>
      <c r="IJ25" s="1903" t="str">
        <f t="shared" si="223"/>
        <v/>
      </c>
      <c r="IK25" s="1903" t="str">
        <f t="shared" si="224"/>
        <v/>
      </c>
      <c r="IL25" s="1903" t="str">
        <f t="shared" si="225"/>
        <v/>
      </c>
      <c r="IM25" s="1903" t="str">
        <f t="shared" si="226"/>
        <v/>
      </c>
      <c r="IN25" s="1903" t="str">
        <f t="shared" si="227"/>
        <v/>
      </c>
      <c r="IO25" s="1903" t="str">
        <f t="shared" si="228"/>
        <v/>
      </c>
      <c r="IP25" s="1903" t="str">
        <f t="shared" si="229"/>
        <v/>
      </c>
      <c r="IQ25" s="1903" t="str">
        <f t="shared" si="230"/>
        <v/>
      </c>
      <c r="IR25" s="1903" t="str">
        <f t="shared" si="231"/>
        <v/>
      </c>
      <c r="IS25" s="1903" t="str">
        <f t="shared" si="232"/>
        <v/>
      </c>
      <c r="IT25" s="1903" t="str">
        <f t="shared" si="233"/>
        <v/>
      </c>
      <c r="IU25" s="1903" t="str">
        <f t="shared" si="234"/>
        <v/>
      </c>
      <c r="IV25" s="1903" t="str">
        <f t="shared" si="235"/>
        <v/>
      </c>
      <c r="IW25" s="1903" t="str">
        <f t="shared" si="236"/>
        <v/>
      </c>
      <c r="IX25" s="1903" t="str">
        <f t="shared" si="237"/>
        <v/>
      </c>
      <c r="IY25" s="1903" t="str">
        <f t="shared" si="238"/>
        <v/>
      </c>
      <c r="IZ25" s="1903" t="str">
        <f t="shared" si="239"/>
        <v/>
      </c>
      <c r="JA25" s="1903" t="str">
        <f t="shared" si="240"/>
        <v/>
      </c>
      <c r="JB25" s="1903" t="str">
        <f t="shared" si="241"/>
        <v/>
      </c>
      <c r="JC25" s="1903" t="str">
        <f t="shared" si="242"/>
        <v/>
      </c>
      <c r="JD25" s="1903" t="str">
        <f t="shared" si="243"/>
        <v/>
      </c>
      <c r="JE25" s="1903" t="str">
        <f t="shared" si="244"/>
        <v/>
      </c>
      <c r="JF25" s="1903" t="str">
        <f t="shared" si="245"/>
        <v/>
      </c>
      <c r="JG25" s="1903" t="str">
        <f t="shared" si="246"/>
        <v/>
      </c>
      <c r="JH25" s="1903" t="str">
        <f t="shared" si="247"/>
        <v/>
      </c>
      <c r="JI25" s="1903" t="str">
        <f t="shared" si="248"/>
        <v/>
      </c>
      <c r="JJ25" s="1903" t="str">
        <f t="shared" si="249"/>
        <v/>
      </c>
      <c r="JK25" s="1903" t="str">
        <f t="shared" si="250"/>
        <v/>
      </c>
      <c r="JL25" s="1903" t="str">
        <f t="shared" si="251"/>
        <v/>
      </c>
      <c r="JM25" s="1903" t="str">
        <f t="shared" si="252"/>
        <v/>
      </c>
      <c r="JN25" s="1903" t="str">
        <f t="shared" si="253"/>
        <v/>
      </c>
      <c r="JO25" s="1903" t="str">
        <f t="shared" si="254"/>
        <v/>
      </c>
      <c r="JP25" s="1903" t="str">
        <f t="shared" si="255"/>
        <v/>
      </c>
      <c r="JQ25" s="1903" t="str">
        <f t="shared" si="256"/>
        <v/>
      </c>
      <c r="JR25" s="1903" t="str">
        <f t="shared" si="257"/>
        <v/>
      </c>
      <c r="JS25" s="1903" t="str">
        <f t="shared" si="258"/>
        <v/>
      </c>
      <c r="JT25" s="1903" t="str">
        <f t="shared" si="259"/>
        <v/>
      </c>
      <c r="JU25" s="1903" t="str">
        <f t="shared" si="260"/>
        <v/>
      </c>
      <c r="JV25" s="1903">
        <f t="shared" si="261"/>
        <v>12</v>
      </c>
      <c r="JW25" s="1903" t="str">
        <f t="shared" si="262"/>
        <v/>
      </c>
      <c r="JX25" s="1903" t="str">
        <f t="shared" si="263"/>
        <v/>
      </c>
      <c r="JY25" s="1903" t="str">
        <f t="shared" si="264"/>
        <v/>
      </c>
      <c r="JZ25" s="1903" t="str">
        <f t="shared" si="265"/>
        <v/>
      </c>
      <c r="KA25" s="1903" t="str">
        <f t="shared" si="266"/>
        <v/>
      </c>
      <c r="KB25" s="1903" t="str">
        <f t="shared" si="267"/>
        <v/>
      </c>
      <c r="KC25" s="1903" t="str">
        <f t="shared" si="268"/>
        <v/>
      </c>
      <c r="KD25" s="1903" t="str">
        <f t="shared" si="269"/>
        <v/>
      </c>
      <c r="KE25" s="1903" t="str">
        <f t="shared" si="270"/>
        <v/>
      </c>
      <c r="KF25" s="1903" t="str">
        <f t="shared" si="271"/>
        <v/>
      </c>
      <c r="KG25" s="1903" t="str">
        <f t="shared" si="272"/>
        <v/>
      </c>
      <c r="KH25" s="1903" t="str">
        <f t="shared" si="273"/>
        <v/>
      </c>
      <c r="KI25" s="1903" t="str">
        <f t="shared" si="274"/>
        <v/>
      </c>
      <c r="KJ25" s="1903" t="str">
        <f t="shared" si="275"/>
        <v/>
      </c>
      <c r="KK25" s="1903" t="str">
        <f t="shared" si="276"/>
        <v/>
      </c>
      <c r="KL25" s="1903" t="str">
        <f t="shared" si="277"/>
        <v/>
      </c>
      <c r="KM25" s="1903" t="str">
        <f t="shared" si="278"/>
        <v/>
      </c>
      <c r="KN25" s="1903" t="str">
        <f t="shared" si="279"/>
        <v/>
      </c>
      <c r="KO25" s="1903" t="str">
        <f t="shared" si="280"/>
        <v/>
      </c>
      <c r="KP25" s="1903" t="str">
        <f t="shared" si="281"/>
        <v/>
      </c>
      <c r="KQ25" s="1903" t="str">
        <f t="shared" si="282"/>
        <v/>
      </c>
      <c r="KR25" s="1903" t="str">
        <f t="shared" si="283"/>
        <v/>
      </c>
      <c r="KS25" s="1903" t="str">
        <f t="shared" si="284"/>
        <v/>
      </c>
      <c r="KT25" s="1903" t="str">
        <f t="shared" si="285"/>
        <v/>
      </c>
      <c r="KU25" s="1903" t="str">
        <f t="shared" si="286"/>
        <v/>
      </c>
      <c r="KV25" s="1903" t="str">
        <f t="shared" si="287"/>
        <v/>
      </c>
      <c r="KW25" s="1903" t="str">
        <f t="shared" si="288"/>
        <v/>
      </c>
      <c r="KX25" s="1903" t="str">
        <f t="shared" si="289"/>
        <v/>
      </c>
      <c r="KY25" s="1903" t="str">
        <f t="shared" si="290"/>
        <v/>
      </c>
      <c r="KZ25" s="1903" t="str">
        <f t="shared" si="291"/>
        <v/>
      </c>
      <c r="LA25" s="1903" t="str">
        <f t="shared" si="292"/>
        <v/>
      </c>
      <c r="LB25" s="1903" t="str">
        <f t="shared" si="293"/>
        <v/>
      </c>
      <c r="LC25" s="1903" t="str">
        <f t="shared" si="294"/>
        <v/>
      </c>
      <c r="LD25" s="1903" t="str">
        <f t="shared" si="295"/>
        <v/>
      </c>
      <c r="LE25" s="1903" t="str">
        <f t="shared" si="296"/>
        <v/>
      </c>
      <c r="LF25" s="1903" t="str">
        <f t="shared" si="297"/>
        <v/>
      </c>
      <c r="LG25" s="1892" t="str">
        <f t="shared" si="298"/>
        <v/>
      </c>
      <c r="LH25" s="1892" t="str">
        <f t="shared" si="299"/>
        <v/>
      </c>
      <c r="LI25" s="1892" t="str">
        <f t="shared" si="300"/>
        <v/>
      </c>
      <c r="LJ25" s="1892" t="str">
        <f t="shared" si="301"/>
        <v/>
      </c>
      <c r="LK25" s="1892"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50">
        <f t="shared" si="323"/>
        <v>0</v>
      </c>
      <c r="MG25" s="1750">
        <f t="shared" si="324"/>
        <v>0</v>
      </c>
      <c r="MH25" s="1750">
        <f t="shared" si="325"/>
        <v>0</v>
      </c>
      <c r="MI25" s="1750">
        <f t="shared" si="326"/>
        <v>0</v>
      </c>
      <c r="MJ25" s="1750">
        <f t="shared" si="327"/>
        <v>0</v>
      </c>
      <c r="MK25" s="1750">
        <f t="shared" si="333"/>
        <v>0</v>
      </c>
      <c r="ML25" s="1750">
        <f t="shared" si="334"/>
        <v>0</v>
      </c>
      <c r="MM25" s="1750">
        <f t="shared" si="335"/>
        <v>0</v>
      </c>
      <c r="MN25" s="1750">
        <f t="shared" si="336"/>
        <v>12</v>
      </c>
      <c r="MO25" s="1750">
        <f t="shared" si="337"/>
        <v>0</v>
      </c>
      <c r="MP25" s="1750">
        <f t="shared" si="328"/>
        <v>0</v>
      </c>
      <c r="MQ25" s="1750">
        <f t="shared" si="329"/>
        <v>0</v>
      </c>
      <c r="MR25" s="1750">
        <f t="shared" si="330"/>
        <v>0</v>
      </c>
      <c r="MS25" s="1750">
        <f t="shared" si="331"/>
        <v>0</v>
      </c>
      <c r="MT25" s="1750">
        <f t="shared" si="332"/>
        <v>0</v>
      </c>
      <c r="NP25" s="1721" t="s">
        <v>6428</v>
      </c>
    </row>
    <row r="26" spans="1:380" ht="13.9" customHeight="1">
      <c r="A26" s="86" t="str">
        <f t="shared" si="0"/>
        <v/>
      </c>
      <c r="B26" s="1121">
        <v>60</v>
      </c>
      <c r="C26" s="132">
        <v>3</v>
      </c>
      <c r="D26" s="1753">
        <v>2</v>
      </c>
      <c r="E26" s="133">
        <v>17</v>
      </c>
      <c r="F26" s="133">
        <v>1364</v>
      </c>
      <c r="G26" s="133">
        <v>1363</v>
      </c>
      <c r="H26" s="133">
        <v>1673</v>
      </c>
      <c r="I26" s="133">
        <v>0</v>
      </c>
      <c r="J26" s="756">
        <f>IF(C26="",0,HLOOKUP(C26,'Part IV-Utility Allowances'!$I$11:$M$22,12))</f>
        <v>98</v>
      </c>
      <c r="K26" s="644" t="s">
        <v>6932</v>
      </c>
      <c r="L26" s="461">
        <f t="shared" si="1"/>
        <v>1575</v>
      </c>
      <c r="M26" s="461">
        <f t="shared" si="2"/>
        <v>26775</v>
      </c>
      <c r="N26" s="695" t="s">
        <v>2655</v>
      </c>
      <c r="O26" s="1685" t="s">
        <v>6300</v>
      </c>
      <c r="P26" s="695" t="s">
        <v>2121</v>
      </c>
      <c r="Q26" s="134" t="s">
        <v>2655</v>
      </c>
      <c r="R26" s="739"/>
      <c r="S26" s="740"/>
      <c r="T26" s="3087"/>
      <c r="U26" s="3088"/>
      <c r="V26" s="3088"/>
      <c r="W26" s="3089"/>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f t="shared" si="16"/>
        <v>17</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f t="shared" si="66"/>
        <v>17</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f t="shared" si="131"/>
        <v>23188</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f t="shared" si="161"/>
        <v>23188</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f t="shared" si="171"/>
        <v>17</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903" t="str">
        <f t="shared" si="213"/>
        <v/>
      </c>
      <c r="IA26" s="1903" t="str">
        <f t="shared" si="214"/>
        <v/>
      </c>
      <c r="IB26" s="1903" t="str">
        <f t="shared" si="215"/>
        <v/>
      </c>
      <c r="IC26" s="1903">
        <f t="shared" si="216"/>
        <v>17</v>
      </c>
      <c r="ID26" s="1903" t="str">
        <f t="shared" si="217"/>
        <v/>
      </c>
      <c r="IE26" s="1903" t="str">
        <f t="shared" si="218"/>
        <v/>
      </c>
      <c r="IF26" s="1903" t="str">
        <f t="shared" si="219"/>
        <v/>
      </c>
      <c r="IG26" s="1903" t="str">
        <f t="shared" si="220"/>
        <v/>
      </c>
      <c r="IH26" s="1903" t="str">
        <f t="shared" si="221"/>
        <v/>
      </c>
      <c r="II26" s="1903" t="str">
        <f t="shared" si="222"/>
        <v/>
      </c>
      <c r="IJ26" s="1903" t="str">
        <f t="shared" si="223"/>
        <v/>
      </c>
      <c r="IK26" s="1903" t="str">
        <f t="shared" si="224"/>
        <v/>
      </c>
      <c r="IL26" s="1903" t="str">
        <f t="shared" si="225"/>
        <v/>
      </c>
      <c r="IM26" s="1903" t="str">
        <f t="shared" si="226"/>
        <v/>
      </c>
      <c r="IN26" s="1903" t="str">
        <f t="shared" si="227"/>
        <v/>
      </c>
      <c r="IO26" s="1903" t="str">
        <f t="shared" si="228"/>
        <v/>
      </c>
      <c r="IP26" s="1903" t="str">
        <f t="shared" si="229"/>
        <v/>
      </c>
      <c r="IQ26" s="1903" t="str">
        <f t="shared" si="230"/>
        <v/>
      </c>
      <c r="IR26" s="1903" t="str">
        <f t="shared" si="231"/>
        <v/>
      </c>
      <c r="IS26" s="1903" t="str">
        <f t="shared" si="232"/>
        <v/>
      </c>
      <c r="IT26" s="1903" t="str">
        <f t="shared" si="233"/>
        <v/>
      </c>
      <c r="IU26" s="1903" t="str">
        <f t="shared" si="234"/>
        <v/>
      </c>
      <c r="IV26" s="1903" t="str">
        <f t="shared" si="235"/>
        <v/>
      </c>
      <c r="IW26" s="1903" t="str">
        <f t="shared" si="236"/>
        <v/>
      </c>
      <c r="IX26" s="1903" t="str">
        <f t="shared" si="237"/>
        <v/>
      </c>
      <c r="IY26" s="1903" t="str">
        <f t="shared" si="238"/>
        <v/>
      </c>
      <c r="IZ26" s="1903" t="str">
        <f t="shared" si="239"/>
        <v/>
      </c>
      <c r="JA26" s="1903" t="str">
        <f t="shared" si="240"/>
        <v/>
      </c>
      <c r="JB26" s="1903" t="str">
        <f t="shared" si="241"/>
        <v/>
      </c>
      <c r="JC26" s="1903" t="str">
        <f t="shared" si="242"/>
        <v/>
      </c>
      <c r="JD26" s="1903" t="str">
        <f t="shared" si="243"/>
        <v/>
      </c>
      <c r="JE26" s="1903" t="str">
        <f t="shared" si="244"/>
        <v/>
      </c>
      <c r="JF26" s="1903" t="str">
        <f t="shared" si="245"/>
        <v/>
      </c>
      <c r="JG26" s="1903" t="str">
        <f t="shared" si="246"/>
        <v/>
      </c>
      <c r="JH26" s="1903" t="str">
        <f t="shared" si="247"/>
        <v/>
      </c>
      <c r="JI26" s="1903" t="str">
        <f t="shared" si="248"/>
        <v/>
      </c>
      <c r="JJ26" s="1903" t="str">
        <f t="shared" si="249"/>
        <v/>
      </c>
      <c r="JK26" s="1903" t="str">
        <f t="shared" si="250"/>
        <v/>
      </c>
      <c r="JL26" s="1903" t="str">
        <f t="shared" si="251"/>
        <v/>
      </c>
      <c r="JM26" s="1903" t="str">
        <f t="shared" si="252"/>
        <v/>
      </c>
      <c r="JN26" s="1903" t="str">
        <f t="shared" si="253"/>
        <v/>
      </c>
      <c r="JO26" s="1903" t="str">
        <f t="shared" si="254"/>
        <v/>
      </c>
      <c r="JP26" s="1903" t="str">
        <f t="shared" si="255"/>
        <v/>
      </c>
      <c r="JQ26" s="1903" t="str">
        <f t="shared" si="256"/>
        <v/>
      </c>
      <c r="JR26" s="1903" t="str">
        <f t="shared" si="257"/>
        <v/>
      </c>
      <c r="JS26" s="1903" t="str">
        <f t="shared" si="258"/>
        <v/>
      </c>
      <c r="JT26" s="1903" t="str">
        <f t="shared" si="259"/>
        <v/>
      </c>
      <c r="JU26" s="1903" t="str">
        <f t="shared" si="260"/>
        <v/>
      </c>
      <c r="JV26" s="1903">
        <f t="shared" si="261"/>
        <v>17</v>
      </c>
      <c r="JW26" s="1903" t="str">
        <f t="shared" si="262"/>
        <v/>
      </c>
      <c r="JX26" s="1903" t="str">
        <f t="shared" si="263"/>
        <v/>
      </c>
      <c r="JY26" s="1903" t="str">
        <f t="shared" si="264"/>
        <v/>
      </c>
      <c r="JZ26" s="1903" t="str">
        <f t="shared" si="265"/>
        <v/>
      </c>
      <c r="KA26" s="1903" t="str">
        <f t="shared" si="266"/>
        <v/>
      </c>
      <c r="KB26" s="1903" t="str">
        <f t="shared" si="267"/>
        <v/>
      </c>
      <c r="KC26" s="1903" t="str">
        <f t="shared" si="268"/>
        <v/>
      </c>
      <c r="KD26" s="1903" t="str">
        <f t="shared" si="269"/>
        <v/>
      </c>
      <c r="KE26" s="1903" t="str">
        <f t="shared" si="270"/>
        <v/>
      </c>
      <c r="KF26" s="1903" t="str">
        <f t="shared" si="271"/>
        <v/>
      </c>
      <c r="KG26" s="1903" t="str">
        <f t="shared" si="272"/>
        <v/>
      </c>
      <c r="KH26" s="1903" t="str">
        <f t="shared" si="273"/>
        <v/>
      </c>
      <c r="KI26" s="1903" t="str">
        <f t="shared" si="274"/>
        <v/>
      </c>
      <c r="KJ26" s="1903" t="str">
        <f t="shared" si="275"/>
        <v/>
      </c>
      <c r="KK26" s="1903" t="str">
        <f t="shared" si="276"/>
        <v/>
      </c>
      <c r="KL26" s="1903" t="str">
        <f t="shared" si="277"/>
        <v/>
      </c>
      <c r="KM26" s="1903" t="str">
        <f t="shared" si="278"/>
        <v/>
      </c>
      <c r="KN26" s="1903" t="str">
        <f t="shared" si="279"/>
        <v/>
      </c>
      <c r="KO26" s="1903" t="str">
        <f t="shared" si="280"/>
        <v/>
      </c>
      <c r="KP26" s="1903" t="str">
        <f t="shared" si="281"/>
        <v/>
      </c>
      <c r="KQ26" s="1903" t="str">
        <f t="shared" si="282"/>
        <v/>
      </c>
      <c r="KR26" s="1903" t="str">
        <f t="shared" si="283"/>
        <v/>
      </c>
      <c r="KS26" s="1903" t="str">
        <f t="shared" si="284"/>
        <v/>
      </c>
      <c r="KT26" s="1903" t="str">
        <f t="shared" si="285"/>
        <v/>
      </c>
      <c r="KU26" s="1903" t="str">
        <f t="shared" si="286"/>
        <v/>
      </c>
      <c r="KV26" s="1903" t="str">
        <f t="shared" si="287"/>
        <v/>
      </c>
      <c r="KW26" s="1903" t="str">
        <f t="shared" si="288"/>
        <v/>
      </c>
      <c r="KX26" s="1903" t="str">
        <f t="shared" si="289"/>
        <v/>
      </c>
      <c r="KY26" s="1903" t="str">
        <f t="shared" si="290"/>
        <v/>
      </c>
      <c r="KZ26" s="1903" t="str">
        <f t="shared" si="291"/>
        <v/>
      </c>
      <c r="LA26" s="1903" t="str">
        <f t="shared" si="292"/>
        <v/>
      </c>
      <c r="LB26" s="1903" t="str">
        <f t="shared" si="293"/>
        <v/>
      </c>
      <c r="LC26" s="1903" t="str">
        <f t="shared" si="294"/>
        <v/>
      </c>
      <c r="LD26" s="1903" t="str">
        <f t="shared" si="295"/>
        <v/>
      </c>
      <c r="LE26" s="1903" t="str">
        <f t="shared" si="296"/>
        <v/>
      </c>
      <c r="LF26" s="1903" t="str">
        <f t="shared" si="297"/>
        <v/>
      </c>
      <c r="LG26" s="1892" t="str">
        <f t="shared" si="298"/>
        <v/>
      </c>
      <c r="LH26" s="1892" t="str">
        <f t="shared" si="299"/>
        <v/>
      </c>
      <c r="LI26" s="1892" t="str">
        <f t="shared" si="300"/>
        <v/>
      </c>
      <c r="LJ26" s="1892" t="str">
        <f t="shared" si="301"/>
        <v/>
      </c>
      <c r="LK26" s="1892"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50">
        <f t="shared" si="323"/>
        <v>0</v>
      </c>
      <c r="MG26" s="1750">
        <f t="shared" si="324"/>
        <v>0</v>
      </c>
      <c r="MH26" s="1750">
        <f t="shared" si="325"/>
        <v>0</v>
      </c>
      <c r="MI26" s="1750">
        <f t="shared" si="326"/>
        <v>0</v>
      </c>
      <c r="MJ26" s="1750">
        <f t="shared" si="327"/>
        <v>0</v>
      </c>
      <c r="MK26" s="1750">
        <f t="shared" si="333"/>
        <v>0</v>
      </c>
      <c r="ML26" s="1750">
        <f t="shared" si="334"/>
        <v>0</v>
      </c>
      <c r="MM26" s="1750">
        <f t="shared" si="335"/>
        <v>0</v>
      </c>
      <c r="MN26" s="1750">
        <f t="shared" si="336"/>
        <v>17</v>
      </c>
      <c r="MO26" s="1750">
        <f t="shared" si="337"/>
        <v>0</v>
      </c>
      <c r="MP26" s="1750">
        <f t="shared" si="328"/>
        <v>0</v>
      </c>
      <c r="MQ26" s="1750">
        <f t="shared" si="329"/>
        <v>0</v>
      </c>
      <c r="MR26" s="1750">
        <f t="shared" si="330"/>
        <v>0</v>
      </c>
      <c r="MS26" s="1750">
        <f t="shared" si="331"/>
        <v>0</v>
      </c>
      <c r="MT26" s="1750">
        <f t="shared" si="332"/>
        <v>0</v>
      </c>
      <c r="NP26" s="1721" t="s">
        <v>6429</v>
      </c>
    </row>
    <row r="27" spans="1:380" ht="13.9" customHeight="1">
      <c r="A27" s="86" t="str">
        <f t="shared" si="0"/>
        <v/>
      </c>
      <c r="B27" s="1121">
        <v>60</v>
      </c>
      <c r="C27" s="132">
        <v>3</v>
      </c>
      <c r="D27" s="1753">
        <v>2</v>
      </c>
      <c r="E27" s="133">
        <v>6</v>
      </c>
      <c r="F27" s="133">
        <v>1364</v>
      </c>
      <c r="G27" s="133">
        <v>1363</v>
      </c>
      <c r="H27" s="133">
        <v>1263</v>
      </c>
      <c r="I27" s="133">
        <v>0</v>
      </c>
      <c r="J27" s="756">
        <f>IF(C27="",0,HLOOKUP(C27,'Part IV-Utility Allowances'!$I$11:$M$22,12))</f>
        <v>98</v>
      </c>
      <c r="K27" s="644"/>
      <c r="L27" s="461">
        <f t="shared" si="1"/>
        <v>1165</v>
      </c>
      <c r="M27" s="461">
        <f t="shared" si="2"/>
        <v>6990</v>
      </c>
      <c r="N27" s="695" t="s">
        <v>2655</v>
      </c>
      <c r="O27" s="1685" t="s">
        <v>6300</v>
      </c>
      <c r="P27" s="695" t="s">
        <v>2121</v>
      </c>
      <c r="Q27" s="134" t="s">
        <v>2655</v>
      </c>
      <c r="R27" s="739"/>
      <c r="S27" s="740"/>
      <c r="T27" s="3087"/>
      <c r="U27" s="3088"/>
      <c r="V27" s="3088"/>
      <c r="W27" s="3089"/>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f t="shared" si="16"/>
        <v>6</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f t="shared" si="131"/>
        <v>8184</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f t="shared" si="171"/>
        <v>6</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903" t="str">
        <f t="shared" si="213"/>
        <v/>
      </c>
      <c r="IA27" s="1903" t="str">
        <f t="shared" si="214"/>
        <v/>
      </c>
      <c r="IB27" s="1903" t="str">
        <f t="shared" si="215"/>
        <v/>
      </c>
      <c r="IC27" s="1903">
        <f t="shared" si="216"/>
        <v>6</v>
      </c>
      <c r="ID27" s="1903" t="str">
        <f t="shared" si="217"/>
        <v/>
      </c>
      <c r="IE27" s="1903" t="str">
        <f t="shared" si="218"/>
        <v/>
      </c>
      <c r="IF27" s="1903" t="str">
        <f t="shared" si="219"/>
        <v/>
      </c>
      <c r="IG27" s="1903" t="str">
        <f t="shared" si="220"/>
        <v/>
      </c>
      <c r="IH27" s="1903" t="str">
        <f t="shared" si="221"/>
        <v/>
      </c>
      <c r="II27" s="1903" t="str">
        <f t="shared" si="222"/>
        <v/>
      </c>
      <c r="IJ27" s="1903" t="str">
        <f t="shared" si="223"/>
        <v/>
      </c>
      <c r="IK27" s="1903" t="str">
        <f t="shared" si="224"/>
        <v/>
      </c>
      <c r="IL27" s="1903" t="str">
        <f t="shared" si="225"/>
        <v/>
      </c>
      <c r="IM27" s="1903" t="str">
        <f t="shared" si="226"/>
        <v/>
      </c>
      <c r="IN27" s="1903" t="str">
        <f t="shared" si="227"/>
        <v/>
      </c>
      <c r="IO27" s="1903" t="str">
        <f t="shared" si="228"/>
        <v/>
      </c>
      <c r="IP27" s="1903" t="str">
        <f t="shared" si="229"/>
        <v/>
      </c>
      <c r="IQ27" s="1903" t="str">
        <f t="shared" si="230"/>
        <v/>
      </c>
      <c r="IR27" s="1903" t="str">
        <f t="shared" si="231"/>
        <v/>
      </c>
      <c r="IS27" s="1903" t="str">
        <f t="shared" si="232"/>
        <v/>
      </c>
      <c r="IT27" s="1903" t="str">
        <f t="shared" si="233"/>
        <v/>
      </c>
      <c r="IU27" s="1903" t="str">
        <f t="shared" si="234"/>
        <v/>
      </c>
      <c r="IV27" s="1903" t="str">
        <f t="shared" si="235"/>
        <v/>
      </c>
      <c r="IW27" s="1903" t="str">
        <f t="shared" si="236"/>
        <v/>
      </c>
      <c r="IX27" s="1903" t="str">
        <f t="shared" si="237"/>
        <v/>
      </c>
      <c r="IY27" s="1903" t="str">
        <f t="shared" si="238"/>
        <v/>
      </c>
      <c r="IZ27" s="1903" t="str">
        <f t="shared" si="239"/>
        <v/>
      </c>
      <c r="JA27" s="1903" t="str">
        <f t="shared" si="240"/>
        <v/>
      </c>
      <c r="JB27" s="1903" t="str">
        <f t="shared" si="241"/>
        <v/>
      </c>
      <c r="JC27" s="1903" t="str">
        <f t="shared" si="242"/>
        <v/>
      </c>
      <c r="JD27" s="1903" t="str">
        <f t="shared" si="243"/>
        <v/>
      </c>
      <c r="JE27" s="1903" t="str">
        <f t="shared" si="244"/>
        <v/>
      </c>
      <c r="JF27" s="1903" t="str">
        <f t="shared" si="245"/>
        <v/>
      </c>
      <c r="JG27" s="1903" t="str">
        <f t="shared" si="246"/>
        <v/>
      </c>
      <c r="JH27" s="1903" t="str">
        <f t="shared" si="247"/>
        <v/>
      </c>
      <c r="JI27" s="1903" t="str">
        <f t="shared" si="248"/>
        <v/>
      </c>
      <c r="JJ27" s="1903" t="str">
        <f t="shared" si="249"/>
        <v/>
      </c>
      <c r="JK27" s="1903" t="str">
        <f t="shared" si="250"/>
        <v/>
      </c>
      <c r="JL27" s="1903" t="str">
        <f t="shared" si="251"/>
        <v/>
      </c>
      <c r="JM27" s="1903" t="str">
        <f t="shared" si="252"/>
        <v/>
      </c>
      <c r="JN27" s="1903" t="str">
        <f t="shared" si="253"/>
        <v/>
      </c>
      <c r="JO27" s="1903" t="str">
        <f t="shared" si="254"/>
        <v/>
      </c>
      <c r="JP27" s="1903" t="str">
        <f t="shared" si="255"/>
        <v/>
      </c>
      <c r="JQ27" s="1903" t="str">
        <f t="shared" si="256"/>
        <v/>
      </c>
      <c r="JR27" s="1903" t="str">
        <f t="shared" si="257"/>
        <v/>
      </c>
      <c r="JS27" s="1903" t="str">
        <f t="shared" si="258"/>
        <v/>
      </c>
      <c r="JT27" s="1903" t="str">
        <f t="shared" si="259"/>
        <v/>
      </c>
      <c r="JU27" s="1903" t="str">
        <f t="shared" si="260"/>
        <v/>
      </c>
      <c r="JV27" s="1903">
        <f t="shared" si="261"/>
        <v>6</v>
      </c>
      <c r="JW27" s="1903" t="str">
        <f t="shared" si="262"/>
        <v/>
      </c>
      <c r="JX27" s="1903" t="str">
        <f t="shared" si="263"/>
        <v/>
      </c>
      <c r="JY27" s="1903" t="str">
        <f t="shared" si="264"/>
        <v/>
      </c>
      <c r="JZ27" s="1903" t="str">
        <f t="shared" si="265"/>
        <v/>
      </c>
      <c r="KA27" s="1903" t="str">
        <f t="shared" si="266"/>
        <v/>
      </c>
      <c r="KB27" s="1903" t="str">
        <f t="shared" si="267"/>
        <v/>
      </c>
      <c r="KC27" s="1903" t="str">
        <f t="shared" si="268"/>
        <v/>
      </c>
      <c r="KD27" s="1903" t="str">
        <f t="shared" si="269"/>
        <v/>
      </c>
      <c r="KE27" s="1903" t="str">
        <f t="shared" si="270"/>
        <v/>
      </c>
      <c r="KF27" s="1903" t="str">
        <f t="shared" si="271"/>
        <v/>
      </c>
      <c r="KG27" s="1903" t="str">
        <f t="shared" si="272"/>
        <v/>
      </c>
      <c r="KH27" s="1903" t="str">
        <f t="shared" si="273"/>
        <v/>
      </c>
      <c r="KI27" s="1903" t="str">
        <f t="shared" si="274"/>
        <v/>
      </c>
      <c r="KJ27" s="1903" t="str">
        <f t="shared" si="275"/>
        <v/>
      </c>
      <c r="KK27" s="1903" t="str">
        <f t="shared" si="276"/>
        <v/>
      </c>
      <c r="KL27" s="1903" t="str">
        <f t="shared" si="277"/>
        <v/>
      </c>
      <c r="KM27" s="1903" t="str">
        <f t="shared" si="278"/>
        <v/>
      </c>
      <c r="KN27" s="1903" t="str">
        <f t="shared" si="279"/>
        <v/>
      </c>
      <c r="KO27" s="1903" t="str">
        <f t="shared" si="280"/>
        <v/>
      </c>
      <c r="KP27" s="1903" t="str">
        <f t="shared" si="281"/>
        <v/>
      </c>
      <c r="KQ27" s="1903" t="str">
        <f t="shared" si="282"/>
        <v/>
      </c>
      <c r="KR27" s="1903" t="str">
        <f t="shared" si="283"/>
        <v/>
      </c>
      <c r="KS27" s="1903" t="str">
        <f t="shared" si="284"/>
        <v/>
      </c>
      <c r="KT27" s="1903" t="str">
        <f t="shared" si="285"/>
        <v/>
      </c>
      <c r="KU27" s="1903" t="str">
        <f t="shared" si="286"/>
        <v/>
      </c>
      <c r="KV27" s="1903" t="str">
        <f t="shared" si="287"/>
        <v/>
      </c>
      <c r="KW27" s="1903" t="str">
        <f t="shared" si="288"/>
        <v/>
      </c>
      <c r="KX27" s="1903" t="str">
        <f t="shared" si="289"/>
        <v/>
      </c>
      <c r="KY27" s="1903" t="str">
        <f t="shared" si="290"/>
        <v/>
      </c>
      <c r="KZ27" s="1903" t="str">
        <f t="shared" si="291"/>
        <v/>
      </c>
      <c r="LA27" s="1903" t="str">
        <f t="shared" si="292"/>
        <v/>
      </c>
      <c r="LB27" s="1903" t="str">
        <f t="shared" si="293"/>
        <v/>
      </c>
      <c r="LC27" s="1903" t="str">
        <f t="shared" si="294"/>
        <v/>
      </c>
      <c r="LD27" s="1903" t="str">
        <f t="shared" si="295"/>
        <v/>
      </c>
      <c r="LE27" s="1903" t="str">
        <f t="shared" si="296"/>
        <v/>
      </c>
      <c r="LF27" s="1903" t="str">
        <f t="shared" si="297"/>
        <v/>
      </c>
      <c r="LG27" s="1892" t="str">
        <f t="shared" si="298"/>
        <v/>
      </c>
      <c r="LH27" s="1892" t="str">
        <f t="shared" si="299"/>
        <v/>
      </c>
      <c r="LI27" s="1892" t="str">
        <f t="shared" si="300"/>
        <v/>
      </c>
      <c r="LJ27" s="1892" t="str">
        <f t="shared" si="301"/>
        <v/>
      </c>
      <c r="LK27" s="1892"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50">
        <f t="shared" si="323"/>
        <v>0</v>
      </c>
      <c r="MG27" s="1750">
        <f t="shared" si="324"/>
        <v>0</v>
      </c>
      <c r="MH27" s="1750">
        <f t="shared" si="325"/>
        <v>0</v>
      </c>
      <c r="MI27" s="1750">
        <f t="shared" si="326"/>
        <v>0</v>
      </c>
      <c r="MJ27" s="1750">
        <f t="shared" si="327"/>
        <v>0</v>
      </c>
      <c r="MK27" s="1750">
        <f t="shared" si="333"/>
        <v>0</v>
      </c>
      <c r="ML27" s="1750">
        <f t="shared" si="334"/>
        <v>0</v>
      </c>
      <c r="MM27" s="1750">
        <f t="shared" si="335"/>
        <v>0</v>
      </c>
      <c r="MN27" s="1750">
        <f t="shared" si="336"/>
        <v>6</v>
      </c>
      <c r="MO27" s="1750">
        <f t="shared" si="337"/>
        <v>0</v>
      </c>
      <c r="MP27" s="1750">
        <f t="shared" si="328"/>
        <v>0</v>
      </c>
      <c r="MQ27" s="1750">
        <f t="shared" si="329"/>
        <v>0</v>
      </c>
      <c r="MR27" s="1750">
        <f t="shared" si="330"/>
        <v>0</v>
      </c>
      <c r="MS27" s="1750">
        <f t="shared" si="331"/>
        <v>0</v>
      </c>
      <c r="MT27" s="1750">
        <f t="shared" si="332"/>
        <v>0</v>
      </c>
      <c r="NP27" s="1721" t="s">
        <v>6430</v>
      </c>
    </row>
    <row r="28" spans="1:380" ht="13.9" customHeight="1">
      <c r="A28" s="86" t="str">
        <f t="shared" si="0"/>
        <v/>
      </c>
      <c r="B28" s="1121">
        <v>80</v>
      </c>
      <c r="C28" s="132">
        <v>3</v>
      </c>
      <c r="D28" s="1753">
        <v>2</v>
      </c>
      <c r="E28" s="133">
        <v>10</v>
      </c>
      <c r="F28" s="133">
        <v>1364</v>
      </c>
      <c r="G28" s="133">
        <v>1818</v>
      </c>
      <c r="H28" s="133">
        <v>1568</v>
      </c>
      <c r="I28" s="133">
        <v>0</v>
      </c>
      <c r="J28" s="756">
        <f>IF(C28="",0,HLOOKUP(C28,'Part IV-Utility Allowances'!$I$11:$M$22,12))</f>
        <v>98</v>
      </c>
      <c r="K28" s="644"/>
      <c r="L28" s="461">
        <f t="shared" si="1"/>
        <v>1470</v>
      </c>
      <c r="M28" s="461">
        <f t="shared" si="2"/>
        <v>14700</v>
      </c>
      <c r="N28" s="695" t="s">
        <v>2655</v>
      </c>
      <c r="O28" s="1685" t="s">
        <v>6300</v>
      </c>
      <c r="P28" s="695" t="s">
        <v>2121</v>
      </c>
      <c r="Q28" s="134" t="s">
        <v>2655</v>
      </c>
      <c r="R28" s="739"/>
      <c r="S28" s="740"/>
      <c r="T28" s="3087"/>
      <c r="U28" s="3088"/>
      <c r="V28" s="3088"/>
      <c r="W28" s="3089"/>
      <c r="X28" s="357" t="str">
        <f t="shared" si="3"/>
        <v/>
      </c>
      <c r="Y28" s="357" t="str">
        <f t="shared" si="4"/>
        <v/>
      </c>
      <c r="Z28" s="357" t="str">
        <f t="shared" si="5"/>
        <v/>
      </c>
      <c r="AA28" s="357">
        <f t="shared" si="6"/>
        <v>10</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f t="shared" si="121"/>
        <v>13640</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f t="shared" si="171"/>
        <v>10</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903" t="str">
        <f t="shared" si="213"/>
        <v/>
      </c>
      <c r="IA28" s="1903" t="str">
        <f t="shared" si="214"/>
        <v/>
      </c>
      <c r="IB28" s="1903" t="str">
        <f t="shared" si="215"/>
        <v/>
      </c>
      <c r="IC28" s="1903">
        <f t="shared" si="216"/>
        <v>10</v>
      </c>
      <c r="ID28" s="1903" t="str">
        <f t="shared" si="217"/>
        <v/>
      </c>
      <c r="IE28" s="1903" t="str">
        <f t="shared" si="218"/>
        <v/>
      </c>
      <c r="IF28" s="1903" t="str">
        <f t="shared" si="219"/>
        <v/>
      </c>
      <c r="IG28" s="1903" t="str">
        <f t="shared" si="220"/>
        <v/>
      </c>
      <c r="IH28" s="1903" t="str">
        <f t="shared" si="221"/>
        <v/>
      </c>
      <c r="II28" s="1903" t="str">
        <f t="shared" si="222"/>
        <v/>
      </c>
      <c r="IJ28" s="1903" t="str">
        <f t="shared" si="223"/>
        <v/>
      </c>
      <c r="IK28" s="1903" t="str">
        <f t="shared" si="224"/>
        <v/>
      </c>
      <c r="IL28" s="1903" t="str">
        <f t="shared" si="225"/>
        <v/>
      </c>
      <c r="IM28" s="1903" t="str">
        <f t="shared" si="226"/>
        <v/>
      </c>
      <c r="IN28" s="1903" t="str">
        <f t="shared" si="227"/>
        <v/>
      </c>
      <c r="IO28" s="1903" t="str">
        <f t="shared" si="228"/>
        <v/>
      </c>
      <c r="IP28" s="1903" t="str">
        <f t="shared" si="229"/>
        <v/>
      </c>
      <c r="IQ28" s="1903" t="str">
        <f t="shared" si="230"/>
        <v/>
      </c>
      <c r="IR28" s="1903" t="str">
        <f t="shared" si="231"/>
        <v/>
      </c>
      <c r="IS28" s="1903" t="str">
        <f t="shared" si="232"/>
        <v/>
      </c>
      <c r="IT28" s="1903" t="str">
        <f t="shared" si="233"/>
        <v/>
      </c>
      <c r="IU28" s="1903" t="str">
        <f t="shared" si="234"/>
        <v/>
      </c>
      <c r="IV28" s="1903" t="str">
        <f t="shared" si="235"/>
        <v/>
      </c>
      <c r="IW28" s="1903" t="str">
        <f t="shared" si="236"/>
        <v/>
      </c>
      <c r="IX28" s="1903" t="str">
        <f t="shared" si="237"/>
        <v/>
      </c>
      <c r="IY28" s="1903" t="str">
        <f t="shared" si="238"/>
        <v/>
      </c>
      <c r="IZ28" s="1903" t="str">
        <f t="shared" si="239"/>
        <v/>
      </c>
      <c r="JA28" s="1903" t="str">
        <f t="shared" si="240"/>
        <v/>
      </c>
      <c r="JB28" s="1903" t="str">
        <f t="shared" si="241"/>
        <v/>
      </c>
      <c r="JC28" s="1903" t="str">
        <f t="shared" si="242"/>
        <v/>
      </c>
      <c r="JD28" s="1903" t="str">
        <f t="shared" si="243"/>
        <v/>
      </c>
      <c r="JE28" s="1903" t="str">
        <f t="shared" si="244"/>
        <v/>
      </c>
      <c r="JF28" s="1903" t="str">
        <f t="shared" si="245"/>
        <v/>
      </c>
      <c r="JG28" s="1903" t="str">
        <f t="shared" si="246"/>
        <v/>
      </c>
      <c r="JH28" s="1903" t="str">
        <f t="shared" si="247"/>
        <v/>
      </c>
      <c r="JI28" s="1903" t="str">
        <f t="shared" si="248"/>
        <v/>
      </c>
      <c r="JJ28" s="1903" t="str">
        <f t="shared" si="249"/>
        <v/>
      </c>
      <c r="JK28" s="1903" t="str">
        <f t="shared" si="250"/>
        <v/>
      </c>
      <c r="JL28" s="1903" t="str">
        <f t="shared" si="251"/>
        <v/>
      </c>
      <c r="JM28" s="1903" t="str">
        <f t="shared" si="252"/>
        <v/>
      </c>
      <c r="JN28" s="1903" t="str">
        <f t="shared" si="253"/>
        <v/>
      </c>
      <c r="JO28" s="1903" t="str">
        <f t="shared" si="254"/>
        <v/>
      </c>
      <c r="JP28" s="1903" t="str">
        <f t="shared" si="255"/>
        <v/>
      </c>
      <c r="JQ28" s="1903" t="str">
        <f t="shared" si="256"/>
        <v/>
      </c>
      <c r="JR28" s="1903" t="str">
        <f t="shared" si="257"/>
        <v/>
      </c>
      <c r="JS28" s="1903" t="str">
        <f t="shared" si="258"/>
        <v/>
      </c>
      <c r="JT28" s="1903" t="str">
        <f t="shared" si="259"/>
        <v/>
      </c>
      <c r="JU28" s="1903" t="str">
        <f t="shared" si="260"/>
        <v/>
      </c>
      <c r="JV28" s="1903">
        <f t="shared" si="261"/>
        <v>10</v>
      </c>
      <c r="JW28" s="1903" t="str">
        <f t="shared" si="262"/>
        <v/>
      </c>
      <c r="JX28" s="1903" t="str">
        <f t="shared" si="263"/>
        <v/>
      </c>
      <c r="JY28" s="1903" t="str">
        <f t="shared" si="264"/>
        <v/>
      </c>
      <c r="JZ28" s="1903" t="str">
        <f t="shared" si="265"/>
        <v/>
      </c>
      <c r="KA28" s="1903" t="str">
        <f t="shared" si="266"/>
        <v/>
      </c>
      <c r="KB28" s="1903" t="str">
        <f t="shared" si="267"/>
        <v/>
      </c>
      <c r="KC28" s="1903" t="str">
        <f t="shared" si="268"/>
        <v/>
      </c>
      <c r="KD28" s="1903" t="str">
        <f t="shared" si="269"/>
        <v/>
      </c>
      <c r="KE28" s="1903" t="str">
        <f t="shared" si="270"/>
        <v/>
      </c>
      <c r="KF28" s="1903" t="str">
        <f t="shared" si="271"/>
        <v/>
      </c>
      <c r="KG28" s="1903" t="str">
        <f t="shared" si="272"/>
        <v/>
      </c>
      <c r="KH28" s="1903" t="str">
        <f t="shared" si="273"/>
        <v/>
      </c>
      <c r="KI28" s="1903" t="str">
        <f t="shared" si="274"/>
        <v/>
      </c>
      <c r="KJ28" s="1903" t="str">
        <f t="shared" si="275"/>
        <v/>
      </c>
      <c r="KK28" s="1903" t="str">
        <f t="shared" si="276"/>
        <v/>
      </c>
      <c r="KL28" s="1903" t="str">
        <f t="shared" si="277"/>
        <v/>
      </c>
      <c r="KM28" s="1903" t="str">
        <f t="shared" si="278"/>
        <v/>
      </c>
      <c r="KN28" s="1903" t="str">
        <f t="shared" si="279"/>
        <v/>
      </c>
      <c r="KO28" s="1903" t="str">
        <f t="shared" si="280"/>
        <v/>
      </c>
      <c r="KP28" s="1903" t="str">
        <f t="shared" si="281"/>
        <v/>
      </c>
      <c r="KQ28" s="1903" t="str">
        <f t="shared" si="282"/>
        <v/>
      </c>
      <c r="KR28" s="1903" t="str">
        <f t="shared" si="283"/>
        <v/>
      </c>
      <c r="KS28" s="1903" t="str">
        <f t="shared" si="284"/>
        <v/>
      </c>
      <c r="KT28" s="1903" t="str">
        <f t="shared" si="285"/>
        <v/>
      </c>
      <c r="KU28" s="1903" t="str">
        <f t="shared" si="286"/>
        <v/>
      </c>
      <c r="KV28" s="1903" t="str">
        <f t="shared" si="287"/>
        <v/>
      </c>
      <c r="KW28" s="1903" t="str">
        <f t="shared" si="288"/>
        <v/>
      </c>
      <c r="KX28" s="1903" t="str">
        <f t="shared" si="289"/>
        <v/>
      </c>
      <c r="KY28" s="1903" t="str">
        <f t="shared" si="290"/>
        <v/>
      </c>
      <c r="KZ28" s="1903" t="str">
        <f t="shared" si="291"/>
        <v/>
      </c>
      <c r="LA28" s="1903" t="str">
        <f t="shared" si="292"/>
        <v/>
      </c>
      <c r="LB28" s="1903" t="str">
        <f t="shared" si="293"/>
        <v/>
      </c>
      <c r="LC28" s="1903" t="str">
        <f t="shared" si="294"/>
        <v/>
      </c>
      <c r="LD28" s="1903" t="str">
        <f t="shared" si="295"/>
        <v/>
      </c>
      <c r="LE28" s="1903" t="str">
        <f t="shared" si="296"/>
        <v/>
      </c>
      <c r="LF28" s="1903" t="str">
        <f t="shared" si="297"/>
        <v/>
      </c>
      <c r="LG28" s="1892" t="str">
        <f t="shared" si="298"/>
        <v/>
      </c>
      <c r="LH28" s="1892" t="str">
        <f t="shared" si="299"/>
        <v/>
      </c>
      <c r="LI28" s="1892" t="str">
        <f t="shared" si="300"/>
        <v/>
      </c>
      <c r="LJ28" s="1892" t="str">
        <f t="shared" si="301"/>
        <v/>
      </c>
      <c r="LK28" s="1892"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50">
        <f t="shared" si="323"/>
        <v>0</v>
      </c>
      <c r="MG28" s="1750">
        <f t="shared" si="324"/>
        <v>0</v>
      </c>
      <c r="MH28" s="1750">
        <f t="shared" si="325"/>
        <v>0</v>
      </c>
      <c r="MI28" s="1750">
        <f t="shared" si="326"/>
        <v>0</v>
      </c>
      <c r="MJ28" s="1750">
        <f t="shared" si="327"/>
        <v>0</v>
      </c>
      <c r="MK28" s="1750">
        <f t="shared" si="333"/>
        <v>0</v>
      </c>
      <c r="ML28" s="1750">
        <f t="shared" si="334"/>
        <v>0</v>
      </c>
      <c r="MM28" s="1750">
        <f t="shared" si="335"/>
        <v>0</v>
      </c>
      <c r="MN28" s="1750">
        <f t="shared" si="336"/>
        <v>10</v>
      </c>
      <c r="MO28" s="1750">
        <f t="shared" si="337"/>
        <v>0</v>
      </c>
      <c r="MP28" s="1750">
        <f t="shared" si="328"/>
        <v>0</v>
      </c>
      <c r="MQ28" s="1750">
        <f t="shared" si="329"/>
        <v>0</v>
      </c>
      <c r="MR28" s="1750">
        <f t="shared" si="330"/>
        <v>0</v>
      </c>
      <c r="MS28" s="1750">
        <f t="shared" si="331"/>
        <v>0</v>
      </c>
      <c r="MT28" s="1750">
        <f t="shared" si="332"/>
        <v>0</v>
      </c>
      <c r="NP28" s="1721" t="s">
        <v>6431</v>
      </c>
    </row>
    <row r="29" spans="1:380" ht="13.9" customHeight="1">
      <c r="A29" s="86" t="str">
        <f t="shared" si="0"/>
        <v/>
      </c>
      <c r="B29" s="1121">
        <v>30</v>
      </c>
      <c r="C29" s="132">
        <v>4</v>
      </c>
      <c r="D29" s="1753">
        <v>2</v>
      </c>
      <c r="E29" s="133">
        <v>6</v>
      </c>
      <c r="F29" s="133">
        <v>1571</v>
      </c>
      <c r="G29" s="133">
        <v>760</v>
      </c>
      <c r="H29" s="133">
        <v>1900</v>
      </c>
      <c r="I29" s="133">
        <v>0</v>
      </c>
      <c r="J29" s="756">
        <f>IF(C29="",0,HLOOKUP(C29,'Part IV-Utility Allowances'!$I$11:$M$22,12))</f>
        <v>122</v>
      </c>
      <c r="K29" s="644" t="s">
        <v>6932</v>
      </c>
      <c r="L29" s="461">
        <f t="shared" si="1"/>
        <v>1778</v>
      </c>
      <c r="M29" s="461">
        <f t="shared" si="2"/>
        <v>10668</v>
      </c>
      <c r="N29" s="695" t="s">
        <v>2655</v>
      </c>
      <c r="O29" s="1685" t="s">
        <v>6300</v>
      </c>
      <c r="P29" s="695" t="s">
        <v>2121</v>
      </c>
      <c r="Q29" s="134" t="s">
        <v>2655</v>
      </c>
      <c r="R29" s="739"/>
      <c r="S29" s="740"/>
      <c r="T29" s="3087"/>
      <c r="U29" s="3088"/>
      <c r="V29" s="3088"/>
      <c r="W29" s="3089"/>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f t="shared" si="32"/>
        <v>6</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f t="shared" si="52"/>
        <v>6</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f t="shared" si="147"/>
        <v>9426</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f t="shared" si="162"/>
        <v>9426</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f t="shared" si="172"/>
        <v>6</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903" t="str">
        <f t="shared" si="213"/>
        <v/>
      </c>
      <c r="IA29" s="1903" t="str">
        <f t="shared" si="214"/>
        <v/>
      </c>
      <c r="IB29" s="1903" t="str">
        <f t="shared" si="215"/>
        <v/>
      </c>
      <c r="IC29" s="1903" t="str">
        <f t="shared" si="216"/>
        <v/>
      </c>
      <c r="ID29" s="1903">
        <f t="shared" si="217"/>
        <v>6</v>
      </c>
      <c r="IE29" s="1903" t="str">
        <f t="shared" si="218"/>
        <v/>
      </c>
      <c r="IF29" s="1903" t="str">
        <f t="shared" si="219"/>
        <v/>
      </c>
      <c r="IG29" s="1903" t="str">
        <f t="shared" si="220"/>
        <v/>
      </c>
      <c r="IH29" s="1903" t="str">
        <f t="shared" si="221"/>
        <v/>
      </c>
      <c r="II29" s="1903" t="str">
        <f t="shared" si="222"/>
        <v/>
      </c>
      <c r="IJ29" s="1903" t="str">
        <f t="shared" si="223"/>
        <v/>
      </c>
      <c r="IK29" s="1903" t="str">
        <f t="shared" si="224"/>
        <v/>
      </c>
      <c r="IL29" s="1903" t="str">
        <f t="shared" si="225"/>
        <v/>
      </c>
      <c r="IM29" s="1903" t="str">
        <f t="shared" si="226"/>
        <v/>
      </c>
      <c r="IN29" s="1903" t="str">
        <f t="shared" si="227"/>
        <v/>
      </c>
      <c r="IO29" s="1903" t="str">
        <f t="shared" si="228"/>
        <v/>
      </c>
      <c r="IP29" s="1903" t="str">
        <f t="shared" si="229"/>
        <v/>
      </c>
      <c r="IQ29" s="1903" t="str">
        <f t="shared" si="230"/>
        <v/>
      </c>
      <c r="IR29" s="1903" t="str">
        <f t="shared" si="231"/>
        <v/>
      </c>
      <c r="IS29" s="1903" t="str">
        <f t="shared" si="232"/>
        <v/>
      </c>
      <c r="IT29" s="1903" t="str">
        <f t="shared" si="233"/>
        <v/>
      </c>
      <c r="IU29" s="1903" t="str">
        <f t="shared" si="234"/>
        <v/>
      </c>
      <c r="IV29" s="1903" t="str">
        <f t="shared" si="235"/>
        <v/>
      </c>
      <c r="IW29" s="1903" t="str">
        <f t="shared" si="236"/>
        <v/>
      </c>
      <c r="IX29" s="1903" t="str">
        <f t="shared" si="237"/>
        <v/>
      </c>
      <c r="IY29" s="1903" t="str">
        <f t="shared" si="238"/>
        <v/>
      </c>
      <c r="IZ29" s="1903" t="str">
        <f t="shared" si="239"/>
        <v/>
      </c>
      <c r="JA29" s="1903" t="str">
        <f t="shared" si="240"/>
        <v/>
      </c>
      <c r="JB29" s="1903" t="str">
        <f t="shared" si="241"/>
        <v/>
      </c>
      <c r="JC29" s="1903" t="str">
        <f t="shared" si="242"/>
        <v/>
      </c>
      <c r="JD29" s="1903" t="str">
        <f t="shared" si="243"/>
        <v/>
      </c>
      <c r="JE29" s="1903" t="str">
        <f t="shared" si="244"/>
        <v/>
      </c>
      <c r="JF29" s="1903" t="str">
        <f t="shared" si="245"/>
        <v/>
      </c>
      <c r="JG29" s="1903" t="str">
        <f t="shared" si="246"/>
        <v/>
      </c>
      <c r="JH29" s="1903" t="str">
        <f t="shared" si="247"/>
        <v/>
      </c>
      <c r="JI29" s="1903" t="str">
        <f t="shared" si="248"/>
        <v/>
      </c>
      <c r="JJ29" s="1903" t="str">
        <f t="shared" si="249"/>
        <v/>
      </c>
      <c r="JK29" s="1903" t="str">
        <f t="shared" si="250"/>
        <v/>
      </c>
      <c r="JL29" s="1903" t="str">
        <f t="shared" si="251"/>
        <v/>
      </c>
      <c r="JM29" s="1903" t="str">
        <f t="shared" si="252"/>
        <v/>
      </c>
      <c r="JN29" s="1903" t="str">
        <f t="shared" si="253"/>
        <v/>
      </c>
      <c r="JO29" s="1903" t="str">
        <f t="shared" si="254"/>
        <v/>
      </c>
      <c r="JP29" s="1903" t="str">
        <f t="shared" si="255"/>
        <v/>
      </c>
      <c r="JQ29" s="1903" t="str">
        <f t="shared" si="256"/>
        <v/>
      </c>
      <c r="JR29" s="1903" t="str">
        <f t="shared" si="257"/>
        <v/>
      </c>
      <c r="JS29" s="1903" t="str">
        <f t="shared" si="258"/>
        <v/>
      </c>
      <c r="JT29" s="1903" t="str">
        <f t="shared" si="259"/>
        <v/>
      </c>
      <c r="JU29" s="1903" t="str">
        <f t="shared" si="260"/>
        <v/>
      </c>
      <c r="JV29" s="1903" t="str">
        <f t="shared" si="261"/>
        <v/>
      </c>
      <c r="JW29" s="1903">
        <f t="shared" si="262"/>
        <v>6</v>
      </c>
      <c r="JX29" s="1903" t="str">
        <f t="shared" si="263"/>
        <v/>
      </c>
      <c r="JY29" s="1903" t="str">
        <f t="shared" si="264"/>
        <v/>
      </c>
      <c r="JZ29" s="1903" t="str">
        <f t="shared" si="265"/>
        <v/>
      </c>
      <c r="KA29" s="1903" t="str">
        <f t="shared" si="266"/>
        <v/>
      </c>
      <c r="KB29" s="1903" t="str">
        <f t="shared" si="267"/>
        <v/>
      </c>
      <c r="KC29" s="1903" t="str">
        <f t="shared" si="268"/>
        <v/>
      </c>
      <c r="KD29" s="1903" t="str">
        <f t="shared" si="269"/>
        <v/>
      </c>
      <c r="KE29" s="1903" t="str">
        <f t="shared" si="270"/>
        <v/>
      </c>
      <c r="KF29" s="1903" t="str">
        <f t="shared" si="271"/>
        <v/>
      </c>
      <c r="KG29" s="1903" t="str">
        <f t="shared" si="272"/>
        <v/>
      </c>
      <c r="KH29" s="1903" t="str">
        <f t="shared" si="273"/>
        <v/>
      </c>
      <c r="KI29" s="1903" t="str">
        <f t="shared" si="274"/>
        <v/>
      </c>
      <c r="KJ29" s="1903" t="str">
        <f t="shared" si="275"/>
        <v/>
      </c>
      <c r="KK29" s="1903" t="str">
        <f t="shared" si="276"/>
        <v/>
      </c>
      <c r="KL29" s="1903" t="str">
        <f t="shared" si="277"/>
        <v/>
      </c>
      <c r="KM29" s="1903" t="str">
        <f t="shared" si="278"/>
        <v/>
      </c>
      <c r="KN29" s="1903" t="str">
        <f t="shared" si="279"/>
        <v/>
      </c>
      <c r="KO29" s="1903" t="str">
        <f t="shared" si="280"/>
        <v/>
      </c>
      <c r="KP29" s="1903" t="str">
        <f t="shared" si="281"/>
        <v/>
      </c>
      <c r="KQ29" s="1903" t="str">
        <f t="shared" si="282"/>
        <v/>
      </c>
      <c r="KR29" s="1903" t="str">
        <f t="shared" si="283"/>
        <v/>
      </c>
      <c r="KS29" s="1903" t="str">
        <f t="shared" si="284"/>
        <v/>
      </c>
      <c r="KT29" s="1903" t="str">
        <f t="shared" si="285"/>
        <v/>
      </c>
      <c r="KU29" s="1903" t="str">
        <f t="shared" si="286"/>
        <v/>
      </c>
      <c r="KV29" s="1903" t="str">
        <f t="shared" si="287"/>
        <v/>
      </c>
      <c r="KW29" s="1903" t="str">
        <f t="shared" si="288"/>
        <v/>
      </c>
      <c r="KX29" s="1903" t="str">
        <f t="shared" si="289"/>
        <v/>
      </c>
      <c r="KY29" s="1903" t="str">
        <f t="shared" si="290"/>
        <v/>
      </c>
      <c r="KZ29" s="1903" t="str">
        <f t="shared" si="291"/>
        <v/>
      </c>
      <c r="LA29" s="1903" t="str">
        <f t="shared" si="292"/>
        <v/>
      </c>
      <c r="LB29" s="1903" t="str">
        <f t="shared" si="293"/>
        <v/>
      </c>
      <c r="LC29" s="1903" t="str">
        <f t="shared" si="294"/>
        <v/>
      </c>
      <c r="LD29" s="1903" t="str">
        <f t="shared" si="295"/>
        <v/>
      </c>
      <c r="LE29" s="1903" t="str">
        <f t="shared" si="296"/>
        <v/>
      </c>
      <c r="LF29" s="1903" t="str">
        <f t="shared" si="297"/>
        <v/>
      </c>
      <c r="LG29" s="1892" t="str">
        <f t="shared" si="298"/>
        <v/>
      </c>
      <c r="LH29" s="1892" t="str">
        <f t="shared" si="299"/>
        <v/>
      </c>
      <c r="LI29" s="1892" t="str">
        <f t="shared" si="300"/>
        <v/>
      </c>
      <c r="LJ29" s="1892" t="str">
        <f t="shared" si="301"/>
        <v/>
      </c>
      <c r="LK29" s="1892"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50">
        <f t="shared" si="323"/>
        <v>0</v>
      </c>
      <c r="MG29" s="1750">
        <f t="shared" si="324"/>
        <v>0</v>
      </c>
      <c r="MH29" s="1750">
        <f t="shared" si="325"/>
        <v>0</v>
      </c>
      <c r="MI29" s="1750">
        <f t="shared" si="326"/>
        <v>0</v>
      </c>
      <c r="MJ29" s="1750">
        <f t="shared" si="327"/>
        <v>0</v>
      </c>
      <c r="MK29" s="1750">
        <f t="shared" si="333"/>
        <v>0</v>
      </c>
      <c r="ML29" s="1750">
        <f t="shared" si="334"/>
        <v>0</v>
      </c>
      <c r="MM29" s="1750">
        <f t="shared" si="335"/>
        <v>0</v>
      </c>
      <c r="MN29" s="1750">
        <f t="shared" si="336"/>
        <v>0</v>
      </c>
      <c r="MO29" s="1750">
        <f t="shared" si="337"/>
        <v>6</v>
      </c>
      <c r="MP29" s="1750">
        <f t="shared" si="328"/>
        <v>0</v>
      </c>
      <c r="MQ29" s="1750">
        <f t="shared" si="329"/>
        <v>0</v>
      </c>
      <c r="MR29" s="1750">
        <f t="shared" si="330"/>
        <v>0</v>
      </c>
      <c r="MS29" s="1750">
        <f t="shared" si="331"/>
        <v>0</v>
      </c>
      <c r="MT29" s="1750">
        <f t="shared" si="332"/>
        <v>0</v>
      </c>
      <c r="NP29" s="1721" t="s">
        <v>6432</v>
      </c>
    </row>
    <row r="30" spans="1:380" ht="13.9" customHeight="1">
      <c r="A30" s="86" t="str">
        <f t="shared" si="0"/>
        <v/>
      </c>
      <c r="B30" s="1121">
        <v>60</v>
      </c>
      <c r="C30" s="132">
        <v>4</v>
      </c>
      <c r="D30" s="1753">
        <v>2</v>
      </c>
      <c r="E30" s="133">
        <v>10</v>
      </c>
      <c r="F30" s="133">
        <v>1571</v>
      </c>
      <c r="G30" s="133">
        <v>1521</v>
      </c>
      <c r="H30" s="133">
        <v>1900</v>
      </c>
      <c r="I30" s="133">
        <v>0</v>
      </c>
      <c r="J30" s="756">
        <f>IF(C30="",0,HLOOKUP(C30,'Part IV-Utility Allowances'!$I$11:$M$22,12))</f>
        <v>122</v>
      </c>
      <c r="K30" s="644" t="s">
        <v>6932</v>
      </c>
      <c r="L30" s="461">
        <f t="shared" si="1"/>
        <v>1778</v>
      </c>
      <c r="M30" s="461">
        <f t="shared" si="2"/>
        <v>17780</v>
      </c>
      <c r="N30" s="695" t="s">
        <v>2655</v>
      </c>
      <c r="O30" s="1685" t="s">
        <v>6300</v>
      </c>
      <c r="P30" s="695" t="s">
        <v>2121</v>
      </c>
      <c r="Q30" s="134" t="s">
        <v>2655</v>
      </c>
      <c r="R30" s="739"/>
      <c r="S30" s="740"/>
      <c r="T30" s="3087"/>
      <c r="U30" s="3088"/>
      <c r="V30" s="3088"/>
      <c r="W30" s="3089"/>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f t="shared" si="17"/>
        <v>10</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f t="shared" si="67"/>
        <v>10</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f t="shared" si="132"/>
        <v>15710</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f t="shared" si="162"/>
        <v>15710</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f t="shared" si="172"/>
        <v>10</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903" t="str">
        <f t="shared" si="213"/>
        <v/>
      </c>
      <c r="IA30" s="1903" t="str">
        <f t="shared" si="214"/>
        <v/>
      </c>
      <c r="IB30" s="1903" t="str">
        <f t="shared" si="215"/>
        <v/>
      </c>
      <c r="IC30" s="1903" t="str">
        <f t="shared" si="216"/>
        <v/>
      </c>
      <c r="ID30" s="1903">
        <f t="shared" si="217"/>
        <v>10</v>
      </c>
      <c r="IE30" s="1903" t="str">
        <f t="shared" si="218"/>
        <v/>
      </c>
      <c r="IF30" s="1903" t="str">
        <f t="shared" si="219"/>
        <v/>
      </c>
      <c r="IG30" s="1903" t="str">
        <f t="shared" si="220"/>
        <v/>
      </c>
      <c r="IH30" s="1903" t="str">
        <f t="shared" si="221"/>
        <v/>
      </c>
      <c r="II30" s="1903" t="str">
        <f t="shared" si="222"/>
        <v/>
      </c>
      <c r="IJ30" s="1903" t="str">
        <f t="shared" si="223"/>
        <v/>
      </c>
      <c r="IK30" s="1903" t="str">
        <f t="shared" si="224"/>
        <v/>
      </c>
      <c r="IL30" s="1903" t="str">
        <f t="shared" si="225"/>
        <v/>
      </c>
      <c r="IM30" s="1903" t="str">
        <f t="shared" si="226"/>
        <v/>
      </c>
      <c r="IN30" s="1903" t="str">
        <f t="shared" si="227"/>
        <v/>
      </c>
      <c r="IO30" s="1903" t="str">
        <f t="shared" si="228"/>
        <v/>
      </c>
      <c r="IP30" s="1903" t="str">
        <f t="shared" si="229"/>
        <v/>
      </c>
      <c r="IQ30" s="1903" t="str">
        <f t="shared" si="230"/>
        <v/>
      </c>
      <c r="IR30" s="1903" t="str">
        <f t="shared" si="231"/>
        <v/>
      </c>
      <c r="IS30" s="1903" t="str">
        <f t="shared" si="232"/>
        <v/>
      </c>
      <c r="IT30" s="1903" t="str">
        <f t="shared" si="233"/>
        <v/>
      </c>
      <c r="IU30" s="1903" t="str">
        <f t="shared" si="234"/>
        <v/>
      </c>
      <c r="IV30" s="1903" t="str">
        <f t="shared" si="235"/>
        <v/>
      </c>
      <c r="IW30" s="1903" t="str">
        <f t="shared" si="236"/>
        <v/>
      </c>
      <c r="IX30" s="1903" t="str">
        <f t="shared" si="237"/>
        <v/>
      </c>
      <c r="IY30" s="1903" t="str">
        <f t="shared" si="238"/>
        <v/>
      </c>
      <c r="IZ30" s="1903" t="str">
        <f t="shared" si="239"/>
        <v/>
      </c>
      <c r="JA30" s="1903" t="str">
        <f t="shared" si="240"/>
        <v/>
      </c>
      <c r="JB30" s="1903" t="str">
        <f t="shared" si="241"/>
        <v/>
      </c>
      <c r="JC30" s="1903" t="str">
        <f t="shared" si="242"/>
        <v/>
      </c>
      <c r="JD30" s="1903" t="str">
        <f t="shared" si="243"/>
        <v/>
      </c>
      <c r="JE30" s="1903" t="str">
        <f t="shared" si="244"/>
        <v/>
      </c>
      <c r="JF30" s="1903" t="str">
        <f t="shared" si="245"/>
        <v/>
      </c>
      <c r="JG30" s="1903" t="str">
        <f t="shared" si="246"/>
        <v/>
      </c>
      <c r="JH30" s="1903" t="str">
        <f t="shared" si="247"/>
        <v/>
      </c>
      <c r="JI30" s="1903" t="str">
        <f t="shared" si="248"/>
        <v/>
      </c>
      <c r="JJ30" s="1903" t="str">
        <f t="shared" si="249"/>
        <v/>
      </c>
      <c r="JK30" s="1903" t="str">
        <f t="shared" si="250"/>
        <v/>
      </c>
      <c r="JL30" s="1903" t="str">
        <f t="shared" si="251"/>
        <v/>
      </c>
      <c r="JM30" s="1903" t="str">
        <f t="shared" si="252"/>
        <v/>
      </c>
      <c r="JN30" s="1903" t="str">
        <f t="shared" si="253"/>
        <v/>
      </c>
      <c r="JO30" s="1903" t="str">
        <f t="shared" si="254"/>
        <v/>
      </c>
      <c r="JP30" s="1903" t="str">
        <f t="shared" si="255"/>
        <v/>
      </c>
      <c r="JQ30" s="1903" t="str">
        <f t="shared" si="256"/>
        <v/>
      </c>
      <c r="JR30" s="1903" t="str">
        <f t="shared" si="257"/>
        <v/>
      </c>
      <c r="JS30" s="1903" t="str">
        <f t="shared" si="258"/>
        <v/>
      </c>
      <c r="JT30" s="1903" t="str">
        <f t="shared" si="259"/>
        <v/>
      </c>
      <c r="JU30" s="1903" t="str">
        <f t="shared" si="260"/>
        <v/>
      </c>
      <c r="JV30" s="1903" t="str">
        <f t="shared" si="261"/>
        <v/>
      </c>
      <c r="JW30" s="1903">
        <f t="shared" si="262"/>
        <v>10</v>
      </c>
      <c r="JX30" s="1903" t="str">
        <f t="shared" si="263"/>
        <v/>
      </c>
      <c r="JY30" s="1903" t="str">
        <f t="shared" si="264"/>
        <v/>
      </c>
      <c r="JZ30" s="1903" t="str">
        <f t="shared" si="265"/>
        <v/>
      </c>
      <c r="KA30" s="1903" t="str">
        <f t="shared" si="266"/>
        <v/>
      </c>
      <c r="KB30" s="1903" t="str">
        <f t="shared" si="267"/>
        <v/>
      </c>
      <c r="KC30" s="1903" t="str">
        <f t="shared" si="268"/>
        <v/>
      </c>
      <c r="KD30" s="1903" t="str">
        <f t="shared" si="269"/>
        <v/>
      </c>
      <c r="KE30" s="1903" t="str">
        <f t="shared" si="270"/>
        <v/>
      </c>
      <c r="KF30" s="1903" t="str">
        <f t="shared" si="271"/>
        <v/>
      </c>
      <c r="KG30" s="1903" t="str">
        <f t="shared" si="272"/>
        <v/>
      </c>
      <c r="KH30" s="1903" t="str">
        <f t="shared" si="273"/>
        <v/>
      </c>
      <c r="KI30" s="1903" t="str">
        <f t="shared" si="274"/>
        <v/>
      </c>
      <c r="KJ30" s="1903" t="str">
        <f t="shared" si="275"/>
        <v/>
      </c>
      <c r="KK30" s="1903" t="str">
        <f t="shared" si="276"/>
        <v/>
      </c>
      <c r="KL30" s="1903" t="str">
        <f t="shared" si="277"/>
        <v/>
      </c>
      <c r="KM30" s="1903" t="str">
        <f t="shared" si="278"/>
        <v/>
      </c>
      <c r="KN30" s="1903" t="str">
        <f t="shared" si="279"/>
        <v/>
      </c>
      <c r="KO30" s="1903" t="str">
        <f t="shared" si="280"/>
        <v/>
      </c>
      <c r="KP30" s="1903" t="str">
        <f t="shared" si="281"/>
        <v/>
      </c>
      <c r="KQ30" s="1903" t="str">
        <f t="shared" si="282"/>
        <v/>
      </c>
      <c r="KR30" s="1903" t="str">
        <f t="shared" si="283"/>
        <v/>
      </c>
      <c r="KS30" s="1903" t="str">
        <f t="shared" si="284"/>
        <v/>
      </c>
      <c r="KT30" s="1903" t="str">
        <f t="shared" si="285"/>
        <v/>
      </c>
      <c r="KU30" s="1903" t="str">
        <f t="shared" si="286"/>
        <v/>
      </c>
      <c r="KV30" s="1903" t="str">
        <f t="shared" si="287"/>
        <v/>
      </c>
      <c r="KW30" s="1903" t="str">
        <f t="shared" si="288"/>
        <v/>
      </c>
      <c r="KX30" s="1903" t="str">
        <f t="shared" si="289"/>
        <v/>
      </c>
      <c r="KY30" s="1903" t="str">
        <f t="shared" si="290"/>
        <v/>
      </c>
      <c r="KZ30" s="1903" t="str">
        <f t="shared" si="291"/>
        <v/>
      </c>
      <c r="LA30" s="1903" t="str">
        <f t="shared" si="292"/>
        <v/>
      </c>
      <c r="LB30" s="1903" t="str">
        <f t="shared" si="293"/>
        <v/>
      </c>
      <c r="LC30" s="1903" t="str">
        <f t="shared" si="294"/>
        <v/>
      </c>
      <c r="LD30" s="1903" t="str">
        <f t="shared" si="295"/>
        <v/>
      </c>
      <c r="LE30" s="1903" t="str">
        <f t="shared" si="296"/>
        <v/>
      </c>
      <c r="LF30" s="1903" t="str">
        <f t="shared" si="297"/>
        <v/>
      </c>
      <c r="LG30" s="1892" t="str">
        <f t="shared" si="298"/>
        <v/>
      </c>
      <c r="LH30" s="1892" t="str">
        <f t="shared" si="299"/>
        <v/>
      </c>
      <c r="LI30" s="1892" t="str">
        <f t="shared" si="300"/>
        <v/>
      </c>
      <c r="LJ30" s="1892" t="str">
        <f t="shared" si="301"/>
        <v/>
      </c>
      <c r="LK30" s="1892"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50">
        <f t="shared" si="323"/>
        <v>0</v>
      </c>
      <c r="MG30" s="1750">
        <f t="shared" si="324"/>
        <v>0</v>
      </c>
      <c r="MH30" s="1750">
        <f t="shared" si="325"/>
        <v>0</v>
      </c>
      <c r="MI30" s="1750">
        <f t="shared" si="326"/>
        <v>0</v>
      </c>
      <c r="MJ30" s="1750">
        <f t="shared" si="327"/>
        <v>0</v>
      </c>
      <c r="MK30" s="1750">
        <f t="shared" si="333"/>
        <v>0</v>
      </c>
      <c r="ML30" s="1750">
        <f t="shared" si="334"/>
        <v>0</v>
      </c>
      <c r="MM30" s="1750">
        <f t="shared" si="335"/>
        <v>0</v>
      </c>
      <c r="MN30" s="1750">
        <f t="shared" si="336"/>
        <v>0</v>
      </c>
      <c r="MO30" s="1750">
        <f t="shared" si="337"/>
        <v>10</v>
      </c>
      <c r="MP30" s="1750">
        <f t="shared" si="328"/>
        <v>0</v>
      </c>
      <c r="MQ30" s="1750">
        <f t="shared" si="329"/>
        <v>0</v>
      </c>
      <c r="MR30" s="1750">
        <f t="shared" si="330"/>
        <v>0</v>
      </c>
      <c r="MS30" s="1750">
        <f t="shared" si="331"/>
        <v>0</v>
      </c>
      <c r="MT30" s="1750">
        <f t="shared" si="332"/>
        <v>0</v>
      </c>
      <c r="NP30" s="1721" t="s">
        <v>6433</v>
      </c>
    </row>
    <row r="31" spans="1:380" ht="13.9" customHeight="1">
      <c r="A31" s="86" t="str">
        <f t="shared" si="0"/>
        <v/>
      </c>
      <c r="B31" s="1121">
        <v>60</v>
      </c>
      <c r="C31" s="132">
        <v>4</v>
      </c>
      <c r="D31" s="1753">
        <v>2</v>
      </c>
      <c r="E31" s="133">
        <v>2</v>
      </c>
      <c r="F31" s="133">
        <v>1571</v>
      </c>
      <c r="G31" s="133">
        <v>1521</v>
      </c>
      <c r="H31" s="133">
        <v>1421</v>
      </c>
      <c r="I31" s="133">
        <v>0</v>
      </c>
      <c r="J31" s="756">
        <f>IF(C31="",0,HLOOKUP(C31,'Part IV-Utility Allowances'!$I$11:$M$22,12))</f>
        <v>122</v>
      </c>
      <c r="K31" s="644"/>
      <c r="L31" s="461">
        <f t="shared" si="1"/>
        <v>1299</v>
      </c>
      <c r="M31" s="461">
        <f t="shared" si="2"/>
        <v>2598</v>
      </c>
      <c r="N31" s="695" t="s">
        <v>2655</v>
      </c>
      <c r="O31" s="1685" t="s">
        <v>6300</v>
      </c>
      <c r="P31" s="695" t="s">
        <v>2121</v>
      </c>
      <c r="Q31" s="134" t="s">
        <v>2655</v>
      </c>
      <c r="R31" s="739"/>
      <c r="S31" s="740"/>
      <c r="T31" s="3087"/>
      <c r="U31" s="3088"/>
      <c r="V31" s="3088"/>
      <c r="W31" s="3089"/>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f t="shared" si="17"/>
        <v>2</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f t="shared" si="132"/>
        <v>3142</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f t="shared" si="172"/>
        <v>2</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903" t="str">
        <f t="shared" si="213"/>
        <v/>
      </c>
      <c r="IA31" s="1903" t="str">
        <f t="shared" si="214"/>
        <v/>
      </c>
      <c r="IB31" s="1903" t="str">
        <f t="shared" si="215"/>
        <v/>
      </c>
      <c r="IC31" s="1903" t="str">
        <f t="shared" si="216"/>
        <v/>
      </c>
      <c r="ID31" s="1903">
        <f t="shared" si="217"/>
        <v>2</v>
      </c>
      <c r="IE31" s="1903" t="str">
        <f t="shared" si="218"/>
        <v/>
      </c>
      <c r="IF31" s="1903" t="str">
        <f t="shared" si="219"/>
        <v/>
      </c>
      <c r="IG31" s="1903" t="str">
        <f t="shared" si="220"/>
        <v/>
      </c>
      <c r="IH31" s="1903" t="str">
        <f t="shared" si="221"/>
        <v/>
      </c>
      <c r="II31" s="1903" t="str">
        <f t="shared" si="222"/>
        <v/>
      </c>
      <c r="IJ31" s="1903" t="str">
        <f t="shared" si="223"/>
        <v/>
      </c>
      <c r="IK31" s="1903" t="str">
        <f t="shared" si="224"/>
        <v/>
      </c>
      <c r="IL31" s="1903" t="str">
        <f t="shared" si="225"/>
        <v/>
      </c>
      <c r="IM31" s="1903" t="str">
        <f t="shared" si="226"/>
        <v/>
      </c>
      <c r="IN31" s="1903" t="str">
        <f t="shared" si="227"/>
        <v/>
      </c>
      <c r="IO31" s="1903" t="str">
        <f t="shared" si="228"/>
        <v/>
      </c>
      <c r="IP31" s="1903" t="str">
        <f t="shared" si="229"/>
        <v/>
      </c>
      <c r="IQ31" s="1903" t="str">
        <f t="shared" si="230"/>
        <v/>
      </c>
      <c r="IR31" s="1903" t="str">
        <f t="shared" si="231"/>
        <v/>
      </c>
      <c r="IS31" s="1903" t="str">
        <f t="shared" si="232"/>
        <v/>
      </c>
      <c r="IT31" s="1903" t="str">
        <f t="shared" si="233"/>
        <v/>
      </c>
      <c r="IU31" s="1903" t="str">
        <f t="shared" si="234"/>
        <v/>
      </c>
      <c r="IV31" s="1903" t="str">
        <f t="shared" si="235"/>
        <v/>
      </c>
      <c r="IW31" s="1903" t="str">
        <f t="shared" si="236"/>
        <v/>
      </c>
      <c r="IX31" s="1903" t="str">
        <f t="shared" si="237"/>
        <v/>
      </c>
      <c r="IY31" s="1903" t="str">
        <f t="shared" si="238"/>
        <v/>
      </c>
      <c r="IZ31" s="1903" t="str">
        <f t="shared" si="239"/>
        <v/>
      </c>
      <c r="JA31" s="1903" t="str">
        <f t="shared" si="240"/>
        <v/>
      </c>
      <c r="JB31" s="1903" t="str">
        <f t="shared" si="241"/>
        <v/>
      </c>
      <c r="JC31" s="1903" t="str">
        <f t="shared" si="242"/>
        <v/>
      </c>
      <c r="JD31" s="1903" t="str">
        <f t="shared" si="243"/>
        <v/>
      </c>
      <c r="JE31" s="1903" t="str">
        <f t="shared" si="244"/>
        <v/>
      </c>
      <c r="JF31" s="1903" t="str">
        <f t="shared" si="245"/>
        <v/>
      </c>
      <c r="JG31" s="1903" t="str">
        <f t="shared" si="246"/>
        <v/>
      </c>
      <c r="JH31" s="1903" t="str">
        <f t="shared" si="247"/>
        <v/>
      </c>
      <c r="JI31" s="1903" t="str">
        <f t="shared" si="248"/>
        <v/>
      </c>
      <c r="JJ31" s="1903" t="str">
        <f t="shared" si="249"/>
        <v/>
      </c>
      <c r="JK31" s="1903" t="str">
        <f t="shared" si="250"/>
        <v/>
      </c>
      <c r="JL31" s="1903" t="str">
        <f t="shared" si="251"/>
        <v/>
      </c>
      <c r="JM31" s="1903" t="str">
        <f t="shared" si="252"/>
        <v/>
      </c>
      <c r="JN31" s="1903" t="str">
        <f t="shared" si="253"/>
        <v/>
      </c>
      <c r="JO31" s="1903" t="str">
        <f t="shared" si="254"/>
        <v/>
      </c>
      <c r="JP31" s="1903" t="str">
        <f t="shared" si="255"/>
        <v/>
      </c>
      <c r="JQ31" s="1903" t="str">
        <f t="shared" si="256"/>
        <v/>
      </c>
      <c r="JR31" s="1903" t="str">
        <f t="shared" si="257"/>
        <v/>
      </c>
      <c r="JS31" s="1903" t="str">
        <f t="shared" si="258"/>
        <v/>
      </c>
      <c r="JT31" s="1903" t="str">
        <f t="shared" si="259"/>
        <v/>
      </c>
      <c r="JU31" s="1903" t="str">
        <f t="shared" si="260"/>
        <v/>
      </c>
      <c r="JV31" s="1903" t="str">
        <f t="shared" si="261"/>
        <v/>
      </c>
      <c r="JW31" s="1903">
        <f t="shared" si="262"/>
        <v>2</v>
      </c>
      <c r="JX31" s="1903" t="str">
        <f t="shared" si="263"/>
        <v/>
      </c>
      <c r="JY31" s="1903" t="str">
        <f t="shared" si="264"/>
        <v/>
      </c>
      <c r="JZ31" s="1903" t="str">
        <f t="shared" si="265"/>
        <v/>
      </c>
      <c r="KA31" s="1903" t="str">
        <f t="shared" si="266"/>
        <v/>
      </c>
      <c r="KB31" s="1903" t="str">
        <f t="shared" si="267"/>
        <v/>
      </c>
      <c r="KC31" s="1903" t="str">
        <f t="shared" si="268"/>
        <v/>
      </c>
      <c r="KD31" s="1903" t="str">
        <f t="shared" si="269"/>
        <v/>
      </c>
      <c r="KE31" s="1903" t="str">
        <f t="shared" si="270"/>
        <v/>
      </c>
      <c r="KF31" s="1903" t="str">
        <f t="shared" si="271"/>
        <v/>
      </c>
      <c r="KG31" s="1903" t="str">
        <f t="shared" si="272"/>
        <v/>
      </c>
      <c r="KH31" s="1903" t="str">
        <f t="shared" si="273"/>
        <v/>
      </c>
      <c r="KI31" s="1903" t="str">
        <f t="shared" si="274"/>
        <v/>
      </c>
      <c r="KJ31" s="1903" t="str">
        <f t="shared" si="275"/>
        <v/>
      </c>
      <c r="KK31" s="1903" t="str">
        <f t="shared" si="276"/>
        <v/>
      </c>
      <c r="KL31" s="1903" t="str">
        <f t="shared" si="277"/>
        <v/>
      </c>
      <c r="KM31" s="1903" t="str">
        <f t="shared" si="278"/>
        <v/>
      </c>
      <c r="KN31" s="1903" t="str">
        <f t="shared" si="279"/>
        <v/>
      </c>
      <c r="KO31" s="1903" t="str">
        <f t="shared" si="280"/>
        <v/>
      </c>
      <c r="KP31" s="1903" t="str">
        <f t="shared" si="281"/>
        <v/>
      </c>
      <c r="KQ31" s="1903" t="str">
        <f t="shared" si="282"/>
        <v/>
      </c>
      <c r="KR31" s="1903" t="str">
        <f t="shared" si="283"/>
        <v/>
      </c>
      <c r="KS31" s="1903" t="str">
        <f t="shared" si="284"/>
        <v/>
      </c>
      <c r="KT31" s="1903" t="str">
        <f t="shared" si="285"/>
        <v/>
      </c>
      <c r="KU31" s="1903" t="str">
        <f t="shared" si="286"/>
        <v/>
      </c>
      <c r="KV31" s="1903" t="str">
        <f t="shared" si="287"/>
        <v/>
      </c>
      <c r="KW31" s="1903" t="str">
        <f t="shared" si="288"/>
        <v/>
      </c>
      <c r="KX31" s="1903" t="str">
        <f t="shared" si="289"/>
        <v/>
      </c>
      <c r="KY31" s="1903" t="str">
        <f t="shared" si="290"/>
        <v/>
      </c>
      <c r="KZ31" s="1903" t="str">
        <f t="shared" si="291"/>
        <v/>
      </c>
      <c r="LA31" s="1903" t="str">
        <f t="shared" si="292"/>
        <v/>
      </c>
      <c r="LB31" s="1903" t="str">
        <f t="shared" si="293"/>
        <v/>
      </c>
      <c r="LC31" s="1903" t="str">
        <f t="shared" si="294"/>
        <v/>
      </c>
      <c r="LD31" s="1903" t="str">
        <f t="shared" si="295"/>
        <v/>
      </c>
      <c r="LE31" s="1903" t="str">
        <f t="shared" si="296"/>
        <v/>
      </c>
      <c r="LF31" s="1903" t="str">
        <f t="shared" si="297"/>
        <v/>
      </c>
      <c r="LG31" s="1892" t="str">
        <f t="shared" si="298"/>
        <v/>
      </c>
      <c r="LH31" s="1892" t="str">
        <f t="shared" si="299"/>
        <v/>
      </c>
      <c r="LI31" s="1892" t="str">
        <f t="shared" si="300"/>
        <v/>
      </c>
      <c r="LJ31" s="1892" t="str">
        <f t="shared" si="301"/>
        <v/>
      </c>
      <c r="LK31" s="1892"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50">
        <f t="shared" si="323"/>
        <v>0</v>
      </c>
      <c r="MG31" s="1750">
        <f t="shared" si="324"/>
        <v>0</v>
      </c>
      <c r="MH31" s="1750">
        <f t="shared" si="325"/>
        <v>0</v>
      </c>
      <c r="MI31" s="1750">
        <f t="shared" si="326"/>
        <v>0</v>
      </c>
      <c r="MJ31" s="1750">
        <f t="shared" si="327"/>
        <v>0</v>
      </c>
      <c r="MK31" s="1750">
        <f t="shared" si="333"/>
        <v>0</v>
      </c>
      <c r="ML31" s="1750">
        <f t="shared" si="334"/>
        <v>0</v>
      </c>
      <c r="MM31" s="1750">
        <f t="shared" si="335"/>
        <v>0</v>
      </c>
      <c r="MN31" s="1750">
        <f t="shared" si="336"/>
        <v>0</v>
      </c>
      <c r="MO31" s="1750">
        <f t="shared" si="337"/>
        <v>2</v>
      </c>
      <c r="MP31" s="1750">
        <f t="shared" si="328"/>
        <v>0</v>
      </c>
      <c r="MQ31" s="1750">
        <f t="shared" si="329"/>
        <v>0</v>
      </c>
      <c r="MR31" s="1750">
        <f t="shared" si="330"/>
        <v>0</v>
      </c>
      <c r="MS31" s="1750">
        <f t="shared" si="331"/>
        <v>0</v>
      </c>
      <c r="MT31" s="1750">
        <f t="shared" si="332"/>
        <v>0</v>
      </c>
      <c r="NP31" s="1721" t="s">
        <v>6434</v>
      </c>
    </row>
    <row r="32" spans="1:380" ht="13.9" customHeight="1">
      <c r="A32" s="86" t="str">
        <f t="shared" si="0"/>
        <v/>
      </c>
      <c r="B32" s="1121">
        <v>80</v>
      </c>
      <c r="C32" s="132">
        <v>4</v>
      </c>
      <c r="D32" s="1753">
        <v>2</v>
      </c>
      <c r="E32" s="133">
        <v>3</v>
      </c>
      <c r="F32" s="133">
        <v>1571</v>
      </c>
      <c r="G32" s="133">
        <v>2028</v>
      </c>
      <c r="H32" s="133">
        <v>1748</v>
      </c>
      <c r="I32" s="133">
        <v>0</v>
      </c>
      <c r="J32" s="756">
        <f>IF(C32="",0,HLOOKUP(C32,'Part IV-Utility Allowances'!$I$11:$M$22,12))</f>
        <v>122</v>
      </c>
      <c r="K32" s="644"/>
      <c r="L32" s="461">
        <f t="shared" si="1"/>
        <v>1626</v>
      </c>
      <c r="M32" s="461">
        <f t="shared" si="2"/>
        <v>4878</v>
      </c>
      <c r="N32" s="695" t="s">
        <v>2655</v>
      </c>
      <c r="O32" s="1685" t="s">
        <v>6300</v>
      </c>
      <c r="P32" s="695" t="s">
        <v>2121</v>
      </c>
      <c r="Q32" s="134" t="s">
        <v>2655</v>
      </c>
      <c r="R32" s="739"/>
      <c r="S32" s="740"/>
      <c r="T32" s="3087"/>
      <c r="U32" s="3088"/>
      <c r="V32" s="3088"/>
      <c r="W32" s="3089"/>
      <c r="X32" s="357" t="str">
        <f t="shared" si="3"/>
        <v/>
      </c>
      <c r="Y32" s="357" t="str">
        <f t="shared" si="4"/>
        <v/>
      </c>
      <c r="Z32" s="357" t="str">
        <f t="shared" si="5"/>
        <v/>
      </c>
      <c r="AA32" s="357" t="str">
        <f t="shared" si="6"/>
        <v/>
      </c>
      <c r="AB32" s="357">
        <f t="shared" si="7"/>
        <v>3</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f t="shared" si="122"/>
        <v>4713</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f t="shared" si="172"/>
        <v>3</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903" t="str">
        <f t="shared" si="213"/>
        <v/>
      </c>
      <c r="IA32" s="1903" t="str">
        <f t="shared" si="214"/>
        <v/>
      </c>
      <c r="IB32" s="1903" t="str">
        <f t="shared" si="215"/>
        <v/>
      </c>
      <c r="IC32" s="1903" t="str">
        <f t="shared" si="216"/>
        <v/>
      </c>
      <c r="ID32" s="1903">
        <f t="shared" si="217"/>
        <v>3</v>
      </c>
      <c r="IE32" s="1903" t="str">
        <f t="shared" si="218"/>
        <v/>
      </c>
      <c r="IF32" s="1903" t="str">
        <f t="shared" si="219"/>
        <v/>
      </c>
      <c r="IG32" s="1903" t="str">
        <f t="shared" si="220"/>
        <v/>
      </c>
      <c r="IH32" s="1903" t="str">
        <f t="shared" si="221"/>
        <v/>
      </c>
      <c r="II32" s="1903" t="str">
        <f t="shared" si="222"/>
        <v/>
      </c>
      <c r="IJ32" s="1903" t="str">
        <f t="shared" si="223"/>
        <v/>
      </c>
      <c r="IK32" s="1903" t="str">
        <f t="shared" si="224"/>
        <v/>
      </c>
      <c r="IL32" s="1903" t="str">
        <f t="shared" si="225"/>
        <v/>
      </c>
      <c r="IM32" s="1903" t="str">
        <f t="shared" si="226"/>
        <v/>
      </c>
      <c r="IN32" s="1903" t="str">
        <f t="shared" si="227"/>
        <v/>
      </c>
      <c r="IO32" s="1903" t="str">
        <f t="shared" si="228"/>
        <v/>
      </c>
      <c r="IP32" s="1903" t="str">
        <f t="shared" si="229"/>
        <v/>
      </c>
      <c r="IQ32" s="1903" t="str">
        <f t="shared" si="230"/>
        <v/>
      </c>
      <c r="IR32" s="1903" t="str">
        <f t="shared" si="231"/>
        <v/>
      </c>
      <c r="IS32" s="1903" t="str">
        <f t="shared" si="232"/>
        <v/>
      </c>
      <c r="IT32" s="1903" t="str">
        <f t="shared" si="233"/>
        <v/>
      </c>
      <c r="IU32" s="1903" t="str">
        <f t="shared" si="234"/>
        <v/>
      </c>
      <c r="IV32" s="1903" t="str">
        <f t="shared" si="235"/>
        <v/>
      </c>
      <c r="IW32" s="1903" t="str">
        <f t="shared" si="236"/>
        <v/>
      </c>
      <c r="IX32" s="1903" t="str">
        <f t="shared" si="237"/>
        <v/>
      </c>
      <c r="IY32" s="1903" t="str">
        <f t="shared" si="238"/>
        <v/>
      </c>
      <c r="IZ32" s="1903" t="str">
        <f t="shared" si="239"/>
        <v/>
      </c>
      <c r="JA32" s="1903" t="str">
        <f t="shared" si="240"/>
        <v/>
      </c>
      <c r="JB32" s="1903" t="str">
        <f t="shared" si="241"/>
        <v/>
      </c>
      <c r="JC32" s="1903" t="str">
        <f t="shared" si="242"/>
        <v/>
      </c>
      <c r="JD32" s="1903" t="str">
        <f t="shared" si="243"/>
        <v/>
      </c>
      <c r="JE32" s="1903" t="str">
        <f t="shared" si="244"/>
        <v/>
      </c>
      <c r="JF32" s="1903" t="str">
        <f t="shared" si="245"/>
        <v/>
      </c>
      <c r="JG32" s="1903" t="str">
        <f t="shared" si="246"/>
        <v/>
      </c>
      <c r="JH32" s="1903" t="str">
        <f t="shared" si="247"/>
        <v/>
      </c>
      <c r="JI32" s="1903" t="str">
        <f t="shared" si="248"/>
        <v/>
      </c>
      <c r="JJ32" s="1903" t="str">
        <f t="shared" si="249"/>
        <v/>
      </c>
      <c r="JK32" s="1903" t="str">
        <f t="shared" si="250"/>
        <v/>
      </c>
      <c r="JL32" s="1903" t="str">
        <f t="shared" si="251"/>
        <v/>
      </c>
      <c r="JM32" s="1903" t="str">
        <f t="shared" si="252"/>
        <v/>
      </c>
      <c r="JN32" s="1903" t="str">
        <f t="shared" si="253"/>
        <v/>
      </c>
      <c r="JO32" s="1903" t="str">
        <f t="shared" si="254"/>
        <v/>
      </c>
      <c r="JP32" s="1903" t="str">
        <f t="shared" si="255"/>
        <v/>
      </c>
      <c r="JQ32" s="1903" t="str">
        <f t="shared" si="256"/>
        <v/>
      </c>
      <c r="JR32" s="1903" t="str">
        <f t="shared" si="257"/>
        <v/>
      </c>
      <c r="JS32" s="1903" t="str">
        <f t="shared" si="258"/>
        <v/>
      </c>
      <c r="JT32" s="1903" t="str">
        <f t="shared" si="259"/>
        <v/>
      </c>
      <c r="JU32" s="1903" t="str">
        <f t="shared" si="260"/>
        <v/>
      </c>
      <c r="JV32" s="1903" t="str">
        <f t="shared" si="261"/>
        <v/>
      </c>
      <c r="JW32" s="1903">
        <f t="shared" si="262"/>
        <v>3</v>
      </c>
      <c r="JX32" s="1903" t="str">
        <f t="shared" si="263"/>
        <v/>
      </c>
      <c r="JY32" s="1903" t="str">
        <f t="shared" si="264"/>
        <v/>
      </c>
      <c r="JZ32" s="1903" t="str">
        <f t="shared" si="265"/>
        <v/>
      </c>
      <c r="KA32" s="1903" t="str">
        <f t="shared" si="266"/>
        <v/>
      </c>
      <c r="KB32" s="1903" t="str">
        <f t="shared" si="267"/>
        <v/>
      </c>
      <c r="KC32" s="1903" t="str">
        <f t="shared" si="268"/>
        <v/>
      </c>
      <c r="KD32" s="1903" t="str">
        <f t="shared" si="269"/>
        <v/>
      </c>
      <c r="KE32" s="1903" t="str">
        <f t="shared" si="270"/>
        <v/>
      </c>
      <c r="KF32" s="1903" t="str">
        <f t="shared" si="271"/>
        <v/>
      </c>
      <c r="KG32" s="1903" t="str">
        <f t="shared" si="272"/>
        <v/>
      </c>
      <c r="KH32" s="1903" t="str">
        <f t="shared" si="273"/>
        <v/>
      </c>
      <c r="KI32" s="1903" t="str">
        <f t="shared" si="274"/>
        <v/>
      </c>
      <c r="KJ32" s="1903" t="str">
        <f t="shared" si="275"/>
        <v/>
      </c>
      <c r="KK32" s="1903" t="str">
        <f t="shared" si="276"/>
        <v/>
      </c>
      <c r="KL32" s="1903" t="str">
        <f t="shared" si="277"/>
        <v/>
      </c>
      <c r="KM32" s="1903" t="str">
        <f t="shared" si="278"/>
        <v/>
      </c>
      <c r="KN32" s="1903" t="str">
        <f t="shared" si="279"/>
        <v/>
      </c>
      <c r="KO32" s="1903" t="str">
        <f t="shared" si="280"/>
        <v/>
      </c>
      <c r="KP32" s="1903" t="str">
        <f t="shared" si="281"/>
        <v/>
      </c>
      <c r="KQ32" s="1903" t="str">
        <f t="shared" si="282"/>
        <v/>
      </c>
      <c r="KR32" s="1903" t="str">
        <f t="shared" si="283"/>
        <v/>
      </c>
      <c r="KS32" s="1903" t="str">
        <f t="shared" si="284"/>
        <v/>
      </c>
      <c r="KT32" s="1903" t="str">
        <f t="shared" si="285"/>
        <v/>
      </c>
      <c r="KU32" s="1903" t="str">
        <f t="shared" si="286"/>
        <v/>
      </c>
      <c r="KV32" s="1903" t="str">
        <f t="shared" si="287"/>
        <v/>
      </c>
      <c r="KW32" s="1903" t="str">
        <f t="shared" si="288"/>
        <v/>
      </c>
      <c r="KX32" s="1903" t="str">
        <f t="shared" si="289"/>
        <v/>
      </c>
      <c r="KY32" s="1903" t="str">
        <f t="shared" si="290"/>
        <v/>
      </c>
      <c r="KZ32" s="1903" t="str">
        <f t="shared" si="291"/>
        <v/>
      </c>
      <c r="LA32" s="1903" t="str">
        <f t="shared" si="292"/>
        <v/>
      </c>
      <c r="LB32" s="1903" t="str">
        <f t="shared" si="293"/>
        <v/>
      </c>
      <c r="LC32" s="1903" t="str">
        <f t="shared" si="294"/>
        <v/>
      </c>
      <c r="LD32" s="1903" t="str">
        <f t="shared" si="295"/>
        <v/>
      </c>
      <c r="LE32" s="1903" t="str">
        <f t="shared" si="296"/>
        <v/>
      </c>
      <c r="LF32" s="1903" t="str">
        <f t="shared" si="297"/>
        <v/>
      </c>
      <c r="LG32" s="1892" t="str">
        <f t="shared" si="298"/>
        <v/>
      </c>
      <c r="LH32" s="1892" t="str">
        <f t="shared" si="299"/>
        <v/>
      </c>
      <c r="LI32" s="1892" t="str">
        <f t="shared" si="300"/>
        <v/>
      </c>
      <c r="LJ32" s="1892" t="str">
        <f t="shared" si="301"/>
        <v/>
      </c>
      <c r="LK32" s="1892"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50">
        <f t="shared" si="323"/>
        <v>0</v>
      </c>
      <c r="MG32" s="1750">
        <f t="shared" si="324"/>
        <v>0</v>
      </c>
      <c r="MH32" s="1750">
        <f t="shared" si="325"/>
        <v>0</v>
      </c>
      <c r="MI32" s="1750">
        <f t="shared" si="326"/>
        <v>0</v>
      </c>
      <c r="MJ32" s="1750">
        <f t="shared" si="327"/>
        <v>0</v>
      </c>
      <c r="MK32" s="1750">
        <f t="shared" si="333"/>
        <v>0</v>
      </c>
      <c r="ML32" s="1750">
        <f t="shared" si="334"/>
        <v>0</v>
      </c>
      <c r="MM32" s="1750">
        <f t="shared" si="335"/>
        <v>0</v>
      </c>
      <c r="MN32" s="1750">
        <f t="shared" si="336"/>
        <v>0</v>
      </c>
      <c r="MO32" s="1750">
        <f t="shared" si="337"/>
        <v>3</v>
      </c>
      <c r="MP32" s="1750">
        <f t="shared" si="328"/>
        <v>0</v>
      </c>
      <c r="MQ32" s="1750">
        <f t="shared" si="329"/>
        <v>0</v>
      </c>
      <c r="MR32" s="1750">
        <f t="shared" si="330"/>
        <v>0</v>
      </c>
      <c r="MS32" s="1750">
        <f t="shared" si="331"/>
        <v>0</v>
      </c>
      <c r="MT32" s="1750">
        <f t="shared" si="332"/>
        <v>0</v>
      </c>
      <c r="NP32" s="1721" t="s">
        <v>6435</v>
      </c>
    </row>
    <row r="33" spans="1:380" ht="13.9" customHeight="1">
      <c r="A33" s="86" t="str">
        <f t="shared" si="0"/>
        <v/>
      </c>
      <c r="B33" s="1121"/>
      <c r="C33" s="132"/>
      <c r="D33" s="1753"/>
      <c r="E33" s="133"/>
      <c r="F33" s="133"/>
      <c r="G33" s="133"/>
      <c r="H33" s="133"/>
      <c r="I33" s="133"/>
      <c r="J33" s="756">
        <f>IF(C33="",0,HLOOKUP(C33,'Part IV-Utility Allowances'!$I$11:$M$22,12))</f>
        <v>0</v>
      </c>
      <c r="K33" s="644"/>
      <c r="L33" s="461">
        <f t="shared" si="1"/>
        <v>0</v>
      </c>
      <c r="M33" s="461">
        <f t="shared" si="2"/>
        <v>0</v>
      </c>
      <c r="N33" s="695"/>
      <c r="O33" s="1685"/>
      <c r="P33" s="695"/>
      <c r="Q33" s="134"/>
      <c r="R33" s="739"/>
      <c r="S33" s="740"/>
      <c r="T33" s="3087"/>
      <c r="U33" s="3088"/>
      <c r="V33" s="3088"/>
      <c r="W33" s="3089"/>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903" t="str">
        <f t="shared" si="213"/>
        <v/>
      </c>
      <c r="IA33" s="1903" t="str">
        <f t="shared" si="214"/>
        <v/>
      </c>
      <c r="IB33" s="1903" t="str">
        <f t="shared" si="215"/>
        <v/>
      </c>
      <c r="IC33" s="1903" t="str">
        <f t="shared" si="216"/>
        <v/>
      </c>
      <c r="ID33" s="1903" t="str">
        <f t="shared" si="217"/>
        <v/>
      </c>
      <c r="IE33" s="1903" t="str">
        <f t="shared" si="218"/>
        <v/>
      </c>
      <c r="IF33" s="1903" t="str">
        <f t="shared" si="219"/>
        <v/>
      </c>
      <c r="IG33" s="1903" t="str">
        <f t="shared" si="220"/>
        <v/>
      </c>
      <c r="IH33" s="1903" t="str">
        <f t="shared" si="221"/>
        <v/>
      </c>
      <c r="II33" s="1903" t="str">
        <f t="shared" si="222"/>
        <v/>
      </c>
      <c r="IJ33" s="1903" t="str">
        <f t="shared" si="223"/>
        <v/>
      </c>
      <c r="IK33" s="1903" t="str">
        <f t="shared" si="224"/>
        <v/>
      </c>
      <c r="IL33" s="1903" t="str">
        <f t="shared" si="225"/>
        <v/>
      </c>
      <c r="IM33" s="1903" t="str">
        <f t="shared" si="226"/>
        <v/>
      </c>
      <c r="IN33" s="1903" t="str">
        <f t="shared" si="227"/>
        <v/>
      </c>
      <c r="IO33" s="1903" t="str">
        <f t="shared" si="228"/>
        <v/>
      </c>
      <c r="IP33" s="1903" t="str">
        <f t="shared" si="229"/>
        <v/>
      </c>
      <c r="IQ33" s="1903" t="str">
        <f t="shared" si="230"/>
        <v/>
      </c>
      <c r="IR33" s="1903" t="str">
        <f t="shared" si="231"/>
        <v/>
      </c>
      <c r="IS33" s="1903" t="str">
        <f t="shared" si="232"/>
        <v/>
      </c>
      <c r="IT33" s="1903" t="str">
        <f t="shared" si="233"/>
        <v/>
      </c>
      <c r="IU33" s="1903" t="str">
        <f t="shared" si="234"/>
        <v/>
      </c>
      <c r="IV33" s="1903" t="str">
        <f t="shared" si="235"/>
        <v/>
      </c>
      <c r="IW33" s="1903" t="str">
        <f t="shared" si="236"/>
        <v/>
      </c>
      <c r="IX33" s="1903" t="str">
        <f t="shared" si="237"/>
        <v/>
      </c>
      <c r="IY33" s="1903" t="str">
        <f t="shared" si="238"/>
        <v/>
      </c>
      <c r="IZ33" s="1903" t="str">
        <f t="shared" si="239"/>
        <v/>
      </c>
      <c r="JA33" s="1903" t="str">
        <f t="shared" si="240"/>
        <v/>
      </c>
      <c r="JB33" s="1903" t="str">
        <f t="shared" si="241"/>
        <v/>
      </c>
      <c r="JC33" s="1903" t="str">
        <f t="shared" si="242"/>
        <v/>
      </c>
      <c r="JD33" s="1903" t="str">
        <f t="shared" si="243"/>
        <v/>
      </c>
      <c r="JE33" s="1903" t="str">
        <f t="shared" si="244"/>
        <v/>
      </c>
      <c r="JF33" s="1903" t="str">
        <f t="shared" si="245"/>
        <v/>
      </c>
      <c r="JG33" s="1903" t="str">
        <f t="shared" si="246"/>
        <v/>
      </c>
      <c r="JH33" s="1903" t="str">
        <f t="shared" si="247"/>
        <v/>
      </c>
      <c r="JI33" s="1903" t="str">
        <f t="shared" si="248"/>
        <v/>
      </c>
      <c r="JJ33" s="1903" t="str">
        <f t="shared" si="249"/>
        <v/>
      </c>
      <c r="JK33" s="1903" t="str">
        <f t="shared" si="250"/>
        <v/>
      </c>
      <c r="JL33" s="1903" t="str">
        <f t="shared" si="251"/>
        <v/>
      </c>
      <c r="JM33" s="1903" t="str">
        <f t="shared" si="252"/>
        <v/>
      </c>
      <c r="JN33" s="1903" t="str">
        <f t="shared" si="253"/>
        <v/>
      </c>
      <c r="JO33" s="1903" t="str">
        <f t="shared" si="254"/>
        <v/>
      </c>
      <c r="JP33" s="1903" t="str">
        <f t="shared" si="255"/>
        <v/>
      </c>
      <c r="JQ33" s="1903" t="str">
        <f t="shared" si="256"/>
        <v/>
      </c>
      <c r="JR33" s="1903" t="str">
        <f t="shared" si="257"/>
        <v/>
      </c>
      <c r="JS33" s="1903" t="str">
        <f t="shared" si="258"/>
        <v/>
      </c>
      <c r="JT33" s="1903" t="str">
        <f t="shared" si="259"/>
        <v/>
      </c>
      <c r="JU33" s="1903" t="str">
        <f t="shared" si="260"/>
        <v/>
      </c>
      <c r="JV33" s="1903" t="str">
        <f t="shared" si="261"/>
        <v/>
      </c>
      <c r="JW33" s="1903" t="str">
        <f t="shared" si="262"/>
        <v/>
      </c>
      <c r="JX33" s="1903" t="str">
        <f t="shared" si="263"/>
        <v/>
      </c>
      <c r="JY33" s="1903" t="str">
        <f t="shared" si="264"/>
        <v/>
      </c>
      <c r="JZ33" s="1903" t="str">
        <f t="shared" si="265"/>
        <v/>
      </c>
      <c r="KA33" s="1903" t="str">
        <f t="shared" si="266"/>
        <v/>
      </c>
      <c r="KB33" s="1903" t="str">
        <f t="shared" si="267"/>
        <v/>
      </c>
      <c r="KC33" s="1903" t="str">
        <f t="shared" si="268"/>
        <v/>
      </c>
      <c r="KD33" s="1903" t="str">
        <f t="shared" si="269"/>
        <v/>
      </c>
      <c r="KE33" s="1903" t="str">
        <f t="shared" si="270"/>
        <v/>
      </c>
      <c r="KF33" s="1903" t="str">
        <f t="shared" si="271"/>
        <v/>
      </c>
      <c r="KG33" s="1903" t="str">
        <f t="shared" si="272"/>
        <v/>
      </c>
      <c r="KH33" s="1903" t="str">
        <f t="shared" si="273"/>
        <v/>
      </c>
      <c r="KI33" s="1903" t="str">
        <f t="shared" si="274"/>
        <v/>
      </c>
      <c r="KJ33" s="1903" t="str">
        <f t="shared" si="275"/>
        <v/>
      </c>
      <c r="KK33" s="1903" t="str">
        <f t="shared" si="276"/>
        <v/>
      </c>
      <c r="KL33" s="1903" t="str">
        <f t="shared" si="277"/>
        <v/>
      </c>
      <c r="KM33" s="1903" t="str">
        <f t="shared" si="278"/>
        <v/>
      </c>
      <c r="KN33" s="1903" t="str">
        <f t="shared" si="279"/>
        <v/>
      </c>
      <c r="KO33" s="1903" t="str">
        <f t="shared" si="280"/>
        <v/>
      </c>
      <c r="KP33" s="1903" t="str">
        <f t="shared" si="281"/>
        <v/>
      </c>
      <c r="KQ33" s="1903" t="str">
        <f t="shared" si="282"/>
        <v/>
      </c>
      <c r="KR33" s="1903" t="str">
        <f t="shared" si="283"/>
        <v/>
      </c>
      <c r="KS33" s="1903" t="str">
        <f t="shared" si="284"/>
        <v/>
      </c>
      <c r="KT33" s="1903" t="str">
        <f t="shared" si="285"/>
        <v/>
      </c>
      <c r="KU33" s="1903" t="str">
        <f t="shared" si="286"/>
        <v/>
      </c>
      <c r="KV33" s="1903" t="str">
        <f t="shared" si="287"/>
        <v/>
      </c>
      <c r="KW33" s="1903" t="str">
        <f t="shared" si="288"/>
        <v/>
      </c>
      <c r="KX33" s="1903" t="str">
        <f t="shared" si="289"/>
        <v/>
      </c>
      <c r="KY33" s="1903" t="str">
        <f t="shared" si="290"/>
        <v/>
      </c>
      <c r="KZ33" s="1903" t="str">
        <f t="shared" si="291"/>
        <v/>
      </c>
      <c r="LA33" s="1903" t="str">
        <f t="shared" si="292"/>
        <v/>
      </c>
      <c r="LB33" s="1903" t="str">
        <f t="shared" si="293"/>
        <v/>
      </c>
      <c r="LC33" s="1903" t="str">
        <f t="shared" si="294"/>
        <v/>
      </c>
      <c r="LD33" s="1903" t="str">
        <f t="shared" si="295"/>
        <v/>
      </c>
      <c r="LE33" s="1903" t="str">
        <f t="shared" si="296"/>
        <v/>
      </c>
      <c r="LF33" s="1903" t="str">
        <f t="shared" si="297"/>
        <v/>
      </c>
      <c r="LG33" s="1892" t="str">
        <f t="shared" si="298"/>
        <v/>
      </c>
      <c r="LH33" s="1892" t="str">
        <f t="shared" si="299"/>
        <v/>
      </c>
      <c r="LI33" s="1892" t="str">
        <f t="shared" si="300"/>
        <v/>
      </c>
      <c r="LJ33" s="1892" t="str">
        <f t="shared" si="301"/>
        <v/>
      </c>
      <c r="LK33" s="1892"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50">
        <f t="shared" si="323"/>
        <v>0</v>
      </c>
      <c r="MG33" s="1750">
        <f t="shared" si="324"/>
        <v>0</v>
      </c>
      <c r="MH33" s="1750">
        <f t="shared" si="325"/>
        <v>0</v>
      </c>
      <c r="MI33" s="1750">
        <f t="shared" si="326"/>
        <v>0</v>
      </c>
      <c r="MJ33" s="1750">
        <f t="shared" si="327"/>
        <v>0</v>
      </c>
      <c r="MK33" s="1750">
        <f t="shared" si="333"/>
        <v>0</v>
      </c>
      <c r="ML33" s="1750">
        <f t="shared" si="334"/>
        <v>0</v>
      </c>
      <c r="MM33" s="1750">
        <f t="shared" si="335"/>
        <v>0</v>
      </c>
      <c r="MN33" s="1750">
        <f t="shared" si="336"/>
        <v>0</v>
      </c>
      <c r="MO33" s="1750">
        <f t="shared" si="337"/>
        <v>0</v>
      </c>
      <c r="MP33" s="1750">
        <f t="shared" si="328"/>
        <v>0</v>
      </c>
      <c r="MQ33" s="1750">
        <f t="shared" si="329"/>
        <v>0</v>
      </c>
      <c r="MR33" s="1750">
        <f t="shared" si="330"/>
        <v>0</v>
      </c>
      <c r="MS33" s="1750">
        <f t="shared" si="331"/>
        <v>0</v>
      </c>
      <c r="MT33" s="1750">
        <f t="shared" si="332"/>
        <v>0</v>
      </c>
      <c r="NP33" s="1721" t="s">
        <v>6436</v>
      </c>
    </row>
    <row r="34" spans="1:380" ht="13.9" customHeight="1">
      <c r="A34" s="86" t="str">
        <f t="shared" si="0"/>
        <v/>
      </c>
      <c r="B34" s="1121"/>
      <c r="C34" s="132"/>
      <c r="D34" s="1753"/>
      <c r="E34" s="133"/>
      <c r="F34" s="133"/>
      <c r="G34" s="133"/>
      <c r="H34" s="133"/>
      <c r="I34" s="133"/>
      <c r="J34" s="756">
        <f>IF(C34="",0,HLOOKUP(C34,'Part IV-Utility Allowances'!$I$11:$M$22,12))</f>
        <v>0</v>
      </c>
      <c r="K34" s="644"/>
      <c r="L34" s="461">
        <f t="shared" si="1"/>
        <v>0</v>
      </c>
      <c r="M34" s="461">
        <f t="shared" si="2"/>
        <v>0</v>
      </c>
      <c r="N34" s="695"/>
      <c r="O34" s="1685"/>
      <c r="P34" s="695"/>
      <c r="Q34" s="134"/>
      <c r="R34" s="739"/>
      <c r="S34" s="740"/>
      <c r="T34" s="3087"/>
      <c r="U34" s="3088"/>
      <c r="V34" s="3088"/>
      <c r="W34" s="3089"/>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903" t="str">
        <f t="shared" si="213"/>
        <v/>
      </c>
      <c r="IA34" s="1903" t="str">
        <f t="shared" si="214"/>
        <v/>
      </c>
      <c r="IB34" s="1903" t="str">
        <f t="shared" si="215"/>
        <v/>
      </c>
      <c r="IC34" s="1903" t="str">
        <f t="shared" si="216"/>
        <v/>
      </c>
      <c r="ID34" s="1903" t="str">
        <f t="shared" si="217"/>
        <v/>
      </c>
      <c r="IE34" s="1903" t="str">
        <f t="shared" si="218"/>
        <v/>
      </c>
      <c r="IF34" s="1903" t="str">
        <f t="shared" si="219"/>
        <v/>
      </c>
      <c r="IG34" s="1903" t="str">
        <f t="shared" si="220"/>
        <v/>
      </c>
      <c r="IH34" s="1903" t="str">
        <f t="shared" si="221"/>
        <v/>
      </c>
      <c r="II34" s="1903" t="str">
        <f t="shared" si="222"/>
        <v/>
      </c>
      <c r="IJ34" s="1903" t="str">
        <f t="shared" si="223"/>
        <v/>
      </c>
      <c r="IK34" s="1903" t="str">
        <f t="shared" si="224"/>
        <v/>
      </c>
      <c r="IL34" s="1903" t="str">
        <f t="shared" si="225"/>
        <v/>
      </c>
      <c r="IM34" s="1903" t="str">
        <f t="shared" si="226"/>
        <v/>
      </c>
      <c r="IN34" s="1903" t="str">
        <f t="shared" si="227"/>
        <v/>
      </c>
      <c r="IO34" s="1903" t="str">
        <f t="shared" si="228"/>
        <v/>
      </c>
      <c r="IP34" s="1903" t="str">
        <f t="shared" si="229"/>
        <v/>
      </c>
      <c r="IQ34" s="1903" t="str">
        <f t="shared" si="230"/>
        <v/>
      </c>
      <c r="IR34" s="1903" t="str">
        <f t="shared" si="231"/>
        <v/>
      </c>
      <c r="IS34" s="1903" t="str">
        <f t="shared" si="232"/>
        <v/>
      </c>
      <c r="IT34" s="1903" t="str">
        <f t="shared" si="233"/>
        <v/>
      </c>
      <c r="IU34" s="1903" t="str">
        <f t="shared" si="234"/>
        <v/>
      </c>
      <c r="IV34" s="1903" t="str">
        <f t="shared" si="235"/>
        <v/>
      </c>
      <c r="IW34" s="1903" t="str">
        <f t="shared" si="236"/>
        <v/>
      </c>
      <c r="IX34" s="1903" t="str">
        <f t="shared" si="237"/>
        <v/>
      </c>
      <c r="IY34" s="1903" t="str">
        <f t="shared" si="238"/>
        <v/>
      </c>
      <c r="IZ34" s="1903" t="str">
        <f t="shared" si="239"/>
        <v/>
      </c>
      <c r="JA34" s="1903" t="str">
        <f t="shared" si="240"/>
        <v/>
      </c>
      <c r="JB34" s="1903" t="str">
        <f t="shared" si="241"/>
        <v/>
      </c>
      <c r="JC34" s="1903" t="str">
        <f t="shared" si="242"/>
        <v/>
      </c>
      <c r="JD34" s="1903" t="str">
        <f t="shared" si="243"/>
        <v/>
      </c>
      <c r="JE34" s="1903" t="str">
        <f t="shared" si="244"/>
        <v/>
      </c>
      <c r="JF34" s="1903" t="str">
        <f t="shared" si="245"/>
        <v/>
      </c>
      <c r="JG34" s="1903" t="str">
        <f t="shared" si="246"/>
        <v/>
      </c>
      <c r="JH34" s="1903" t="str">
        <f t="shared" si="247"/>
        <v/>
      </c>
      <c r="JI34" s="1903" t="str">
        <f t="shared" si="248"/>
        <v/>
      </c>
      <c r="JJ34" s="1903" t="str">
        <f t="shared" si="249"/>
        <v/>
      </c>
      <c r="JK34" s="1903" t="str">
        <f t="shared" si="250"/>
        <v/>
      </c>
      <c r="JL34" s="1903" t="str">
        <f t="shared" si="251"/>
        <v/>
      </c>
      <c r="JM34" s="1903" t="str">
        <f t="shared" si="252"/>
        <v/>
      </c>
      <c r="JN34" s="1903" t="str">
        <f t="shared" si="253"/>
        <v/>
      </c>
      <c r="JO34" s="1903" t="str">
        <f t="shared" si="254"/>
        <v/>
      </c>
      <c r="JP34" s="1903" t="str">
        <f t="shared" si="255"/>
        <v/>
      </c>
      <c r="JQ34" s="1903" t="str">
        <f t="shared" si="256"/>
        <v/>
      </c>
      <c r="JR34" s="1903" t="str">
        <f t="shared" si="257"/>
        <v/>
      </c>
      <c r="JS34" s="1903" t="str">
        <f t="shared" si="258"/>
        <v/>
      </c>
      <c r="JT34" s="1903" t="str">
        <f t="shared" si="259"/>
        <v/>
      </c>
      <c r="JU34" s="1903" t="str">
        <f t="shared" si="260"/>
        <v/>
      </c>
      <c r="JV34" s="1903" t="str">
        <f t="shared" si="261"/>
        <v/>
      </c>
      <c r="JW34" s="1903" t="str">
        <f t="shared" si="262"/>
        <v/>
      </c>
      <c r="JX34" s="1903" t="str">
        <f t="shared" si="263"/>
        <v/>
      </c>
      <c r="JY34" s="1903" t="str">
        <f t="shared" si="264"/>
        <v/>
      </c>
      <c r="JZ34" s="1903" t="str">
        <f t="shared" si="265"/>
        <v/>
      </c>
      <c r="KA34" s="1903" t="str">
        <f t="shared" si="266"/>
        <v/>
      </c>
      <c r="KB34" s="1903" t="str">
        <f t="shared" si="267"/>
        <v/>
      </c>
      <c r="KC34" s="1903" t="str">
        <f t="shared" si="268"/>
        <v/>
      </c>
      <c r="KD34" s="1903" t="str">
        <f t="shared" si="269"/>
        <v/>
      </c>
      <c r="KE34" s="1903" t="str">
        <f t="shared" si="270"/>
        <v/>
      </c>
      <c r="KF34" s="1903" t="str">
        <f t="shared" si="271"/>
        <v/>
      </c>
      <c r="KG34" s="1903" t="str">
        <f t="shared" si="272"/>
        <v/>
      </c>
      <c r="KH34" s="1903" t="str">
        <f t="shared" si="273"/>
        <v/>
      </c>
      <c r="KI34" s="1903" t="str">
        <f t="shared" si="274"/>
        <v/>
      </c>
      <c r="KJ34" s="1903" t="str">
        <f t="shared" si="275"/>
        <v/>
      </c>
      <c r="KK34" s="1903" t="str">
        <f t="shared" si="276"/>
        <v/>
      </c>
      <c r="KL34" s="1903" t="str">
        <f t="shared" si="277"/>
        <v/>
      </c>
      <c r="KM34" s="1903" t="str">
        <f t="shared" si="278"/>
        <v/>
      </c>
      <c r="KN34" s="1903" t="str">
        <f t="shared" si="279"/>
        <v/>
      </c>
      <c r="KO34" s="1903" t="str">
        <f t="shared" si="280"/>
        <v/>
      </c>
      <c r="KP34" s="1903" t="str">
        <f t="shared" si="281"/>
        <v/>
      </c>
      <c r="KQ34" s="1903" t="str">
        <f t="shared" si="282"/>
        <v/>
      </c>
      <c r="KR34" s="1903" t="str">
        <f t="shared" si="283"/>
        <v/>
      </c>
      <c r="KS34" s="1903" t="str">
        <f t="shared" si="284"/>
        <v/>
      </c>
      <c r="KT34" s="1903" t="str">
        <f t="shared" si="285"/>
        <v/>
      </c>
      <c r="KU34" s="1903" t="str">
        <f t="shared" si="286"/>
        <v/>
      </c>
      <c r="KV34" s="1903" t="str">
        <f t="shared" si="287"/>
        <v/>
      </c>
      <c r="KW34" s="1903" t="str">
        <f t="shared" si="288"/>
        <v/>
      </c>
      <c r="KX34" s="1903" t="str">
        <f t="shared" si="289"/>
        <v/>
      </c>
      <c r="KY34" s="1903" t="str">
        <f t="shared" si="290"/>
        <v/>
      </c>
      <c r="KZ34" s="1903" t="str">
        <f t="shared" si="291"/>
        <v/>
      </c>
      <c r="LA34" s="1903" t="str">
        <f t="shared" si="292"/>
        <v/>
      </c>
      <c r="LB34" s="1903" t="str">
        <f t="shared" si="293"/>
        <v/>
      </c>
      <c r="LC34" s="1903" t="str">
        <f t="shared" si="294"/>
        <v/>
      </c>
      <c r="LD34" s="1903" t="str">
        <f t="shared" si="295"/>
        <v/>
      </c>
      <c r="LE34" s="1903" t="str">
        <f t="shared" si="296"/>
        <v/>
      </c>
      <c r="LF34" s="1903" t="str">
        <f t="shared" si="297"/>
        <v/>
      </c>
      <c r="LG34" s="1892" t="str">
        <f t="shared" si="298"/>
        <v/>
      </c>
      <c r="LH34" s="1892" t="str">
        <f t="shared" si="299"/>
        <v/>
      </c>
      <c r="LI34" s="1892" t="str">
        <f t="shared" si="300"/>
        <v/>
      </c>
      <c r="LJ34" s="1892" t="str">
        <f t="shared" si="301"/>
        <v/>
      </c>
      <c r="LK34" s="1892"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50">
        <f t="shared" si="323"/>
        <v>0</v>
      </c>
      <c r="MG34" s="1750">
        <f t="shared" si="324"/>
        <v>0</v>
      </c>
      <c r="MH34" s="1750">
        <f t="shared" si="325"/>
        <v>0</v>
      </c>
      <c r="MI34" s="1750">
        <f t="shared" si="326"/>
        <v>0</v>
      </c>
      <c r="MJ34" s="1750">
        <f t="shared" si="327"/>
        <v>0</v>
      </c>
      <c r="MK34" s="1750">
        <f t="shared" si="333"/>
        <v>0</v>
      </c>
      <c r="ML34" s="1750">
        <f t="shared" si="334"/>
        <v>0</v>
      </c>
      <c r="MM34" s="1750">
        <f t="shared" si="335"/>
        <v>0</v>
      </c>
      <c r="MN34" s="1750">
        <f t="shared" si="336"/>
        <v>0</v>
      </c>
      <c r="MO34" s="1750">
        <f t="shared" si="337"/>
        <v>0</v>
      </c>
      <c r="MP34" s="1750">
        <f t="shared" si="328"/>
        <v>0</v>
      </c>
      <c r="MQ34" s="1750">
        <f t="shared" si="329"/>
        <v>0</v>
      </c>
      <c r="MR34" s="1750">
        <f t="shared" si="330"/>
        <v>0</v>
      </c>
      <c r="MS34" s="1750">
        <f t="shared" si="331"/>
        <v>0</v>
      </c>
      <c r="MT34" s="1750">
        <f t="shared" si="332"/>
        <v>0</v>
      </c>
      <c r="NP34" s="1721" t="s">
        <v>6437</v>
      </c>
    </row>
    <row r="35" spans="1:380" ht="13.9" customHeight="1">
      <c r="A35" s="86" t="str">
        <f t="shared" si="0"/>
        <v/>
      </c>
      <c r="B35" s="1121"/>
      <c r="C35" s="132"/>
      <c r="D35" s="1753"/>
      <c r="E35" s="133"/>
      <c r="F35" s="133"/>
      <c r="G35" s="133"/>
      <c r="H35" s="133"/>
      <c r="I35" s="133"/>
      <c r="J35" s="756">
        <f>IF(C35="",0,HLOOKUP(C35,'Part IV-Utility Allowances'!$I$11:$M$22,12))</f>
        <v>0</v>
      </c>
      <c r="K35" s="644"/>
      <c r="L35" s="461">
        <f t="shared" si="1"/>
        <v>0</v>
      </c>
      <c r="M35" s="461">
        <f t="shared" si="2"/>
        <v>0</v>
      </c>
      <c r="N35" s="695"/>
      <c r="O35" s="1685"/>
      <c r="P35" s="695"/>
      <c r="Q35" s="134"/>
      <c r="R35" s="739"/>
      <c r="S35" s="740"/>
      <c r="T35" s="3087"/>
      <c r="U35" s="3088"/>
      <c r="V35" s="3088"/>
      <c r="W35" s="3089"/>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903" t="str">
        <f t="shared" si="213"/>
        <v/>
      </c>
      <c r="IA35" s="1903" t="str">
        <f t="shared" si="214"/>
        <v/>
      </c>
      <c r="IB35" s="1903" t="str">
        <f t="shared" si="215"/>
        <v/>
      </c>
      <c r="IC35" s="1903" t="str">
        <f t="shared" si="216"/>
        <v/>
      </c>
      <c r="ID35" s="1903" t="str">
        <f t="shared" si="217"/>
        <v/>
      </c>
      <c r="IE35" s="1903" t="str">
        <f t="shared" si="218"/>
        <v/>
      </c>
      <c r="IF35" s="1903" t="str">
        <f t="shared" si="219"/>
        <v/>
      </c>
      <c r="IG35" s="1903" t="str">
        <f t="shared" si="220"/>
        <v/>
      </c>
      <c r="IH35" s="1903" t="str">
        <f t="shared" si="221"/>
        <v/>
      </c>
      <c r="II35" s="1903" t="str">
        <f t="shared" si="222"/>
        <v/>
      </c>
      <c r="IJ35" s="1903" t="str">
        <f t="shared" si="223"/>
        <v/>
      </c>
      <c r="IK35" s="1903" t="str">
        <f t="shared" si="224"/>
        <v/>
      </c>
      <c r="IL35" s="1903" t="str">
        <f t="shared" si="225"/>
        <v/>
      </c>
      <c r="IM35" s="1903" t="str">
        <f t="shared" si="226"/>
        <v/>
      </c>
      <c r="IN35" s="1903" t="str">
        <f t="shared" si="227"/>
        <v/>
      </c>
      <c r="IO35" s="1903" t="str">
        <f t="shared" si="228"/>
        <v/>
      </c>
      <c r="IP35" s="1903" t="str">
        <f t="shared" si="229"/>
        <v/>
      </c>
      <c r="IQ35" s="1903" t="str">
        <f t="shared" si="230"/>
        <v/>
      </c>
      <c r="IR35" s="1903" t="str">
        <f t="shared" si="231"/>
        <v/>
      </c>
      <c r="IS35" s="1903" t="str">
        <f t="shared" si="232"/>
        <v/>
      </c>
      <c r="IT35" s="1903" t="str">
        <f t="shared" si="233"/>
        <v/>
      </c>
      <c r="IU35" s="1903" t="str">
        <f t="shared" si="234"/>
        <v/>
      </c>
      <c r="IV35" s="1903" t="str">
        <f t="shared" si="235"/>
        <v/>
      </c>
      <c r="IW35" s="1903" t="str">
        <f t="shared" si="236"/>
        <v/>
      </c>
      <c r="IX35" s="1903" t="str">
        <f t="shared" si="237"/>
        <v/>
      </c>
      <c r="IY35" s="1903" t="str">
        <f t="shared" si="238"/>
        <v/>
      </c>
      <c r="IZ35" s="1903" t="str">
        <f t="shared" si="239"/>
        <v/>
      </c>
      <c r="JA35" s="1903" t="str">
        <f t="shared" si="240"/>
        <v/>
      </c>
      <c r="JB35" s="1903" t="str">
        <f t="shared" si="241"/>
        <v/>
      </c>
      <c r="JC35" s="1903" t="str">
        <f t="shared" si="242"/>
        <v/>
      </c>
      <c r="JD35" s="1903" t="str">
        <f t="shared" si="243"/>
        <v/>
      </c>
      <c r="JE35" s="1903" t="str">
        <f t="shared" si="244"/>
        <v/>
      </c>
      <c r="JF35" s="1903" t="str">
        <f t="shared" si="245"/>
        <v/>
      </c>
      <c r="JG35" s="1903" t="str">
        <f t="shared" si="246"/>
        <v/>
      </c>
      <c r="JH35" s="1903" t="str">
        <f t="shared" si="247"/>
        <v/>
      </c>
      <c r="JI35" s="1903" t="str">
        <f t="shared" si="248"/>
        <v/>
      </c>
      <c r="JJ35" s="1903" t="str">
        <f t="shared" si="249"/>
        <v/>
      </c>
      <c r="JK35" s="1903" t="str">
        <f t="shared" si="250"/>
        <v/>
      </c>
      <c r="JL35" s="1903" t="str">
        <f t="shared" si="251"/>
        <v/>
      </c>
      <c r="JM35" s="1903" t="str">
        <f t="shared" si="252"/>
        <v/>
      </c>
      <c r="JN35" s="1903" t="str">
        <f t="shared" si="253"/>
        <v/>
      </c>
      <c r="JO35" s="1903" t="str">
        <f t="shared" si="254"/>
        <v/>
      </c>
      <c r="JP35" s="1903" t="str">
        <f t="shared" si="255"/>
        <v/>
      </c>
      <c r="JQ35" s="1903" t="str">
        <f t="shared" si="256"/>
        <v/>
      </c>
      <c r="JR35" s="1903" t="str">
        <f t="shared" si="257"/>
        <v/>
      </c>
      <c r="JS35" s="1903" t="str">
        <f t="shared" si="258"/>
        <v/>
      </c>
      <c r="JT35" s="1903" t="str">
        <f t="shared" si="259"/>
        <v/>
      </c>
      <c r="JU35" s="1903" t="str">
        <f t="shared" si="260"/>
        <v/>
      </c>
      <c r="JV35" s="1903" t="str">
        <f t="shared" si="261"/>
        <v/>
      </c>
      <c r="JW35" s="1903" t="str">
        <f t="shared" si="262"/>
        <v/>
      </c>
      <c r="JX35" s="1903" t="str">
        <f t="shared" si="263"/>
        <v/>
      </c>
      <c r="JY35" s="1903" t="str">
        <f t="shared" si="264"/>
        <v/>
      </c>
      <c r="JZ35" s="1903" t="str">
        <f t="shared" si="265"/>
        <v/>
      </c>
      <c r="KA35" s="1903" t="str">
        <f t="shared" si="266"/>
        <v/>
      </c>
      <c r="KB35" s="1903" t="str">
        <f t="shared" si="267"/>
        <v/>
      </c>
      <c r="KC35" s="1903" t="str">
        <f t="shared" si="268"/>
        <v/>
      </c>
      <c r="KD35" s="1903" t="str">
        <f t="shared" si="269"/>
        <v/>
      </c>
      <c r="KE35" s="1903" t="str">
        <f t="shared" si="270"/>
        <v/>
      </c>
      <c r="KF35" s="1903" t="str">
        <f t="shared" si="271"/>
        <v/>
      </c>
      <c r="KG35" s="1903" t="str">
        <f t="shared" si="272"/>
        <v/>
      </c>
      <c r="KH35" s="1903" t="str">
        <f t="shared" si="273"/>
        <v/>
      </c>
      <c r="KI35" s="1903" t="str">
        <f t="shared" si="274"/>
        <v/>
      </c>
      <c r="KJ35" s="1903" t="str">
        <f t="shared" si="275"/>
        <v/>
      </c>
      <c r="KK35" s="1903" t="str">
        <f t="shared" si="276"/>
        <v/>
      </c>
      <c r="KL35" s="1903" t="str">
        <f t="shared" si="277"/>
        <v/>
      </c>
      <c r="KM35" s="1903" t="str">
        <f t="shared" si="278"/>
        <v/>
      </c>
      <c r="KN35" s="1903" t="str">
        <f t="shared" si="279"/>
        <v/>
      </c>
      <c r="KO35" s="1903" t="str">
        <f t="shared" si="280"/>
        <v/>
      </c>
      <c r="KP35" s="1903" t="str">
        <f t="shared" si="281"/>
        <v/>
      </c>
      <c r="KQ35" s="1903" t="str">
        <f t="shared" si="282"/>
        <v/>
      </c>
      <c r="KR35" s="1903" t="str">
        <f t="shared" si="283"/>
        <v/>
      </c>
      <c r="KS35" s="1903" t="str">
        <f t="shared" si="284"/>
        <v/>
      </c>
      <c r="KT35" s="1903" t="str">
        <f t="shared" si="285"/>
        <v/>
      </c>
      <c r="KU35" s="1903" t="str">
        <f t="shared" si="286"/>
        <v/>
      </c>
      <c r="KV35" s="1903" t="str">
        <f t="shared" si="287"/>
        <v/>
      </c>
      <c r="KW35" s="1903" t="str">
        <f t="shared" si="288"/>
        <v/>
      </c>
      <c r="KX35" s="1903" t="str">
        <f t="shared" si="289"/>
        <v/>
      </c>
      <c r="KY35" s="1903" t="str">
        <f t="shared" si="290"/>
        <v/>
      </c>
      <c r="KZ35" s="1903" t="str">
        <f t="shared" si="291"/>
        <v/>
      </c>
      <c r="LA35" s="1903" t="str">
        <f t="shared" si="292"/>
        <v/>
      </c>
      <c r="LB35" s="1903" t="str">
        <f t="shared" si="293"/>
        <v/>
      </c>
      <c r="LC35" s="1903" t="str">
        <f t="shared" si="294"/>
        <v/>
      </c>
      <c r="LD35" s="1903" t="str">
        <f t="shared" si="295"/>
        <v/>
      </c>
      <c r="LE35" s="1903" t="str">
        <f t="shared" si="296"/>
        <v/>
      </c>
      <c r="LF35" s="1903" t="str">
        <f t="shared" si="297"/>
        <v/>
      </c>
      <c r="LG35" s="1892" t="str">
        <f t="shared" si="298"/>
        <v/>
      </c>
      <c r="LH35" s="1892" t="str">
        <f t="shared" si="299"/>
        <v/>
      </c>
      <c r="LI35" s="1892" t="str">
        <f t="shared" si="300"/>
        <v/>
      </c>
      <c r="LJ35" s="1892" t="str">
        <f t="shared" si="301"/>
        <v/>
      </c>
      <c r="LK35" s="1892"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50">
        <f t="shared" si="323"/>
        <v>0</v>
      </c>
      <c r="MG35" s="1750">
        <f t="shared" si="324"/>
        <v>0</v>
      </c>
      <c r="MH35" s="1750">
        <f t="shared" si="325"/>
        <v>0</v>
      </c>
      <c r="MI35" s="1750">
        <f t="shared" si="326"/>
        <v>0</v>
      </c>
      <c r="MJ35" s="1750">
        <f t="shared" si="327"/>
        <v>0</v>
      </c>
      <c r="MK35" s="1750">
        <f t="shared" si="333"/>
        <v>0</v>
      </c>
      <c r="ML35" s="1750">
        <f t="shared" si="334"/>
        <v>0</v>
      </c>
      <c r="MM35" s="1750">
        <f t="shared" si="335"/>
        <v>0</v>
      </c>
      <c r="MN35" s="1750">
        <f t="shared" si="336"/>
        <v>0</v>
      </c>
      <c r="MO35" s="1750">
        <f t="shared" si="337"/>
        <v>0</v>
      </c>
      <c r="MP35" s="1750">
        <f t="shared" si="328"/>
        <v>0</v>
      </c>
      <c r="MQ35" s="1750">
        <f t="shared" si="329"/>
        <v>0</v>
      </c>
      <c r="MR35" s="1750">
        <f t="shared" si="330"/>
        <v>0</v>
      </c>
      <c r="MS35" s="1750">
        <f t="shared" si="331"/>
        <v>0</v>
      </c>
      <c r="MT35" s="1750">
        <f t="shared" si="332"/>
        <v>0</v>
      </c>
      <c r="NP35" s="1721" t="s">
        <v>6438</v>
      </c>
    </row>
    <row r="36" spans="1:380" ht="13.9" customHeight="1">
      <c r="A36" s="86" t="str">
        <f t="shared" si="0"/>
        <v/>
      </c>
      <c r="B36" s="1121"/>
      <c r="C36" s="132"/>
      <c r="D36" s="1753"/>
      <c r="E36" s="133"/>
      <c r="F36" s="133"/>
      <c r="G36" s="133"/>
      <c r="H36" s="133"/>
      <c r="I36" s="133"/>
      <c r="J36" s="756">
        <f>IF(C36="",0,HLOOKUP(C36,'Part IV-Utility Allowances'!$I$11:$M$22,12))</f>
        <v>0</v>
      </c>
      <c r="K36" s="644"/>
      <c r="L36" s="461">
        <f t="shared" si="1"/>
        <v>0</v>
      </c>
      <c r="M36" s="461">
        <f t="shared" si="2"/>
        <v>0</v>
      </c>
      <c r="N36" s="695"/>
      <c r="O36" s="1685"/>
      <c r="P36" s="695"/>
      <c r="Q36" s="134"/>
      <c r="R36" s="739"/>
      <c r="S36" s="740"/>
      <c r="T36" s="3087"/>
      <c r="U36" s="3088"/>
      <c r="V36" s="3088"/>
      <c r="W36" s="3089"/>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903" t="str">
        <f t="shared" si="213"/>
        <v/>
      </c>
      <c r="IA36" s="1903" t="str">
        <f t="shared" si="214"/>
        <v/>
      </c>
      <c r="IB36" s="1903" t="str">
        <f t="shared" si="215"/>
        <v/>
      </c>
      <c r="IC36" s="1903" t="str">
        <f t="shared" si="216"/>
        <v/>
      </c>
      <c r="ID36" s="1903" t="str">
        <f t="shared" si="217"/>
        <v/>
      </c>
      <c r="IE36" s="1903" t="str">
        <f t="shared" si="218"/>
        <v/>
      </c>
      <c r="IF36" s="1903" t="str">
        <f t="shared" si="219"/>
        <v/>
      </c>
      <c r="IG36" s="1903" t="str">
        <f t="shared" si="220"/>
        <v/>
      </c>
      <c r="IH36" s="1903" t="str">
        <f t="shared" si="221"/>
        <v/>
      </c>
      <c r="II36" s="1903" t="str">
        <f t="shared" si="222"/>
        <v/>
      </c>
      <c r="IJ36" s="1903" t="str">
        <f t="shared" si="223"/>
        <v/>
      </c>
      <c r="IK36" s="1903" t="str">
        <f t="shared" si="224"/>
        <v/>
      </c>
      <c r="IL36" s="1903" t="str">
        <f t="shared" si="225"/>
        <v/>
      </c>
      <c r="IM36" s="1903" t="str">
        <f t="shared" si="226"/>
        <v/>
      </c>
      <c r="IN36" s="1903" t="str">
        <f t="shared" si="227"/>
        <v/>
      </c>
      <c r="IO36" s="1903" t="str">
        <f t="shared" si="228"/>
        <v/>
      </c>
      <c r="IP36" s="1903" t="str">
        <f t="shared" si="229"/>
        <v/>
      </c>
      <c r="IQ36" s="1903" t="str">
        <f t="shared" si="230"/>
        <v/>
      </c>
      <c r="IR36" s="1903" t="str">
        <f t="shared" si="231"/>
        <v/>
      </c>
      <c r="IS36" s="1903" t="str">
        <f t="shared" si="232"/>
        <v/>
      </c>
      <c r="IT36" s="1903" t="str">
        <f t="shared" si="233"/>
        <v/>
      </c>
      <c r="IU36" s="1903" t="str">
        <f t="shared" si="234"/>
        <v/>
      </c>
      <c r="IV36" s="1903" t="str">
        <f t="shared" si="235"/>
        <v/>
      </c>
      <c r="IW36" s="1903" t="str">
        <f t="shared" si="236"/>
        <v/>
      </c>
      <c r="IX36" s="1903" t="str">
        <f t="shared" si="237"/>
        <v/>
      </c>
      <c r="IY36" s="1903" t="str">
        <f t="shared" si="238"/>
        <v/>
      </c>
      <c r="IZ36" s="1903" t="str">
        <f t="shared" si="239"/>
        <v/>
      </c>
      <c r="JA36" s="1903" t="str">
        <f t="shared" si="240"/>
        <v/>
      </c>
      <c r="JB36" s="1903" t="str">
        <f t="shared" si="241"/>
        <v/>
      </c>
      <c r="JC36" s="1903" t="str">
        <f t="shared" si="242"/>
        <v/>
      </c>
      <c r="JD36" s="1903" t="str">
        <f t="shared" si="243"/>
        <v/>
      </c>
      <c r="JE36" s="1903" t="str">
        <f t="shared" si="244"/>
        <v/>
      </c>
      <c r="JF36" s="1903" t="str">
        <f t="shared" si="245"/>
        <v/>
      </c>
      <c r="JG36" s="1903" t="str">
        <f t="shared" si="246"/>
        <v/>
      </c>
      <c r="JH36" s="1903" t="str">
        <f t="shared" si="247"/>
        <v/>
      </c>
      <c r="JI36" s="1903" t="str">
        <f t="shared" si="248"/>
        <v/>
      </c>
      <c r="JJ36" s="1903" t="str">
        <f t="shared" si="249"/>
        <v/>
      </c>
      <c r="JK36" s="1903" t="str">
        <f t="shared" si="250"/>
        <v/>
      </c>
      <c r="JL36" s="1903" t="str">
        <f t="shared" si="251"/>
        <v/>
      </c>
      <c r="JM36" s="1903" t="str">
        <f t="shared" si="252"/>
        <v/>
      </c>
      <c r="JN36" s="1903" t="str">
        <f t="shared" si="253"/>
        <v/>
      </c>
      <c r="JO36" s="1903" t="str">
        <f t="shared" si="254"/>
        <v/>
      </c>
      <c r="JP36" s="1903" t="str">
        <f t="shared" si="255"/>
        <v/>
      </c>
      <c r="JQ36" s="1903" t="str">
        <f t="shared" si="256"/>
        <v/>
      </c>
      <c r="JR36" s="1903" t="str">
        <f t="shared" si="257"/>
        <v/>
      </c>
      <c r="JS36" s="1903" t="str">
        <f t="shared" si="258"/>
        <v/>
      </c>
      <c r="JT36" s="1903" t="str">
        <f t="shared" si="259"/>
        <v/>
      </c>
      <c r="JU36" s="1903" t="str">
        <f t="shared" si="260"/>
        <v/>
      </c>
      <c r="JV36" s="1903" t="str">
        <f t="shared" si="261"/>
        <v/>
      </c>
      <c r="JW36" s="1903" t="str">
        <f t="shared" si="262"/>
        <v/>
      </c>
      <c r="JX36" s="1903" t="str">
        <f t="shared" si="263"/>
        <v/>
      </c>
      <c r="JY36" s="1903" t="str">
        <f t="shared" si="264"/>
        <v/>
      </c>
      <c r="JZ36" s="1903" t="str">
        <f t="shared" si="265"/>
        <v/>
      </c>
      <c r="KA36" s="1903" t="str">
        <f t="shared" si="266"/>
        <v/>
      </c>
      <c r="KB36" s="1903" t="str">
        <f t="shared" si="267"/>
        <v/>
      </c>
      <c r="KC36" s="1903" t="str">
        <f t="shared" si="268"/>
        <v/>
      </c>
      <c r="KD36" s="1903" t="str">
        <f t="shared" si="269"/>
        <v/>
      </c>
      <c r="KE36" s="1903" t="str">
        <f t="shared" si="270"/>
        <v/>
      </c>
      <c r="KF36" s="1903" t="str">
        <f t="shared" si="271"/>
        <v/>
      </c>
      <c r="KG36" s="1903" t="str">
        <f t="shared" si="272"/>
        <v/>
      </c>
      <c r="KH36" s="1903" t="str">
        <f t="shared" si="273"/>
        <v/>
      </c>
      <c r="KI36" s="1903" t="str">
        <f t="shared" si="274"/>
        <v/>
      </c>
      <c r="KJ36" s="1903" t="str">
        <f t="shared" si="275"/>
        <v/>
      </c>
      <c r="KK36" s="1903" t="str">
        <f t="shared" si="276"/>
        <v/>
      </c>
      <c r="KL36" s="1903" t="str">
        <f t="shared" si="277"/>
        <v/>
      </c>
      <c r="KM36" s="1903" t="str">
        <f t="shared" si="278"/>
        <v/>
      </c>
      <c r="KN36" s="1903" t="str">
        <f t="shared" si="279"/>
        <v/>
      </c>
      <c r="KO36" s="1903" t="str">
        <f t="shared" si="280"/>
        <v/>
      </c>
      <c r="KP36" s="1903" t="str">
        <f t="shared" si="281"/>
        <v/>
      </c>
      <c r="KQ36" s="1903" t="str">
        <f t="shared" si="282"/>
        <v/>
      </c>
      <c r="KR36" s="1903" t="str">
        <f t="shared" si="283"/>
        <v/>
      </c>
      <c r="KS36" s="1903" t="str">
        <f t="shared" si="284"/>
        <v/>
      </c>
      <c r="KT36" s="1903" t="str">
        <f t="shared" si="285"/>
        <v/>
      </c>
      <c r="KU36" s="1903" t="str">
        <f t="shared" si="286"/>
        <v/>
      </c>
      <c r="KV36" s="1903" t="str">
        <f t="shared" si="287"/>
        <v/>
      </c>
      <c r="KW36" s="1903" t="str">
        <f t="shared" si="288"/>
        <v/>
      </c>
      <c r="KX36" s="1903" t="str">
        <f t="shared" si="289"/>
        <v/>
      </c>
      <c r="KY36" s="1903" t="str">
        <f t="shared" si="290"/>
        <v/>
      </c>
      <c r="KZ36" s="1903" t="str">
        <f t="shared" si="291"/>
        <v/>
      </c>
      <c r="LA36" s="1903" t="str">
        <f t="shared" si="292"/>
        <v/>
      </c>
      <c r="LB36" s="1903" t="str">
        <f t="shared" si="293"/>
        <v/>
      </c>
      <c r="LC36" s="1903" t="str">
        <f t="shared" si="294"/>
        <v/>
      </c>
      <c r="LD36" s="1903" t="str">
        <f t="shared" si="295"/>
        <v/>
      </c>
      <c r="LE36" s="1903" t="str">
        <f t="shared" si="296"/>
        <v/>
      </c>
      <c r="LF36" s="1903" t="str">
        <f t="shared" si="297"/>
        <v/>
      </c>
      <c r="LG36" s="1892" t="str">
        <f t="shared" si="298"/>
        <v/>
      </c>
      <c r="LH36" s="1892" t="str">
        <f t="shared" si="299"/>
        <v/>
      </c>
      <c r="LI36" s="1892" t="str">
        <f t="shared" si="300"/>
        <v/>
      </c>
      <c r="LJ36" s="1892" t="str">
        <f t="shared" si="301"/>
        <v/>
      </c>
      <c r="LK36" s="1892"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50">
        <f t="shared" si="323"/>
        <v>0</v>
      </c>
      <c r="MG36" s="1750">
        <f t="shared" si="324"/>
        <v>0</v>
      </c>
      <c r="MH36" s="1750">
        <f t="shared" si="325"/>
        <v>0</v>
      </c>
      <c r="MI36" s="1750">
        <f t="shared" si="326"/>
        <v>0</v>
      </c>
      <c r="MJ36" s="1750">
        <f t="shared" si="327"/>
        <v>0</v>
      </c>
      <c r="MK36" s="1750">
        <f t="shared" si="333"/>
        <v>0</v>
      </c>
      <c r="ML36" s="1750">
        <f t="shared" si="334"/>
        <v>0</v>
      </c>
      <c r="MM36" s="1750">
        <f t="shared" si="335"/>
        <v>0</v>
      </c>
      <c r="MN36" s="1750">
        <f t="shared" si="336"/>
        <v>0</v>
      </c>
      <c r="MO36" s="1750">
        <f t="shared" si="337"/>
        <v>0</v>
      </c>
      <c r="MP36" s="1750">
        <f t="shared" si="328"/>
        <v>0</v>
      </c>
      <c r="MQ36" s="1750">
        <f t="shared" si="329"/>
        <v>0</v>
      </c>
      <c r="MR36" s="1750">
        <f t="shared" si="330"/>
        <v>0</v>
      </c>
      <c r="MS36" s="1750">
        <f t="shared" si="331"/>
        <v>0</v>
      </c>
      <c r="MT36" s="1750">
        <f t="shared" si="332"/>
        <v>0</v>
      </c>
      <c r="NP36" s="1721" t="s">
        <v>6439</v>
      </c>
    </row>
    <row r="37" spans="1:380" ht="13.9" customHeight="1">
      <c r="A37" s="86" t="str">
        <f t="shared" si="0"/>
        <v/>
      </c>
      <c r="B37" s="1121"/>
      <c r="C37" s="132"/>
      <c r="D37" s="1753"/>
      <c r="E37" s="133"/>
      <c r="F37" s="133"/>
      <c r="G37" s="133"/>
      <c r="H37" s="133"/>
      <c r="I37" s="133"/>
      <c r="J37" s="756">
        <f>IF(C37="",0,HLOOKUP(C37,'Part IV-Utility Allowances'!$I$11:$M$22,12))</f>
        <v>0</v>
      </c>
      <c r="K37" s="644"/>
      <c r="L37" s="461">
        <f t="shared" si="1"/>
        <v>0</v>
      </c>
      <c r="M37" s="461">
        <f t="shared" si="2"/>
        <v>0</v>
      </c>
      <c r="N37" s="695"/>
      <c r="O37" s="1685"/>
      <c r="P37" s="695"/>
      <c r="Q37" s="134"/>
      <c r="R37" s="739"/>
      <c r="S37" s="740"/>
      <c r="T37" s="3087"/>
      <c r="U37" s="3088"/>
      <c r="V37" s="3088"/>
      <c r="W37" s="3089"/>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903" t="str">
        <f t="shared" si="213"/>
        <v/>
      </c>
      <c r="IA37" s="1903" t="str">
        <f t="shared" si="214"/>
        <v/>
      </c>
      <c r="IB37" s="1903" t="str">
        <f t="shared" si="215"/>
        <v/>
      </c>
      <c r="IC37" s="1903" t="str">
        <f t="shared" si="216"/>
        <v/>
      </c>
      <c r="ID37" s="1903" t="str">
        <f t="shared" si="217"/>
        <v/>
      </c>
      <c r="IE37" s="1903" t="str">
        <f t="shared" si="218"/>
        <v/>
      </c>
      <c r="IF37" s="1903" t="str">
        <f t="shared" si="219"/>
        <v/>
      </c>
      <c r="IG37" s="1903" t="str">
        <f t="shared" si="220"/>
        <v/>
      </c>
      <c r="IH37" s="1903" t="str">
        <f t="shared" si="221"/>
        <v/>
      </c>
      <c r="II37" s="1903" t="str">
        <f t="shared" si="222"/>
        <v/>
      </c>
      <c r="IJ37" s="1903" t="str">
        <f t="shared" si="223"/>
        <v/>
      </c>
      <c r="IK37" s="1903" t="str">
        <f t="shared" si="224"/>
        <v/>
      </c>
      <c r="IL37" s="1903" t="str">
        <f t="shared" si="225"/>
        <v/>
      </c>
      <c r="IM37" s="1903" t="str">
        <f t="shared" si="226"/>
        <v/>
      </c>
      <c r="IN37" s="1903" t="str">
        <f t="shared" si="227"/>
        <v/>
      </c>
      <c r="IO37" s="1903" t="str">
        <f t="shared" si="228"/>
        <v/>
      </c>
      <c r="IP37" s="1903" t="str">
        <f t="shared" si="229"/>
        <v/>
      </c>
      <c r="IQ37" s="1903" t="str">
        <f t="shared" si="230"/>
        <v/>
      </c>
      <c r="IR37" s="1903" t="str">
        <f t="shared" si="231"/>
        <v/>
      </c>
      <c r="IS37" s="1903" t="str">
        <f t="shared" si="232"/>
        <v/>
      </c>
      <c r="IT37" s="1903" t="str">
        <f t="shared" si="233"/>
        <v/>
      </c>
      <c r="IU37" s="1903" t="str">
        <f t="shared" si="234"/>
        <v/>
      </c>
      <c r="IV37" s="1903" t="str">
        <f t="shared" si="235"/>
        <v/>
      </c>
      <c r="IW37" s="1903" t="str">
        <f t="shared" si="236"/>
        <v/>
      </c>
      <c r="IX37" s="1903" t="str">
        <f t="shared" si="237"/>
        <v/>
      </c>
      <c r="IY37" s="1903" t="str">
        <f t="shared" si="238"/>
        <v/>
      </c>
      <c r="IZ37" s="1903" t="str">
        <f t="shared" si="239"/>
        <v/>
      </c>
      <c r="JA37" s="1903" t="str">
        <f t="shared" si="240"/>
        <v/>
      </c>
      <c r="JB37" s="1903" t="str">
        <f t="shared" si="241"/>
        <v/>
      </c>
      <c r="JC37" s="1903" t="str">
        <f t="shared" si="242"/>
        <v/>
      </c>
      <c r="JD37" s="1903" t="str">
        <f t="shared" si="243"/>
        <v/>
      </c>
      <c r="JE37" s="1903" t="str">
        <f t="shared" si="244"/>
        <v/>
      </c>
      <c r="JF37" s="1903" t="str">
        <f t="shared" si="245"/>
        <v/>
      </c>
      <c r="JG37" s="1903" t="str">
        <f t="shared" si="246"/>
        <v/>
      </c>
      <c r="JH37" s="1903" t="str">
        <f t="shared" si="247"/>
        <v/>
      </c>
      <c r="JI37" s="1903" t="str">
        <f t="shared" si="248"/>
        <v/>
      </c>
      <c r="JJ37" s="1903" t="str">
        <f t="shared" si="249"/>
        <v/>
      </c>
      <c r="JK37" s="1903" t="str">
        <f t="shared" si="250"/>
        <v/>
      </c>
      <c r="JL37" s="1903" t="str">
        <f t="shared" si="251"/>
        <v/>
      </c>
      <c r="JM37" s="1903" t="str">
        <f t="shared" si="252"/>
        <v/>
      </c>
      <c r="JN37" s="1903" t="str">
        <f t="shared" si="253"/>
        <v/>
      </c>
      <c r="JO37" s="1903" t="str">
        <f t="shared" si="254"/>
        <v/>
      </c>
      <c r="JP37" s="1903" t="str">
        <f t="shared" si="255"/>
        <v/>
      </c>
      <c r="JQ37" s="1903" t="str">
        <f t="shared" si="256"/>
        <v/>
      </c>
      <c r="JR37" s="1903" t="str">
        <f t="shared" si="257"/>
        <v/>
      </c>
      <c r="JS37" s="1903" t="str">
        <f t="shared" si="258"/>
        <v/>
      </c>
      <c r="JT37" s="1903" t="str">
        <f t="shared" si="259"/>
        <v/>
      </c>
      <c r="JU37" s="1903" t="str">
        <f t="shared" si="260"/>
        <v/>
      </c>
      <c r="JV37" s="1903" t="str">
        <f t="shared" si="261"/>
        <v/>
      </c>
      <c r="JW37" s="1903" t="str">
        <f t="shared" si="262"/>
        <v/>
      </c>
      <c r="JX37" s="1903" t="str">
        <f t="shared" si="263"/>
        <v/>
      </c>
      <c r="JY37" s="1903" t="str">
        <f t="shared" si="264"/>
        <v/>
      </c>
      <c r="JZ37" s="1903" t="str">
        <f t="shared" si="265"/>
        <v/>
      </c>
      <c r="KA37" s="1903" t="str">
        <f t="shared" si="266"/>
        <v/>
      </c>
      <c r="KB37" s="1903" t="str">
        <f t="shared" si="267"/>
        <v/>
      </c>
      <c r="KC37" s="1903" t="str">
        <f t="shared" si="268"/>
        <v/>
      </c>
      <c r="KD37" s="1903" t="str">
        <f t="shared" si="269"/>
        <v/>
      </c>
      <c r="KE37" s="1903" t="str">
        <f t="shared" si="270"/>
        <v/>
      </c>
      <c r="KF37" s="1903" t="str">
        <f t="shared" si="271"/>
        <v/>
      </c>
      <c r="KG37" s="1903" t="str">
        <f t="shared" si="272"/>
        <v/>
      </c>
      <c r="KH37" s="1903" t="str">
        <f t="shared" si="273"/>
        <v/>
      </c>
      <c r="KI37" s="1903" t="str">
        <f t="shared" si="274"/>
        <v/>
      </c>
      <c r="KJ37" s="1903" t="str">
        <f t="shared" si="275"/>
        <v/>
      </c>
      <c r="KK37" s="1903" t="str">
        <f t="shared" si="276"/>
        <v/>
      </c>
      <c r="KL37" s="1903" t="str">
        <f t="shared" si="277"/>
        <v/>
      </c>
      <c r="KM37" s="1903" t="str">
        <f t="shared" si="278"/>
        <v/>
      </c>
      <c r="KN37" s="1903" t="str">
        <f t="shared" si="279"/>
        <v/>
      </c>
      <c r="KO37" s="1903" t="str">
        <f t="shared" si="280"/>
        <v/>
      </c>
      <c r="KP37" s="1903" t="str">
        <f t="shared" si="281"/>
        <v/>
      </c>
      <c r="KQ37" s="1903" t="str">
        <f t="shared" si="282"/>
        <v/>
      </c>
      <c r="KR37" s="1903" t="str">
        <f t="shared" si="283"/>
        <v/>
      </c>
      <c r="KS37" s="1903" t="str">
        <f t="shared" si="284"/>
        <v/>
      </c>
      <c r="KT37" s="1903" t="str">
        <f t="shared" si="285"/>
        <v/>
      </c>
      <c r="KU37" s="1903" t="str">
        <f t="shared" si="286"/>
        <v/>
      </c>
      <c r="KV37" s="1903" t="str">
        <f t="shared" si="287"/>
        <v/>
      </c>
      <c r="KW37" s="1903" t="str">
        <f t="shared" si="288"/>
        <v/>
      </c>
      <c r="KX37" s="1903" t="str">
        <f t="shared" si="289"/>
        <v/>
      </c>
      <c r="KY37" s="1903" t="str">
        <f t="shared" si="290"/>
        <v/>
      </c>
      <c r="KZ37" s="1903" t="str">
        <f t="shared" si="291"/>
        <v/>
      </c>
      <c r="LA37" s="1903" t="str">
        <f t="shared" si="292"/>
        <v/>
      </c>
      <c r="LB37" s="1903" t="str">
        <f t="shared" si="293"/>
        <v/>
      </c>
      <c r="LC37" s="1903" t="str">
        <f t="shared" si="294"/>
        <v/>
      </c>
      <c r="LD37" s="1903" t="str">
        <f t="shared" si="295"/>
        <v/>
      </c>
      <c r="LE37" s="1903" t="str">
        <f t="shared" si="296"/>
        <v/>
      </c>
      <c r="LF37" s="1903" t="str">
        <f t="shared" si="297"/>
        <v/>
      </c>
      <c r="LG37" s="1892" t="str">
        <f t="shared" si="298"/>
        <v/>
      </c>
      <c r="LH37" s="1892" t="str">
        <f t="shared" si="299"/>
        <v/>
      </c>
      <c r="LI37" s="1892" t="str">
        <f t="shared" si="300"/>
        <v/>
      </c>
      <c r="LJ37" s="1892" t="str">
        <f t="shared" si="301"/>
        <v/>
      </c>
      <c r="LK37" s="1892"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50">
        <f t="shared" si="323"/>
        <v>0</v>
      </c>
      <c r="MG37" s="1750">
        <f t="shared" si="324"/>
        <v>0</v>
      </c>
      <c r="MH37" s="1750">
        <f t="shared" si="325"/>
        <v>0</v>
      </c>
      <c r="MI37" s="1750">
        <f t="shared" si="326"/>
        <v>0</v>
      </c>
      <c r="MJ37" s="1750">
        <f t="shared" si="327"/>
        <v>0</v>
      </c>
      <c r="MK37" s="1750">
        <f t="shared" si="333"/>
        <v>0</v>
      </c>
      <c r="ML37" s="1750">
        <f t="shared" si="334"/>
        <v>0</v>
      </c>
      <c r="MM37" s="1750">
        <f t="shared" si="335"/>
        <v>0</v>
      </c>
      <c r="MN37" s="1750">
        <f t="shared" si="336"/>
        <v>0</v>
      </c>
      <c r="MO37" s="1750">
        <f t="shared" si="337"/>
        <v>0</v>
      </c>
      <c r="MP37" s="1750">
        <f t="shared" si="328"/>
        <v>0</v>
      </c>
      <c r="MQ37" s="1750">
        <f t="shared" si="329"/>
        <v>0</v>
      </c>
      <c r="MR37" s="1750">
        <f t="shared" si="330"/>
        <v>0</v>
      </c>
      <c r="MS37" s="1750">
        <f t="shared" si="331"/>
        <v>0</v>
      </c>
      <c r="MT37" s="1750">
        <f t="shared" si="332"/>
        <v>0</v>
      </c>
      <c r="NP37" s="1721" t="s">
        <v>6440</v>
      </c>
    </row>
    <row r="38" spans="1:380" ht="13.9" customHeight="1">
      <c r="A38" s="86" t="str">
        <f t="shared" si="0"/>
        <v/>
      </c>
      <c r="B38" s="1121"/>
      <c r="C38" s="132"/>
      <c r="D38" s="1753"/>
      <c r="E38" s="133"/>
      <c r="F38" s="133"/>
      <c r="G38" s="133"/>
      <c r="H38" s="133"/>
      <c r="I38" s="133"/>
      <c r="J38" s="756">
        <f>IF(C38="",0,HLOOKUP(C38,'Part IV-Utility Allowances'!$I$11:$M$22,12))</f>
        <v>0</v>
      </c>
      <c r="K38" s="644"/>
      <c r="L38" s="461">
        <f t="shared" si="1"/>
        <v>0</v>
      </c>
      <c r="M38" s="461">
        <f t="shared" si="2"/>
        <v>0</v>
      </c>
      <c r="N38" s="695"/>
      <c r="O38" s="1685"/>
      <c r="P38" s="695"/>
      <c r="Q38" s="134"/>
      <c r="R38" s="739"/>
      <c r="S38" s="740"/>
      <c r="T38" s="3087"/>
      <c r="U38" s="3088"/>
      <c r="V38" s="3088"/>
      <c r="W38" s="3089"/>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903" t="str">
        <f t="shared" si="213"/>
        <v/>
      </c>
      <c r="IA38" s="1903" t="str">
        <f t="shared" si="214"/>
        <v/>
      </c>
      <c r="IB38" s="1903" t="str">
        <f t="shared" si="215"/>
        <v/>
      </c>
      <c r="IC38" s="1903" t="str">
        <f t="shared" si="216"/>
        <v/>
      </c>
      <c r="ID38" s="1903" t="str">
        <f t="shared" si="217"/>
        <v/>
      </c>
      <c r="IE38" s="1903" t="str">
        <f t="shared" si="218"/>
        <v/>
      </c>
      <c r="IF38" s="1903" t="str">
        <f t="shared" si="219"/>
        <v/>
      </c>
      <c r="IG38" s="1903" t="str">
        <f t="shared" si="220"/>
        <v/>
      </c>
      <c r="IH38" s="1903" t="str">
        <f t="shared" si="221"/>
        <v/>
      </c>
      <c r="II38" s="1903" t="str">
        <f t="shared" si="222"/>
        <v/>
      </c>
      <c r="IJ38" s="1903" t="str">
        <f t="shared" si="223"/>
        <v/>
      </c>
      <c r="IK38" s="1903" t="str">
        <f t="shared" si="224"/>
        <v/>
      </c>
      <c r="IL38" s="1903" t="str">
        <f t="shared" si="225"/>
        <v/>
      </c>
      <c r="IM38" s="1903" t="str">
        <f t="shared" si="226"/>
        <v/>
      </c>
      <c r="IN38" s="1903" t="str">
        <f t="shared" si="227"/>
        <v/>
      </c>
      <c r="IO38" s="1903" t="str">
        <f t="shared" si="228"/>
        <v/>
      </c>
      <c r="IP38" s="1903" t="str">
        <f t="shared" si="229"/>
        <v/>
      </c>
      <c r="IQ38" s="1903" t="str">
        <f t="shared" si="230"/>
        <v/>
      </c>
      <c r="IR38" s="1903" t="str">
        <f t="shared" si="231"/>
        <v/>
      </c>
      <c r="IS38" s="1903" t="str">
        <f t="shared" si="232"/>
        <v/>
      </c>
      <c r="IT38" s="1903" t="str">
        <f t="shared" si="233"/>
        <v/>
      </c>
      <c r="IU38" s="1903" t="str">
        <f t="shared" si="234"/>
        <v/>
      </c>
      <c r="IV38" s="1903" t="str">
        <f t="shared" si="235"/>
        <v/>
      </c>
      <c r="IW38" s="1903" t="str">
        <f t="shared" si="236"/>
        <v/>
      </c>
      <c r="IX38" s="1903" t="str">
        <f t="shared" si="237"/>
        <v/>
      </c>
      <c r="IY38" s="1903" t="str">
        <f t="shared" si="238"/>
        <v/>
      </c>
      <c r="IZ38" s="1903" t="str">
        <f t="shared" si="239"/>
        <v/>
      </c>
      <c r="JA38" s="1903" t="str">
        <f t="shared" si="240"/>
        <v/>
      </c>
      <c r="JB38" s="1903" t="str">
        <f t="shared" si="241"/>
        <v/>
      </c>
      <c r="JC38" s="1903" t="str">
        <f t="shared" si="242"/>
        <v/>
      </c>
      <c r="JD38" s="1903" t="str">
        <f t="shared" si="243"/>
        <v/>
      </c>
      <c r="JE38" s="1903" t="str">
        <f t="shared" si="244"/>
        <v/>
      </c>
      <c r="JF38" s="1903" t="str">
        <f t="shared" si="245"/>
        <v/>
      </c>
      <c r="JG38" s="1903" t="str">
        <f t="shared" si="246"/>
        <v/>
      </c>
      <c r="JH38" s="1903" t="str">
        <f t="shared" si="247"/>
        <v/>
      </c>
      <c r="JI38" s="1903" t="str">
        <f t="shared" si="248"/>
        <v/>
      </c>
      <c r="JJ38" s="1903" t="str">
        <f t="shared" si="249"/>
        <v/>
      </c>
      <c r="JK38" s="1903" t="str">
        <f t="shared" si="250"/>
        <v/>
      </c>
      <c r="JL38" s="1903" t="str">
        <f t="shared" si="251"/>
        <v/>
      </c>
      <c r="JM38" s="1903" t="str">
        <f t="shared" si="252"/>
        <v/>
      </c>
      <c r="JN38" s="1903" t="str">
        <f t="shared" si="253"/>
        <v/>
      </c>
      <c r="JO38" s="1903" t="str">
        <f t="shared" si="254"/>
        <v/>
      </c>
      <c r="JP38" s="1903" t="str">
        <f t="shared" si="255"/>
        <v/>
      </c>
      <c r="JQ38" s="1903" t="str">
        <f t="shared" si="256"/>
        <v/>
      </c>
      <c r="JR38" s="1903" t="str">
        <f t="shared" si="257"/>
        <v/>
      </c>
      <c r="JS38" s="1903" t="str">
        <f t="shared" si="258"/>
        <v/>
      </c>
      <c r="JT38" s="1903" t="str">
        <f t="shared" si="259"/>
        <v/>
      </c>
      <c r="JU38" s="1903" t="str">
        <f t="shared" si="260"/>
        <v/>
      </c>
      <c r="JV38" s="1903" t="str">
        <f t="shared" si="261"/>
        <v/>
      </c>
      <c r="JW38" s="1903" t="str">
        <f t="shared" si="262"/>
        <v/>
      </c>
      <c r="JX38" s="1903" t="str">
        <f t="shared" si="263"/>
        <v/>
      </c>
      <c r="JY38" s="1903" t="str">
        <f t="shared" si="264"/>
        <v/>
      </c>
      <c r="JZ38" s="1903" t="str">
        <f t="shared" si="265"/>
        <v/>
      </c>
      <c r="KA38" s="1903" t="str">
        <f t="shared" si="266"/>
        <v/>
      </c>
      <c r="KB38" s="1903" t="str">
        <f t="shared" si="267"/>
        <v/>
      </c>
      <c r="KC38" s="1903" t="str">
        <f t="shared" si="268"/>
        <v/>
      </c>
      <c r="KD38" s="1903" t="str">
        <f t="shared" si="269"/>
        <v/>
      </c>
      <c r="KE38" s="1903" t="str">
        <f t="shared" si="270"/>
        <v/>
      </c>
      <c r="KF38" s="1903" t="str">
        <f t="shared" si="271"/>
        <v/>
      </c>
      <c r="KG38" s="1903" t="str">
        <f t="shared" si="272"/>
        <v/>
      </c>
      <c r="KH38" s="1903" t="str">
        <f t="shared" si="273"/>
        <v/>
      </c>
      <c r="KI38" s="1903" t="str">
        <f t="shared" si="274"/>
        <v/>
      </c>
      <c r="KJ38" s="1903" t="str">
        <f t="shared" si="275"/>
        <v/>
      </c>
      <c r="KK38" s="1903" t="str">
        <f t="shared" si="276"/>
        <v/>
      </c>
      <c r="KL38" s="1903" t="str">
        <f t="shared" si="277"/>
        <v/>
      </c>
      <c r="KM38" s="1903" t="str">
        <f t="shared" si="278"/>
        <v/>
      </c>
      <c r="KN38" s="1903" t="str">
        <f t="shared" si="279"/>
        <v/>
      </c>
      <c r="KO38" s="1903" t="str">
        <f t="shared" si="280"/>
        <v/>
      </c>
      <c r="KP38" s="1903" t="str">
        <f t="shared" si="281"/>
        <v/>
      </c>
      <c r="KQ38" s="1903" t="str">
        <f t="shared" si="282"/>
        <v/>
      </c>
      <c r="KR38" s="1903" t="str">
        <f t="shared" si="283"/>
        <v/>
      </c>
      <c r="KS38" s="1903" t="str">
        <f t="shared" si="284"/>
        <v/>
      </c>
      <c r="KT38" s="1903" t="str">
        <f t="shared" si="285"/>
        <v/>
      </c>
      <c r="KU38" s="1903" t="str">
        <f t="shared" si="286"/>
        <v/>
      </c>
      <c r="KV38" s="1903" t="str">
        <f t="shared" si="287"/>
        <v/>
      </c>
      <c r="KW38" s="1903" t="str">
        <f t="shared" si="288"/>
        <v/>
      </c>
      <c r="KX38" s="1903" t="str">
        <f t="shared" si="289"/>
        <v/>
      </c>
      <c r="KY38" s="1903" t="str">
        <f t="shared" si="290"/>
        <v/>
      </c>
      <c r="KZ38" s="1903" t="str">
        <f t="shared" si="291"/>
        <v/>
      </c>
      <c r="LA38" s="1903" t="str">
        <f t="shared" si="292"/>
        <v/>
      </c>
      <c r="LB38" s="1903" t="str">
        <f t="shared" si="293"/>
        <v/>
      </c>
      <c r="LC38" s="1903" t="str">
        <f t="shared" si="294"/>
        <v/>
      </c>
      <c r="LD38" s="1903" t="str">
        <f t="shared" si="295"/>
        <v/>
      </c>
      <c r="LE38" s="1903" t="str">
        <f t="shared" si="296"/>
        <v/>
      </c>
      <c r="LF38" s="1903" t="str">
        <f t="shared" si="297"/>
        <v/>
      </c>
      <c r="LG38" s="1892" t="str">
        <f t="shared" si="298"/>
        <v/>
      </c>
      <c r="LH38" s="1892" t="str">
        <f t="shared" si="299"/>
        <v/>
      </c>
      <c r="LI38" s="1892" t="str">
        <f t="shared" si="300"/>
        <v/>
      </c>
      <c r="LJ38" s="1892" t="str">
        <f t="shared" si="301"/>
        <v/>
      </c>
      <c r="LK38" s="1892"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50">
        <f t="shared" si="323"/>
        <v>0</v>
      </c>
      <c r="MG38" s="1750">
        <f t="shared" si="324"/>
        <v>0</v>
      </c>
      <c r="MH38" s="1750">
        <f t="shared" si="325"/>
        <v>0</v>
      </c>
      <c r="MI38" s="1750">
        <f t="shared" si="326"/>
        <v>0</v>
      </c>
      <c r="MJ38" s="1750">
        <f t="shared" si="327"/>
        <v>0</v>
      </c>
      <c r="MK38" s="1750">
        <f t="shared" si="333"/>
        <v>0</v>
      </c>
      <c r="ML38" s="1750">
        <f t="shared" si="334"/>
        <v>0</v>
      </c>
      <c r="MM38" s="1750">
        <f t="shared" si="335"/>
        <v>0</v>
      </c>
      <c r="MN38" s="1750">
        <f t="shared" si="336"/>
        <v>0</v>
      </c>
      <c r="MO38" s="1750">
        <f t="shared" si="337"/>
        <v>0</v>
      </c>
      <c r="MP38" s="1750">
        <f t="shared" si="328"/>
        <v>0</v>
      </c>
      <c r="MQ38" s="1750">
        <f t="shared" si="329"/>
        <v>0</v>
      </c>
      <c r="MR38" s="1750">
        <f t="shared" si="330"/>
        <v>0</v>
      </c>
      <c r="MS38" s="1750">
        <f t="shared" si="331"/>
        <v>0</v>
      </c>
      <c r="MT38" s="1750">
        <f t="shared" si="332"/>
        <v>0</v>
      </c>
      <c r="NP38" s="1721" t="s">
        <v>6441</v>
      </c>
    </row>
    <row r="39" spans="1:380" ht="13.9" customHeight="1">
      <c r="A39" s="86" t="str">
        <f t="shared" si="0"/>
        <v/>
      </c>
      <c r="B39" s="1121"/>
      <c r="C39" s="132"/>
      <c r="D39" s="1753"/>
      <c r="E39" s="133"/>
      <c r="F39" s="133"/>
      <c r="G39" s="133"/>
      <c r="H39" s="133"/>
      <c r="I39" s="133"/>
      <c r="J39" s="756">
        <f>IF(C39="",0,HLOOKUP(C39,'Part IV-Utility Allowances'!$I$11:$M$22,12))</f>
        <v>0</v>
      </c>
      <c r="K39" s="644"/>
      <c r="L39" s="461">
        <f t="shared" si="1"/>
        <v>0</v>
      </c>
      <c r="M39" s="461">
        <f t="shared" si="2"/>
        <v>0</v>
      </c>
      <c r="N39" s="695"/>
      <c r="O39" s="1685"/>
      <c r="P39" s="695"/>
      <c r="Q39" s="134"/>
      <c r="R39" s="739"/>
      <c r="S39" s="740"/>
      <c r="T39" s="3087"/>
      <c r="U39" s="3088"/>
      <c r="V39" s="3088"/>
      <c r="W39" s="3089"/>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903" t="str">
        <f t="shared" si="213"/>
        <v/>
      </c>
      <c r="IA39" s="1903" t="str">
        <f t="shared" si="214"/>
        <v/>
      </c>
      <c r="IB39" s="1903" t="str">
        <f t="shared" si="215"/>
        <v/>
      </c>
      <c r="IC39" s="1903" t="str">
        <f t="shared" si="216"/>
        <v/>
      </c>
      <c r="ID39" s="1903" t="str">
        <f t="shared" si="217"/>
        <v/>
      </c>
      <c r="IE39" s="1903" t="str">
        <f t="shared" si="218"/>
        <v/>
      </c>
      <c r="IF39" s="1903" t="str">
        <f t="shared" si="219"/>
        <v/>
      </c>
      <c r="IG39" s="1903" t="str">
        <f t="shared" si="220"/>
        <v/>
      </c>
      <c r="IH39" s="1903" t="str">
        <f t="shared" si="221"/>
        <v/>
      </c>
      <c r="II39" s="1903" t="str">
        <f t="shared" si="222"/>
        <v/>
      </c>
      <c r="IJ39" s="1903" t="str">
        <f t="shared" si="223"/>
        <v/>
      </c>
      <c r="IK39" s="1903" t="str">
        <f t="shared" si="224"/>
        <v/>
      </c>
      <c r="IL39" s="1903" t="str">
        <f t="shared" si="225"/>
        <v/>
      </c>
      <c r="IM39" s="1903" t="str">
        <f t="shared" si="226"/>
        <v/>
      </c>
      <c r="IN39" s="1903" t="str">
        <f t="shared" si="227"/>
        <v/>
      </c>
      <c r="IO39" s="1903" t="str">
        <f t="shared" si="228"/>
        <v/>
      </c>
      <c r="IP39" s="1903" t="str">
        <f t="shared" si="229"/>
        <v/>
      </c>
      <c r="IQ39" s="1903" t="str">
        <f t="shared" si="230"/>
        <v/>
      </c>
      <c r="IR39" s="1903" t="str">
        <f t="shared" si="231"/>
        <v/>
      </c>
      <c r="IS39" s="1903" t="str">
        <f t="shared" si="232"/>
        <v/>
      </c>
      <c r="IT39" s="1903" t="str">
        <f t="shared" si="233"/>
        <v/>
      </c>
      <c r="IU39" s="1903" t="str">
        <f t="shared" si="234"/>
        <v/>
      </c>
      <c r="IV39" s="1903" t="str">
        <f t="shared" si="235"/>
        <v/>
      </c>
      <c r="IW39" s="1903" t="str">
        <f t="shared" si="236"/>
        <v/>
      </c>
      <c r="IX39" s="1903" t="str">
        <f t="shared" si="237"/>
        <v/>
      </c>
      <c r="IY39" s="1903" t="str">
        <f t="shared" si="238"/>
        <v/>
      </c>
      <c r="IZ39" s="1903" t="str">
        <f t="shared" si="239"/>
        <v/>
      </c>
      <c r="JA39" s="1903" t="str">
        <f t="shared" si="240"/>
        <v/>
      </c>
      <c r="JB39" s="1903" t="str">
        <f t="shared" si="241"/>
        <v/>
      </c>
      <c r="JC39" s="1903" t="str">
        <f t="shared" si="242"/>
        <v/>
      </c>
      <c r="JD39" s="1903" t="str">
        <f t="shared" si="243"/>
        <v/>
      </c>
      <c r="JE39" s="1903" t="str">
        <f t="shared" si="244"/>
        <v/>
      </c>
      <c r="JF39" s="1903" t="str">
        <f t="shared" si="245"/>
        <v/>
      </c>
      <c r="JG39" s="1903" t="str">
        <f t="shared" si="246"/>
        <v/>
      </c>
      <c r="JH39" s="1903" t="str">
        <f t="shared" si="247"/>
        <v/>
      </c>
      <c r="JI39" s="1903" t="str">
        <f t="shared" si="248"/>
        <v/>
      </c>
      <c r="JJ39" s="1903" t="str">
        <f t="shared" si="249"/>
        <v/>
      </c>
      <c r="JK39" s="1903" t="str">
        <f t="shared" si="250"/>
        <v/>
      </c>
      <c r="JL39" s="1903" t="str">
        <f t="shared" si="251"/>
        <v/>
      </c>
      <c r="JM39" s="1903" t="str">
        <f t="shared" si="252"/>
        <v/>
      </c>
      <c r="JN39" s="1903" t="str">
        <f t="shared" si="253"/>
        <v/>
      </c>
      <c r="JO39" s="1903" t="str">
        <f t="shared" si="254"/>
        <v/>
      </c>
      <c r="JP39" s="1903" t="str">
        <f t="shared" si="255"/>
        <v/>
      </c>
      <c r="JQ39" s="1903" t="str">
        <f t="shared" si="256"/>
        <v/>
      </c>
      <c r="JR39" s="1903" t="str">
        <f t="shared" si="257"/>
        <v/>
      </c>
      <c r="JS39" s="1903" t="str">
        <f t="shared" si="258"/>
        <v/>
      </c>
      <c r="JT39" s="1903" t="str">
        <f t="shared" si="259"/>
        <v/>
      </c>
      <c r="JU39" s="1903" t="str">
        <f t="shared" si="260"/>
        <v/>
      </c>
      <c r="JV39" s="1903" t="str">
        <f t="shared" si="261"/>
        <v/>
      </c>
      <c r="JW39" s="1903" t="str">
        <f t="shared" si="262"/>
        <v/>
      </c>
      <c r="JX39" s="1903" t="str">
        <f t="shared" si="263"/>
        <v/>
      </c>
      <c r="JY39" s="1903" t="str">
        <f t="shared" si="264"/>
        <v/>
      </c>
      <c r="JZ39" s="1903" t="str">
        <f t="shared" si="265"/>
        <v/>
      </c>
      <c r="KA39" s="1903" t="str">
        <f t="shared" si="266"/>
        <v/>
      </c>
      <c r="KB39" s="1903" t="str">
        <f t="shared" si="267"/>
        <v/>
      </c>
      <c r="KC39" s="1903" t="str">
        <f t="shared" si="268"/>
        <v/>
      </c>
      <c r="KD39" s="1903" t="str">
        <f t="shared" si="269"/>
        <v/>
      </c>
      <c r="KE39" s="1903" t="str">
        <f t="shared" si="270"/>
        <v/>
      </c>
      <c r="KF39" s="1903" t="str">
        <f t="shared" si="271"/>
        <v/>
      </c>
      <c r="KG39" s="1903" t="str">
        <f t="shared" si="272"/>
        <v/>
      </c>
      <c r="KH39" s="1903" t="str">
        <f t="shared" si="273"/>
        <v/>
      </c>
      <c r="KI39" s="1903" t="str">
        <f t="shared" si="274"/>
        <v/>
      </c>
      <c r="KJ39" s="1903" t="str">
        <f t="shared" si="275"/>
        <v/>
      </c>
      <c r="KK39" s="1903" t="str">
        <f t="shared" si="276"/>
        <v/>
      </c>
      <c r="KL39" s="1903" t="str">
        <f t="shared" si="277"/>
        <v/>
      </c>
      <c r="KM39" s="1903" t="str">
        <f t="shared" si="278"/>
        <v/>
      </c>
      <c r="KN39" s="1903" t="str">
        <f t="shared" si="279"/>
        <v/>
      </c>
      <c r="KO39" s="1903" t="str">
        <f t="shared" si="280"/>
        <v/>
      </c>
      <c r="KP39" s="1903" t="str">
        <f t="shared" si="281"/>
        <v/>
      </c>
      <c r="KQ39" s="1903" t="str">
        <f t="shared" si="282"/>
        <v/>
      </c>
      <c r="KR39" s="1903" t="str">
        <f t="shared" si="283"/>
        <v/>
      </c>
      <c r="KS39" s="1903" t="str">
        <f t="shared" si="284"/>
        <v/>
      </c>
      <c r="KT39" s="1903" t="str">
        <f t="shared" si="285"/>
        <v/>
      </c>
      <c r="KU39" s="1903" t="str">
        <f t="shared" si="286"/>
        <v/>
      </c>
      <c r="KV39" s="1903" t="str">
        <f t="shared" si="287"/>
        <v/>
      </c>
      <c r="KW39" s="1903" t="str">
        <f t="shared" si="288"/>
        <v/>
      </c>
      <c r="KX39" s="1903" t="str">
        <f t="shared" si="289"/>
        <v/>
      </c>
      <c r="KY39" s="1903" t="str">
        <f t="shared" si="290"/>
        <v/>
      </c>
      <c r="KZ39" s="1903" t="str">
        <f t="shared" si="291"/>
        <v/>
      </c>
      <c r="LA39" s="1903" t="str">
        <f t="shared" si="292"/>
        <v/>
      </c>
      <c r="LB39" s="1903" t="str">
        <f t="shared" si="293"/>
        <v/>
      </c>
      <c r="LC39" s="1903" t="str">
        <f t="shared" si="294"/>
        <v/>
      </c>
      <c r="LD39" s="1903" t="str">
        <f t="shared" si="295"/>
        <v/>
      </c>
      <c r="LE39" s="1903" t="str">
        <f t="shared" si="296"/>
        <v/>
      </c>
      <c r="LF39" s="1903" t="str">
        <f t="shared" si="297"/>
        <v/>
      </c>
      <c r="LG39" s="1892" t="str">
        <f t="shared" si="298"/>
        <v/>
      </c>
      <c r="LH39" s="1892" t="str">
        <f t="shared" si="299"/>
        <v/>
      </c>
      <c r="LI39" s="1892" t="str">
        <f t="shared" si="300"/>
        <v/>
      </c>
      <c r="LJ39" s="1892" t="str">
        <f t="shared" si="301"/>
        <v/>
      </c>
      <c r="LK39" s="1892"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50">
        <f t="shared" si="323"/>
        <v>0</v>
      </c>
      <c r="MG39" s="1750">
        <f t="shared" si="324"/>
        <v>0</v>
      </c>
      <c r="MH39" s="1750">
        <f t="shared" si="325"/>
        <v>0</v>
      </c>
      <c r="MI39" s="1750">
        <f t="shared" si="326"/>
        <v>0</v>
      </c>
      <c r="MJ39" s="1750">
        <f t="shared" si="327"/>
        <v>0</v>
      </c>
      <c r="MK39" s="1750">
        <f t="shared" si="333"/>
        <v>0</v>
      </c>
      <c r="ML39" s="1750">
        <f t="shared" si="334"/>
        <v>0</v>
      </c>
      <c r="MM39" s="1750">
        <f t="shared" si="335"/>
        <v>0</v>
      </c>
      <c r="MN39" s="1750">
        <f t="shared" si="336"/>
        <v>0</v>
      </c>
      <c r="MO39" s="1750">
        <f t="shared" si="337"/>
        <v>0</v>
      </c>
      <c r="MP39" s="1750">
        <f t="shared" si="328"/>
        <v>0</v>
      </c>
      <c r="MQ39" s="1750">
        <f t="shared" si="329"/>
        <v>0</v>
      </c>
      <c r="MR39" s="1750">
        <f t="shared" si="330"/>
        <v>0</v>
      </c>
      <c r="MS39" s="1750">
        <f t="shared" si="331"/>
        <v>0</v>
      </c>
      <c r="MT39" s="1750">
        <f t="shared" si="332"/>
        <v>0</v>
      </c>
      <c r="NP39" s="1721" t="s">
        <v>6442</v>
      </c>
    </row>
    <row r="40" spans="1:380" ht="13.9" customHeight="1">
      <c r="A40" s="86" t="str">
        <f t="shared" si="0"/>
        <v/>
      </c>
      <c r="B40" s="1121"/>
      <c r="C40" s="132"/>
      <c r="D40" s="1753"/>
      <c r="E40" s="133"/>
      <c r="F40" s="133"/>
      <c r="G40" s="133"/>
      <c r="H40" s="133"/>
      <c r="I40" s="133"/>
      <c r="J40" s="756">
        <f>IF(C40="",0,HLOOKUP(C40,'Part IV-Utility Allowances'!$I$11:$M$22,12))</f>
        <v>0</v>
      </c>
      <c r="K40" s="644"/>
      <c r="L40" s="461">
        <f t="shared" si="1"/>
        <v>0</v>
      </c>
      <c r="M40" s="461">
        <f t="shared" si="2"/>
        <v>0</v>
      </c>
      <c r="N40" s="695"/>
      <c r="O40" s="1685"/>
      <c r="P40" s="695"/>
      <c r="Q40" s="134"/>
      <c r="R40" s="739"/>
      <c r="S40" s="740"/>
      <c r="T40" s="3087"/>
      <c r="U40" s="3088"/>
      <c r="V40" s="3088"/>
      <c r="W40" s="3089"/>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903" t="str">
        <f t="shared" si="213"/>
        <v/>
      </c>
      <c r="IA40" s="1903" t="str">
        <f t="shared" si="214"/>
        <v/>
      </c>
      <c r="IB40" s="1903" t="str">
        <f t="shared" si="215"/>
        <v/>
      </c>
      <c r="IC40" s="1903" t="str">
        <f t="shared" si="216"/>
        <v/>
      </c>
      <c r="ID40" s="1903" t="str">
        <f t="shared" si="217"/>
        <v/>
      </c>
      <c r="IE40" s="1903" t="str">
        <f t="shared" si="218"/>
        <v/>
      </c>
      <c r="IF40" s="1903" t="str">
        <f t="shared" si="219"/>
        <v/>
      </c>
      <c r="IG40" s="1903" t="str">
        <f t="shared" si="220"/>
        <v/>
      </c>
      <c r="IH40" s="1903" t="str">
        <f t="shared" si="221"/>
        <v/>
      </c>
      <c r="II40" s="1903" t="str">
        <f t="shared" si="222"/>
        <v/>
      </c>
      <c r="IJ40" s="1903" t="str">
        <f t="shared" si="223"/>
        <v/>
      </c>
      <c r="IK40" s="1903" t="str">
        <f t="shared" si="224"/>
        <v/>
      </c>
      <c r="IL40" s="1903" t="str">
        <f t="shared" si="225"/>
        <v/>
      </c>
      <c r="IM40" s="1903" t="str">
        <f t="shared" si="226"/>
        <v/>
      </c>
      <c r="IN40" s="1903" t="str">
        <f t="shared" si="227"/>
        <v/>
      </c>
      <c r="IO40" s="1903" t="str">
        <f t="shared" si="228"/>
        <v/>
      </c>
      <c r="IP40" s="1903" t="str">
        <f t="shared" si="229"/>
        <v/>
      </c>
      <c r="IQ40" s="1903" t="str">
        <f t="shared" si="230"/>
        <v/>
      </c>
      <c r="IR40" s="1903" t="str">
        <f t="shared" si="231"/>
        <v/>
      </c>
      <c r="IS40" s="1903" t="str">
        <f t="shared" si="232"/>
        <v/>
      </c>
      <c r="IT40" s="1903" t="str">
        <f t="shared" si="233"/>
        <v/>
      </c>
      <c r="IU40" s="1903" t="str">
        <f t="shared" si="234"/>
        <v/>
      </c>
      <c r="IV40" s="1903" t="str">
        <f t="shared" si="235"/>
        <v/>
      </c>
      <c r="IW40" s="1903" t="str">
        <f t="shared" si="236"/>
        <v/>
      </c>
      <c r="IX40" s="1903" t="str">
        <f t="shared" si="237"/>
        <v/>
      </c>
      <c r="IY40" s="1903" t="str">
        <f t="shared" si="238"/>
        <v/>
      </c>
      <c r="IZ40" s="1903" t="str">
        <f t="shared" si="239"/>
        <v/>
      </c>
      <c r="JA40" s="1903" t="str">
        <f t="shared" si="240"/>
        <v/>
      </c>
      <c r="JB40" s="1903" t="str">
        <f t="shared" si="241"/>
        <v/>
      </c>
      <c r="JC40" s="1903" t="str">
        <f t="shared" si="242"/>
        <v/>
      </c>
      <c r="JD40" s="1903" t="str">
        <f t="shared" si="243"/>
        <v/>
      </c>
      <c r="JE40" s="1903" t="str">
        <f t="shared" si="244"/>
        <v/>
      </c>
      <c r="JF40" s="1903" t="str">
        <f t="shared" si="245"/>
        <v/>
      </c>
      <c r="JG40" s="1903" t="str">
        <f t="shared" si="246"/>
        <v/>
      </c>
      <c r="JH40" s="1903" t="str">
        <f t="shared" si="247"/>
        <v/>
      </c>
      <c r="JI40" s="1903" t="str">
        <f t="shared" si="248"/>
        <v/>
      </c>
      <c r="JJ40" s="1903" t="str">
        <f t="shared" si="249"/>
        <v/>
      </c>
      <c r="JK40" s="1903" t="str">
        <f t="shared" si="250"/>
        <v/>
      </c>
      <c r="JL40" s="1903" t="str">
        <f t="shared" si="251"/>
        <v/>
      </c>
      <c r="JM40" s="1903" t="str">
        <f t="shared" si="252"/>
        <v/>
      </c>
      <c r="JN40" s="1903" t="str">
        <f t="shared" si="253"/>
        <v/>
      </c>
      <c r="JO40" s="1903" t="str">
        <f t="shared" si="254"/>
        <v/>
      </c>
      <c r="JP40" s="1903" t="str">
        <f t="shared" si="255"/>
        <v/>
      </c>
      <c r="JQ40" s="1903" t="str">
        <f t="shared" si="256"/>
        <v/>
      </c>
      <c r="JR40" s="1903" t="str">
        <f t="shared" si="257"/>
        <v/>
      </c>
      <c r="JS40" s="1903" t="str">
        <f t="shared" si="258"/>
        <v/>
      </c>
      <c r="JT40" s="1903" t="str">
        <f t="shared" si="259"/>
        <v/>
      </c>
      <c r="JU40" s="1903" t="str">
        <f t="shared" si="260"/>
        <v/>
      </c>
      <c r="JV40" s="1903" t="str">
        <f t="shared" si="261"/>
        <v/>
      </c>
      <c r="JW40" s="1903" t="str">
        <f t="shared" si="262"/>
        <v/>
      </c>
      <c r="JX40" s="1903" t="str">
        <f t="shared" si="263"/>
        <v/>
      </c>
      <c r="JY40" s="1903" t="str">
        <f t="shared" si="264"/>
        <v/>
      </c>
      <c r="JZ40" s="1903" t="str">
        <f t="shared" si="265"/>
        <v/>
      </c>
      <c r="KA40" s="1903" t="str">
        <f t="shared" si="266"/>
        <v/>
      </c>
      <c r="KB40" s="1903" t="str">
        <f t="shared" si="267"/>
        <v/>
      </c>
      <c r="KC40" s="1903" t="str">
        <f t="shared" si="268"/>
        <v/>
      </c>
      <c r="KD40" s="1903" t="str">
        <f t="shared" si="269"/>
        <v/>
      </c>
      <c r="KE40" s="1903" t="str">
        <f t="shared" si="270"/>
        <v/>
      </c>
      <c r="KF40" s="1903" t="str">
        <f t="shared" si="271"/>
        <v/>
      </c>
      <c r="KG40" s="1903" t="str">
        <f t="shared" si="272"/>
        <v/>
      </c>
      <c r="KH40" s="1903" t="str">
        <f t="shared" si="273"/>
        <v/>
      </c>
      <c r="KI40" s="1903" t="str">
        <f t="shared" si="274"/>
        <v/>
      </c>
      <c r="KJ40" s="1903" t="str">
        <f t="shared" si="275"/>
        <v/>
      </c>
      <c r="KK40" s="1903" t="str">
        <f t="shared" si="276"/>
        <v/>
      </c>
      <c r="KL40" s="1903" t="str">
        <f t="shared" si="277"/>
        <v/>
      </c>
      <c r="KM40" s="1903" t="str">
        <f t="shared" si="278"/>
        <v/>
      </c>
      <c r="KN40" s="1903" t="str">
        <f t="shared" si="279"/>
        <v/>
      </c>
      <c r="KO40" s="1903" t="str">
        <f t="shared" si="280"/>
        <v/>
      </c>
      <c r="KP40" s="1903" t="str">
        <f t="shared" si="281"/>
        <v/>
      </c>
      <c r="KQ40" s="1903" t="str">
        <f t="shared" si="282"/>
        <v/>
      </c>
      <c r="KR40" s="1903" t="str">
        <f t="shared" si="283"/>
        <v/>
      </c>
      <c r="KS40" s="1903" t="str">
        <f t="shared" si="284"/>
        <v/>
      </c>
      <c r="KT40" s="1903" t="str">
        <f t="shared" si="285"/>
        <v/>
      </c>
      <c r="KU40" s="1903" t="str">
        <f t="shared" si="286"/>
        <v/>
      </c>
      <c r="KV40" s="1903" t="str">
        <f t="shared" si="287"/>
        <v/>
      </c>
      <c r="KW40" s="1903" t="str">
        <f t="shared" si="288"/>
        <v/>
      </c>
      <c r="KX40" s="1903" t="str">
        <f t="shared" si="289"/>
        <v/>
      </c>
      <c r="KY40" s="1903" t="str">
        <f t="shared" si="290"/>
        <v/>
      </c>
      <c r="KZ40" s="1903" t="str">
        <f t="shared" si="291"/>
        <v/>
      </c>
      <c r="LA40" s="1903" t="str">
        <f t="shared" si="292"/>
        <v/>
      </c>
      <c r="LB40" s="1903" t="str">
        <f t="shared" si="293"/>
        <v/>
      </c>
      <c r="LC40" s="1903" t="str">
        <f t="shared" si="294"/>
        <v/>
      </c>
      <c r="LD40" s="1903" t="str">
        <f t="shared" si="295"/>
        <v/>
      </c>
      <c r="LE40" s="1903" t="str">
        <f t="shared" si="296"/>
        <v/>
      </c>
      <c r="LF40" s="1903" t="str">
        <f t="shared" si="297"/>
        <v/>
      </c>
      <c r="LG40" s="1892" t="str">
        <f t="shared" si="298"/>
        <v/>
      </c>
      <c r="LH40" s="1892" t="str">
        <f t="shared" si="299"/>
        <v/>
      </c>
      <c r="LI40" s="1892" t="str">
        <f t="shared" si="300"/>
        <v/>
      </c>
      <c r="LJ40" s="1892" t="str">
        <f t="shared" si="301"/>
        <v/>
      </c>
      <c r="LK40" s="1892"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50">
        <f t="shared" si="323"/>
        <v>0</v>
      </c>
      <c r="MG40" s="1750">
        <f t="shared" si="324"/>
        <v>0</v>
      </c>
      <c r="MH40" s="1750">
        <f t="shared" si="325"/>
        <v>0</v>
      </c>
      <c r="MI40" s="1750">
        <f t="shared" si="326"/>
        <v>0</v>
      </c>
      <c r="MJ40" s="1750">
        <f t="shared" si="327"/>
        <v>0</v>
      </c>
      <c r="MK40" s="1750">
        <f t="shared" si="333"/>
        <v>0</v>
      </c>
      <c r="ML40" s="1750">
        <f t="shared" si="334"/>
        <v>0</v>
      </c>
      <c r="MM40" s="1750">
        <f t="shared" si="335"/>
        <v>0</v>
      </c>
      <c r="MN40" s="1750">
        <f t="shared" si="336"/>
        <v>0</v>
      </c>
      <c r="MO40" s="1750">
        <f t="shared" si="337"/>
        <v>0</v>
      </c>
      <c r="MP40" s="1750">
        <f t="shared" si="328"/>
        <v>0</v>
      </c>
      <c r="MQ40" s="1750">
        <f t="shared" si="329"/>
        <v>0</v>
      </c>
      <c r="MR40" s="1750">
        <f t="shared" si="330"/>
        <v>0</v>
      </c>
      <c r="MS40" s="1750">
        <f t="shared" si="331"/>
        <v>0</v>
      </c>
      <c r="MT40" s="1750">
        <f t="shared" si="332"/>
        <v>0</v>
      </c>
      <c r="NP40" s="1721" t="s">
        <v>6443</v>
      </c>
    </row>
    <row r="41" spans="1:380" ht="13.9" customHeight="1">
      <c r="A41" s="86" t="str">
        <f t="shared" si="0"/>
        <v/>
      </c>
      <c r="B41" s="1121"/>
      <c r="C41" s="132"/>
      <c r="D41" s="1753"/>
      <c r="E41" s="133"/>
      <c r="F41" s="133"/>
      <c r="G41" s="133"/>
      <c r="H41" s="133"/>
      <c r="I41" s="133"/>
      <c r="J41" s="756">
        <f>IF(C41="",0,HLOOKUP(C41,'Part IV-Utility Allowances'!$I$11:$M$22,12))</f>
        <v>0</v>
      </c>
      <c r="K41" s="644"/>
      <c r="L41" s="461">
        <f t="shared" si="1"/>
        <v>0</v>
      </c>
      <c r="M41" s="461">
        <f t="shared" si="2"/>
        <v>0</v>
      </c>
      <c r="N41" s="695"/>
      <c r="O41" s="1685"/>
      <c r="P41" s="695"/>
      <c r="Q41" s="134"/>
      <c r="R41" s="739"/>
      <c r="S41" s="740"/>
      <c r="T41" s="3087"/>
      <c r="U41" s="3088"/>
      <c r="V41" s="3088"/>
      <c r="W41" s="3089"/>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903" t="str">
        <f t="shared" si="213"/>
        <v/>
      </c>
      <c r="IA41" s="1903" t="str">
        <f t="shared" si="214"/>
        <v/>
      </c>
      <c r="IB41" s="1903" t="str">
        <f t="shared" si="215"/>
        <v/>
      </c>
      <c r="IC41" s="1903" t="str">
        <f t="shared" si="216"/>
        <v/>
      </c>
      <c r="ID41" s="1903" t="str">
        <f t="shared" si="217"/>
        <v/>
      </c>
      <c r="IE41" s="1903" t="str">
        <f t="shared" si="218"/>
        <v/>
      </c>
      <c r="IF41" s="1903" t="str">
        <f t="shared" si="219"/>
        <v/>
      </c>
      <c r="IG41" s="1903" t="str">
        <f t="shared" si="220"/>
        <v/>
      </c>
      <c r="IH41" s="1903" t="str">
        <f t="shared" si="221"/>
        <v/>
      </c>
      <c r="II41" s="1903" t="str">
        <f t="shared" si="222"/>
        <v/>
      </c>
      <c r="IJ41" s="1903" t="str">
        <f t="shared" si="223"/>
        <v/>
      </c>
      <c r="IK41" s="1903" t="str">
        <f t="shared" si="224"/>
        <v/>
      </c>
      <c r="IL41" s="1903" t="str">
        <f t="shared" si="225"/>
        <v/>
      </c>
      <c r="IM41" s="1903" t="str">
        <f t="shared" si="226"/>
        <v/>
      </c>
      <c r="IN41" s="1903" t="str">
        <f t="shared" si="227"/>
        <v/>
      </c>
      <c r="IO41" s="1903" t="str">
        <f t="shared" si="228"/>
        <v/>
      </c>
      <c r="IP41" s="1903" t="str">
        <f t="shared" si="229"/>
        <v/>
      </c>
      <c r="IQ41" s="1903" t="str">
        <f t="shared" si="230"/>
        <v/>
      </c>
      <c r="IR41" s="1903" t="str">
        <f t="shared" si="231"/>
        <v/>
      </c>
      <c r="IS41" s="1903" t="str">
        <f t="shared" si="232"/>
        <v/>
      </c>
      <c r="IT41" s="1903" t="str">
        <f t="shared" si="233"/>
        <v/>
      </c>
      <c r="IU41" s="1903" t="str">
        <f t="shared" si="234"/>
        <v/>
      </c>
      <c r="IV41" s="1903" t="str">
        <f t="shared" si="235"/>
        <v/>
      </c>
      <c r="IW41" s="1903" t="str">
        <f t="shared" si="236"/>
        <v/>
      </c>
      <c r="IX41" s="1903" t="str">
        <f t="shared" si="237"/>
        <v/>
      </c>
      <c r="IY41" s="1903" t="str">
        <f t="shared" si="238"/>
        <v/>
      </c>
      <c r="IZ41" s="1903" t="str">
        <f t="shared" si="239"/>
        <v/>
      </c>
      <c r="JA41" s="1903" t="str">
        <f t="shared" si="240"/>
        <v/>
      </c>
      <c r="JB41" s="1903" t="str">
        <f t="shared" si="241"/>
        <v/>
      </c>
      <c r="JC41" s="1903" t="str">
        <f t="shared" si="242"/>
        <v/>
      </c>
      <c r="JD41" s="1903" t="str">
        <f t="shared" si="243"/>
        <v/>
      </c>
      <c r="JE41" s="1903" t="str">
        <f t="shared" si="244"/>
        <v/>
      </c>
      <c r="JF41" s="1903" t="str">
        <f t="shared" si="245"/>
        <v/>
      </c>
      <c r="JG41" s="1903" t="str">
        <f t="shared" si="246"/>
        <v/>
      </c>
      <c r="JH41" s="1903" t="str">
        <f t="shared" si="247"/>
        <v/>
      </c>
      <c r="JI41" s="1903" t="str">
        <f t="shared" si="248"/>
        <v/>
      </c>
      <c r="JJ41" s="1903" t="str">
        <f t="shared" si="249"/>
        <v/>
      </c>
      <c r="JK41" s="1903" t="str">
        <f t="shared" si="250"/>
        <v/>
      </c>
      <c r="JL41" s="1903" t="str">
        <f t="shared" si="251"/>
        <v/>
      </c>
      <c r="JM41" s="1903" t="str">
        <f t="shared" si="252"/>
        <v/>
      </c>
      <c r="JN41" s="1903" t="str">
        <f t="shared" si="253"/>
        <v/>
      </c>
      <c r="JO41" s="1903" t="str">
        <f t="shared" si="254"/>
        <v/>
      </c>
      <c r="JP41" s="1903" t="str">
        <f t="shared" si="255"/>
        <v/>
      </c>
      <c r="JQ41" s="1903" t="str">
        <f t="shared" si="256"/>
        <v/>
      </c>
      <c r="JR41" s="1903" t="str">
        <f t="shared" si="257"/>
        <v/>
      </c>
      <c r="JS41" s="1903" t="str">
        <f t="shared" si="258"/>
        <v/>
      </c>
      <c r="JT41" s="1903" t="str">
        <f t="shared" si="259"/>
        <v/>
      </c>
      <c r="JU41" s="1903" t="str">
        <f t="shared" si="260"/>
        <v/>
      </c>
      <c r="JV41" s="1903" t="str">
        <f t="shared" si="261"/>
        <v/>
      </c>
      <c r="JW41" s="1903" t="str">
        <f t="shared" si="262"/>
        <v/>
      </c>
      <c r="JX41" s="1903" t="str">
        <f t="shared" si="263"/>
        <v/>
      </c>
      <c r="JY41" s="1903" t="str">
        <f t="shared" si="264"/>
        <v/>
      </c>
      <c r="JZ41" s="1903" t="str">
        <f t="shared" si="265"/>
        <v/>
      </c>
      <c r="KA41" s="1903" t="str">
        <f t="shared" si="266"/>
        <v/>
      </c>
      <c r="KB41" s="1903" t="str">
        <f t="shared" si="267"/>
        <v/>
      </c>
      <c r="KC41" s="1903" t="str">
        <f t="shared" si="268"/>
        <v/>
      </c>
      <c r="KD41" s="1903" t="str">
        <f t="shared" si="269"/>
        <v/>
      </c>
      <c r="KE41" s="1903" t="str">
        <f t="shared" si="270"/>
        <v/>
      </c>
      <c r="KF41" s="1903" t="str">
        <f t="shared" si="271"/>
        <v/>
      </c>
      <c r="KG41" s="1903" t="str">
        <f t="shared" si="272"/>
        <v/>
      </c>
      <c r="KH41" s="1903" t="str">
        <f t="shared" si="273"/>
        <v/>
      </c>
      <c r="KI41" s="1903" t="str">
        <f t="shared" si="274"/>
        <v/>
      </c>
      <c r="KJ41" s="1903" t="str">
        <f t="shared" si="275"/>
        <v/>
      </c>
      <c r="KK41" s="1903" t="str">
        <f t="shared" si="276"/>
        <v/>
      </c>
      <c r="KL41" s="1903" t="str">
        <f t="shared" si="277"/>
        <v/>
      </c>
      <c r="KM41" s="1903" t="str">
        <f t="shared" si="278"/>
        <v/>
      </c>
      <c r="KN41" s="1903" t="str">
        <f t="shared" si="279"/>
        <v/>
      </c>
      <c r="KO41" s="1903" t="str">
        <f t="shared" si="280"/>
        <v/>
      </c>
      <c r="KP41" s="1903" t="str">
        <f t="shared" si="281"/>
        <v/>
      </c>
      <c r="KQ41" s="1903" t="str">
        <f t="shared" si="282"/>
        <v/>
      </c>
      <c r="KR41" s="1903" t="str">
        <f t="shared" si="283"/>
        <v/>
      </c>
      <c r="KS41" s="1903" t="str">
        <f t="shared" si="284"/>
        <v/>
      </c>
      <c r="KT41" s="1903" t="str">
        <f t="shared" si="285"/>
        <v/>
      </c>
      <c r="KU41" s="1903" t="str">
        <f t="shared" si="286"/>
        <v/>
      </c>
      <c r="KV41" s="1903" t="str">
        <f t="shared" si="287"/>
        <v/>
      </c>
      <c r="KW41" s="1903" t="str">
        <f t="shared" si="288"/>
        <v/>
      </c>
      <c r="KX41" s="1903" t="str">
        <f t="shared" si="289"/>
        <v/>
      </c>
      <c r="KY41" s="1903" t="str">
        <f t="shared" si="290"/>
        <v/>
      </c>
      <c r="KZ41" s="1903" t="str">
        <f t="shared" si="291"/>
        <v/>
      </c>
      <c r="LA41" s="1903" t="str">
        <f t="shared" si="292"/>
        <v/>
      </c>
      <c r="LB41" s="1903" t="str">
        <f t="shared" si="293"/>
        <v/>
      </c>
      <c r="LC41" s="1903" t="str">
        <f t="shared" si="294"/>
        <v/>
      </c>
      <c r="LD41" s="1903" t="str">
        <f t="shared" si="295"/>
        <v/>
      </c>
      <c r="LE41" s="1903" t="str">
        <f t="shared" si="296"/>
        <v/>
      </c>
      <c r="LF41" s="1903" t="str">
        <f t="shared" si="297"/>
        <v/>
      </c>
      <c r="LG41" s="1892" t="str">
        <f t="shared" si="298"/>
        <v/>
      </c>
      <c r="LH41" s="1892" t="str">
        <f t="shared" si="299"/>
        <v/>
      </c>
      <c r="LI41" s="1892" t="str">
        <f t="shared" si="300"/>
        <v/>
      </c>
      <c r="LJ41" s="1892" t="str">
        <f t="shared" si="301"/>
        <v/>
      </c>
      <c r="LK41" s="1892"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50">
        <f t="shared" si="323"/>
        <v>0</v>
      </c>
      <c r="MG41" s="1750">
        <f t="shared" si="324"/>
        <v>0</v>
      </c>
      <c r="MH41" s="1750">
        <f t="shared" si="325"/>
        <v>0</v>
      </c>
      <c r="MI41" s="1750">
        <f t="shared" si="326"/>
        <v>0</v>
      </c>
      <c r="MJ41" s="1750">
        <f t="shared" si="327"/>
        <v>0</v>
      </c>
      <c r="MK41" s="1750">
        <f t="shared" si="333"/>
        <v>0</v>
      </c>
      <c r="ML41" s="1750">
        <f t="shared" si="334"/>
        <v>0</v>
      </c>
      <c r="MM41" s="1750">
        <f t="shared" si="335"/>
        <v>0</v>
      </c>
      <c r="MN41" s="1750">
        <f t="shared" si="336"/>
        <v>0</v>
      </c>
      <c r="MO41" s="1750">
        <f t="shared" si="337"/>
        <v>0</v>
      </c>
      <c r="MP41" s="1750">
        <f t="shared" si="328"/>
        <v>0</v>
      </c>
      <c r="MQ41" s="1750">
        <f t="shared" si="329"/>
        <v>0</v>
      </c>
      <c r="MR41" s="1750">
        <f t="shared" si="330"/>
        <v>0</v>
      </c>
      <c r="MS41" s="1750">
        <f t="shared" si="331"/>
        <v>0</v>
      </c>
      <c r="MT41" s="1750">
        <f t="shared" si="332"/>
        <v>0</v>
      </c>
      <c r="NP41" s="1721" t="s">
        <v>6444</v>
      </c>
    </row>
    <row r="42" spans="1:380" ht="13.9" customHeight="1">
      <c r="A42" s="86" t="str">
        <f t="shared" si="0"/>
        <v/>
      </c>
      <c r="B42" s="1121"/>
      <c r="C42" s="132"/>
      <c r="D42" s="1753"/>
      <c r="E42" s="133"/>
      <c r="F42" s="133"/>
      <c r="G42" s="133"/>
      <c r="H42" s="133"/>
      <c r="I42" s="133"/>
      <c r="J42" s="756">
        <f>IF(C42="",0,HLOOKUP(C42,'Part IV-Utility Allowances'!$I$11:$M$22,12))</f>
        <v>0</v>
      </c>
      <c r="K42" s="644"/>
      <c r="L42" s="461">
        <f t="shared" si="1"/>
        <v>0</v>
      </c>
      <c r="M42" s="461">
        <f t="shared" si="2"/>
        <v>0</v>
      </c>
      <c r="N42" s="695"/>
      <c r="O42" s="1685"/>
      <c r="P42" s="695"/>
      <c r="Q42" s="134"/>
      <c r="R42" s="739"/>
      <c r="S42" s="740"/>
      <c r="T42" s="3087"/>
      <c r="U42" s="3088"/>
      <c r="V42" s="3088"/>
      <c r="W42" s="3089"/>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903" t="str">
        <f t="shared" si="213"/>
        <v/>
      </c>
      <c r="IA42" s="1903" t="str">
        <f t="shared" si="214"/>
        <v/>
      </c>
      <c r="IB42" s="1903" t="str">
        <f t="shared" si="215"/>
        <v/>
      </c>
      <c r="IC42" s="1903" t="str">
        <f t="shared" si="216"/>
        <v/>
      </c>
      <c r="ID42" s="1903" t="str">
        <f t="shared" si="217"/>
        <v/>
      </c>
      <c r="IE42" s="1903" t="str">
        <f t="shared" si="218"/>
        <v/>
      </c>
      <c r="IF42" s="1903" t="str">
        <f t="shared" si="219"/>
        <v/>
      </c>
      <c r="IG42" s="1903" t="str">
        <f t="shared" si="220"/>
        <v/>
      </c>
      <c r="IH42" s="1903" t="str">
        <f t="shared" si="221"/>
        <v/>
      </c>
      <c r="II42" s="1903" t="str">
        <f t="shared" si="222"/>
        <v/>
      </c>
      <c r="IJ42" s="1903" t="str">
        <f t="shared" si="223"/>
        <v/>
      </c>
      <c r="IK42" s="1903" t="str">
        <f t="shared" si="224"/>
        <v/>
      </c>
      <c r="IL42" s="1903" t="str">
        <f t="shared" si="225"/>
        <v/>
      </c>
      <c r="IM42" s="1903" t="str">
        <f t="shared" si="226"/>
        <v/>
      </c>
      <c r="IN42" s="1903" t="str">
        <f t="shared" si="227"/>
        <v/>
      </c>
      <c r="IO42" s="1903" t="str">
        <f t="shared" si="228"/>
        <v/>
      </c>
      <c r="IP42" s="1903" t="str">
        <f t="shared" si="229"/>
        <v/>
      </c>
      <c r="IQ42" s="1903" t="str">
        <f t="shared" si="230"/>
        <v/>
      </c>
      <c r="IR42" s="1903" t="str">
        <f t="shared" si="231"/>
        <v/>
      </c>
      <c r="IS42" s="1903" t="str">
        <f t="shared" si="232"/>
        <v/>
      </c>
      <c r="IT42" s="1903" t="str">
        <f t="shared" si="233"/>
        <v/>
      </c>
      <c r="IU42" s="1903" t="str">
        <f t="shared" si="234"/>
        <v/>
      </c>
      <c r="IV42" s="1903" t="str">
        <f t="shared" si="235"/>
        <v/>
      </c>
      <c r="IW42" s="1903" t="str">
        <f t="shared" si="236"/>
        <v/>
      </c>
      <c r="IX42" s="1903" t="str">
        <f t="shared" si="237"/>
        <v/>
      </c>
      <c r="IY42" s="1903" t="str">
        <f t="shared" si="238"/>
        <v/>
      </c>
      <c r="IZ42" s="1903" t="str">
        <f t="shared" si="239"/>
        <v/>
      </c>
      <c r="JA42" s="1903" t="str">
        <f t="shared" si="240"/>
        <v/>
      </c>
      <c r="JB42" s="1903" t="str">
        <f t="shared" si="241"/>
        <v/>
      </c>
      <c r="JC42" s="1903" t="str">
        <f t="shared" si="242"/>
        <v/>
      </c>
      <c r="JD42" s="1903" t="str">
        <f t="shared" si="243"/>
        <v/>
      </c>
      <c r="JE42" s="1903" t="str">
        <f t="shared" si="244"/>
        <v/>
      </c>
      <c r="JF42" s="1903" t="str">
        <f t="shared" si="245"/>
        <v/>
      </c>
      <c r="JG42" s="1903" t="str">
        <f t="shared" si="246"/>
        <v/>
      </c>
      <c r="JH42" s="1903" t="str">
        <f t="shared" si="247"/>
        <v/>
      </c>
      <c r="JI42" s="1903" t="str">
        <f t="shared" si="248"/>
        <v/>
      </c>
      <c r="JJ42" s="1903" t="str">
        <f t="shared" si="249"/>
        <v/>
      </c>
      <c r="JK42" s="1903" t="str">
        <f t="shared" si="250"/>
        <v/>
      </c>
      <c r="JL42" s="1903" t="str">
        <f t="shared" si="251"/>
        <v/>
      </c>
      <c r="JM42" s="1903" t="str">
        <f t="shared" si="252"/>
        <v/>
      </c>
      <c r="JN42" s="1903" t="str">
        <f t="shared" si="253"/>
        <v/>
      </c>
      <c r="JO42" s="1903" t="str">
        <f t="shared" si="254"/>
        <v/>
      </c>
      <c r="JP42" s="1903" t="str">
        <f t="shared" si="255"/>
        <v/>
      </c>
      <c r="JQ42" s="1903" t="str">
        <f t="shared" si="256"/>
        <v/>
      </c>
      <c r="JR42" s="1903" t="str">
        <f t="shared" si="257"/>
        <v/>
      </c>
      <c r="JS42" s="1903" t="str">
        <f t="shared" si="258"/>
        <v/>
      </c>
      <c r="JT42" s="1903" t="str">
        <f t="shared" si="259"/>
        <v/>
      </c>
      <c r="JU42" s="1903" t="str">
        <f t="shared" si="260"/>
        <v/>
      </c>
      <c r="JV42" s="1903" t="str">
        <f t="shared" si="261"/>
        <v/>
      </c>
      <c r="JW42" s="1903" t="str">
        <f t="shared" si="262"/>
        <v/>
      </c>
      <c r="JX42" s="1903" t="str">
        <f t="shared" si="263"/>
        <v/>
      </c>
      <c r="JY42" s="1903" t="str">
        <f t="shared" si="264"/>
        <v/>
      </c>
      <c r="JZ42" s="1903" t="str">
        <f t="shared" si="265"/>
        <v/>
      </c>
      <c r="KA42" s="1903" t="str">
        <f t="shared" si="266"/>
        <v/>
      </c>
      <c r="KB42" s="1903" t="str">
        <f t="shared" si="267"/>
        <v/>
      </c>
      <c r="KC42" s="1903" t="str">
        <f t="shared" si="268"/>
        <v/>
      </c>
      <c r="KD42" s="1903" t="str">
        <f t="shared" si="269"/>
        <v/>
      </c>
      <c r="KE42" s="1903" t="str">
        <f t="shared" si="270"/>
        <v/>
      </c>
      <c r="KF42" s="1903" t="str">
        <f t="shared" si="271"/>
        <v/>
      </c>
      <c r="KG42" s="1903" t="str">
        <f t="shared" si="272"/>
        <v/>
      </c>
      <c r="KH42" s="1903" t="str">
        <f t="shared" si="273"/>
        <v/>
      </c>
      <c r="KI42" s="1903" t="str">
        <f t="shared" si="274"/>
        <v/>
      </c>
      <c r="KJ42" s="1903" t="str">
        <f t="shared" si="275"/>
        <v/>
      </c>
      <c r="KK42" s="1903" t="str">
        <f t="shared" si="276"/>
        <v/>
      </c>
      <c r="KL42" s="1903" t="str">
        <f t="shared" si="277"/>
        <v/>
      </c>
      <c r="KM42" s="1903" t="str">
        <f t="shared" si="278"/>
        <v/>
      </c>
      <c r="KN42" s="1903" t="str">
        <f t="shared" si="279"/>
        <v/>
      </c>
      <c r="KO42" s="1903" t="str">
        <f t="shared" si="280"/>
        <v/>
      </c>
      <c r="KP42" s="1903" t="str">
        <f t="shared" si="281"/>
        <v/>
      </c>
      <c r="KQ42" s="1903" t="str">
        <f t="shared" si="282"/>
        <v/>
      </c>
      <c r="KR42" s="1903" t="str">
        <f t="shared" si="283"/>
        <v/>
      </c>
      <c r="KS42" s="1903" t="str">
        <f t="shared" si="284"/>
        <v/>
      </c>
      <c r="KT42" s="1903" t="str">
        <f t="shared" si="285"/>
        <v/>
      </c>
      <c r="KU42" s="1903" t="str">
        <f t="shared" si="286"/>
        <v/>
      </c>
      <c r="KV42" s="1903" t="str">
        <f t="shared" si="287"/>
        <v/>
      </c>
      <c r="KW42" s="1903" t="str">
        <f t="shared" si="288"/>
        <v/>
      </c>
      <c r="KX42" s="1903" t="str">
        <f t="shared" si="289"/>
        <v/>
      </c>
      <c r="KY42" s="1903" t="str">
        <f t="shared" si="290"/>
        <v/>
      </c>
      <c r="KZ42" s="1903" t="str">
        <f t="shared" si="291"/>
        <v/>
      </c>
      <c r="LA42" s="1903" t="str">
        <f t="shared" si="292"/>
        <v/>
      </c>
      <c r="LB42" s="1903" t="str">
        <f t="shared" si="293"/>
        <v/>
      </c>
      <c r="LC42" s="1903" t="str">
        <f t="shared" si="294"/>
        <v/>
      </c>
      <c r="LD42" s="1903" t="str">
        <f t="shared" si="295"/>
        <v/>
      </c>
      <c r="LE42" s="1903" t="str">
        <f t="shared" si="296"/>
        <v/>
      </c>
      <c r="LF42" s="1903" t="str">
        <f t="shared" si="297"/>
        <v/>
      </c>
      <c r="LG42" s="1892" t="str">
        <f t="shared" si="298"/>
        <v/>
      </c>
      <c r="LH42" s="1892" t="str">
        <f t="shared" si="299"/>
        <v/>
      </c>
      <c r="LI42" s="1892" t="str">
        <f t="shared" si="300"/>
        <v/>
      </c>
      <c r="LJ42" s="1892" t="str">
        <f t="shared" si="301"/>
        <v/>
      </c>
      <c r="LK42" s="1892"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50">
        <f t="shared" si="323"/>
        <v>0</v>
      </c>
      <c r="MG42" s="1750">
        <f t="shared" si="324"/>
        <v>0</v>
      </c>
      <c r="MH42" s="1750">
        <f t="shared" si="325"/>
        <v>0</v>
      </c>
      <c r="MI42" s="1750">
        <f t="shared" si="326"/>
        <v>0</v>
      </c>
      <c r="MJ42" s="1750">
        <f t="shared" si="327"/>
        <v>0</v>
      </c>
      <c r="MK42" s="1750">
        <f t="shared" si="333"/>
        <v>0</v>
      </c>
      <c r="ML42" s="1750">
        <f t="shared" si="334"/>
        <v>0</v>
      </c>
      <c r="MM42" s="1750">
        <f t="shared" si="335"/>
        <v>0</v>
      </c>
      <c r="MN42" s="1750">
        <f t="shared" si="336"/>
        <v>0</v>
      </c>
      <c r="MO42" s="1750">
        <f t="shared" si="337"/>
        <v>0</v>
      </c>
      <c r="MP42" s="1750">
        <f t="shared" si="328"/>
        <v>0</v>
      </c>
      <c r="MQ42" s="1750">
        <f t="shared" si="329"/>
        <v>0</v>
      </c>
      <c r="MR42" s="1750">
        <f t="shared" si="330"/>
        <v>0</v>
      </c>
      <c r="MS42" s="1750">
        <f t="shared" si="331"/>
        <v>0</v>
      </c>
      <c r="MT42" s="1750">
        <f t="shared" si="332"/>
        <v>0</v>
      </c>
      <c r="NP42" s="1721" t="s">
        <v>6445</v>
      </c>
    </row>
    <row r="43" spans="1:380" ht="13.9" customHeight="1">
      <c r="A43" s="86" t="str">
        <f t="shared" si="0"/>
        <v/>
      </c>
      <c r="B43" s="1121"/>
      <c r="C43" s="132"/>
      <c r="D43" s="1753"/>
      <c r="E43" s="133"/>
      <c r="F43" s="133"/>
      <c r="G43" s="133"/>
      <c r="H43" s="133"/>
      <c r="I43" s="133"/>
      <c r="J43" s="756">
        <f>IF(C43="",0,HLOOKUP(C43,'Part IV-Utility Allowances'!$I$11:$M$22,12))</f>
        <v>0</v>
      </c>
      <c r="K43" s="644"/>
      <c r="L43" s="461">
        <f t="shared" si="1"/>
        <v>0</v>
      </c>
      <c r="M43" s="461">
        <f t="shared" si="2"/>
        <v>0</v>
      </c>
      <c r="N43" s="695"/>
      <c r="O43" s="1685"/>
      <c r="P43" s="695"/>
      <c r="Q43" s="134"/>
      <c r="R43" s="739"/>
      <c r="S43" s="740"/>
      <c r="T43" s="3087"/>
      <c r="U43" s="3088"/>
      <c r="V43" s="3088"/>
      <c r="W43" s="3089"/>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903" t="str">
        <f t="shared" si="213"/>
        <v/>
      </c>
      <c r="IA43" s="1903" t="str">
        <f t="shared" si="214"/>
        <v/>
      </c>
      <c r="IB43" s="1903" t="str">
        <f t="shared" si="215"/>
        <v/>
      </c>
      <c r="IC43" s="1903" t="str">
        <f t="shared" si="216"/>
        <v/>
      </c>
      <c r="ID43" s="1903" t="str">
        <f t="shared" si="217"/>
        <v/>
      </c>
      <c r="IE43" s="1903" t="str">
        <f t="shared" si="218"/>
        <v/>
      </c>
      <c r="IF43" s="1903" t="str">
        <f t="shared" si="219"/>
        <v/>
      </c>
      <c r="IG43" s="1903" t="str">
        <f t="shared" si="220"/>
        <v/>
      </c>
      <c r="IH43" s="1903" t="str">
        <f t="shared" si="221"/>
        <v/>
      </c>
      <c r="II43" s="1903" t="str">
        <f t="shared" si="222"/>
        <v/>
      </c>
      <c r="IJ43" s="1903" t="str">
        <f t="shared" si="223"/>
        <v/>
      </c>
      <c r="IK43" s="1903" t="str">
        <f t="shared" si="224"/>
        <v/>
      </c>
      <c r="IL43" s="1903" t="str">
        <f t="shared" si="225"/>
        <v/>
      </c>
      <c r="IM43" s="1903" t="str">
        <f t="shared" si="226"/>
        <v/>
      </c>
      <c r="IN43" s="1903" t="str">
        <f t="shared" si="227"/>
        <v/>
      </c>
      <c r="IO43" s="1903" t="str">
        <f t="shared" si="228"/>
        <v/>
      </c>
      <c r="IP43" s="1903" t="str">
        <f t="shared" si="229"/>
        <v/>
      </c>
      <c r="IQ43" s="1903" t="str">
        <f t="shared" si="230"/>
        <v/>
      </c>
      <c r="IR43" s="1903" t="str">
        <f t="shared" si="231"/>
        <v/>
      </c>
      <c r="IS43" s="1903" t="str">
        <f t="shared" si="232"/>
        <v/>
      </c>
      <c r="IT43" s="1903" t="str">
        <f t="shared" si="233"/>
        <v/>
      </c>
      <c r="IU43" s="1903" t="str">
        <f t="shared" si="234"/>
        <v/>
      </c>
      <c r="IV43" s="1903" t="str">
        <f t="shared" si="235"/>
        <v/>
      </c>
      <c r="IW43" s="1903" t="str">
        <f t="shared" si="236"/>
        <v/>
      </c>
      <c r="IX43" s="1903" t="str">
        <f t="shared" si="237"/>
        <v/>
      </c>
      <c r="IY43" s="1903" t="str">
        <f t="shared" si="238"/>
        <v/>
      </c>
      <c r="IZ43" s="1903" t="str">
        <f t="shared" si="239"/>
        <v/>
      </c>
      <c r="JA43" s="1903" t="str">
        <f t="shared" si="240"/>
        <v/>
      </c>
      <c r="JB43" s="1903" t="str">
        <f t="shared" si="241"/>
        <v/>
      </c>
      <c r="JC43" s="1903" t="str">
        <f t="shared" si="242"/>
        <v/>
      </c>
      <c r="JD43" s="1903" t="str">
        <f t="shared" si="243"/>
        <v/>
      </c>
      <c r="JE43" s="1903" t="str">
        <f t="shared" si="244"/>
        <v/>
      </c>
      <c r="JF43" s="1903" t="str">
        <f t="shared" si="245"/>
        <v/>
      </c>
      <c r="JG43" s="1903" t="str">
        <f t="shared" si="246"/>
        <v/>
      </c>
      <c r="JH43" s="1903" t="str">
        <f t="shared" si="247"/>
        <v/>
      </c>
      <c r="JI43" s="1903" t="str">
        <f t="shared" si="248"/>
        <v/>
      </c>
      <c r="JJ43" s="1903" t="str">
        <f t="shared" si="249"/>
        <v/>
      </c>
      <c r="JK43" s="1903" t="str">
        <f t="shared" si="250"/>
        <v/>
      </c>
      <c r="JL43" s="1903" t="str">
        <f t="shared" si="251"/>
        <v/>
      </c>
      <c r="JM43" s="1903" t="str">
        <f t="shared" si="252"/>
        <v/>
      </c>
      <c r="JN43" s="1903" t="str">
        <f t="shared" si="253"/>
        <v/>
      </c>
      <c r="JO43" s="1903" t="str">
        <f t="shared" si="254"/>
        <v/>
      </c>
      <c r="JP43" s="1903" t="str">
        <f t="shared" si="255"/>
        <v/>
      </c>
      <c r="JQ43" s="1903" t="str">
        <f t="shared" si="256"/>
        <v/>
      </c>
      <c r="JR43" s="1903" t="str">
        <f t="shared" si="257"/>
        <v/>
      </c>
      <c r="JS43" s="1903" t="str">
        <f t="shared" si="258"/>
        <v/>
      </c>
      <c r="JT43" s="1903" t="str">
        <f t="shared" si="259"/>
        <v/>
      </c>
      <c r="JU43" s="1903" t="str">
        <f t="shared" si="260"/>
        <v/>
      </c>
      <c r="JV43" s="1903" t="str">
        <f t="shared" si="261"/>
        <v/>
      </c>
      <c r="JW43" s="1903" t="str">
        <f t="shared" si="262"/>
        <v/>
      </c>
      <c r="JX43" s="1903" t="str">
        <f t="shared" si="263"/>
        <v/>
      </c>
      <c r="JY43" s="1903" t="str">
        <f t="shared" si="264"/>
        <v/>
      </c>
      <c r="JZ43" s="1903" t="str">
        <f t="shared" si="265"/>
        <v/>
      </c>
      <c r="KA43" s="1903" t="str">
        <f t="shared" si="266"/>
        <v/>
      </c>
      <c r="KB43" s="1903" t="str">
        <f t="shared" si="267"/>
        <v/>
      </c>
      <c r="KC43" s="1903" t="str">
        <f t="shared" si="268"/>
        <v/>
      </c>
      <c r="KD43" s="1903" t="str">
        <f t="shared" si="269"/>
        <v/>
      </c>
      <c r="KE43" s="1903" t="str">
        <f t="shared" si="270"/>
        <v/>
      </c>
      <c r="KF43" s="1903" t="str">
        <f t="shared" si="271"/>
        <v/>
      </c>
      <c r="KG43" s="1903" t="str">
        <f t="shared" si="272"/>
        <v/>
      </c>
      <c r="KH43" s="1903" t="str">
        <f t="shared" si="273"/>
        <v/>
      </c>
      <c r="KI43" s="1903" t="str">
        <f t="shared" si="274"/>
        <v/>
      </c>
      <c r="KJ43" s="1903" t="str">
        <f t="shared" si="275"/>
        <v/>
      </c>
      <c r="KK43" s="1903" t="str">
        <f t="shared" si="276"/>
        <v/>
      </c>
      <c r="KL43" s="1903" t="str">
        <f t="shared" si="277"/>
        <v/>
      </c>
      <c r="KM43" s="1903" t="str">
        <f t="shared" si="278"/>
        <v/>
      </c>
      <c r="KN43" s="1903" t="str">
        <f t="shared" si="279"/>
        <v/>
      </c>
      <c r="KO43" s="1903" t="str">
        <f t="shared" si="280"/>
        <v/>
      </c>
      <c r="KP43" s="1903" t="str">
        <f t="shared" si="281"/>
        <v/>
      </c>
      <c r="KQ43" s="1903" t="str">
        <f t="shared" si="282"/>
        <v/>
      </c>
      <c r="KR43" s="1903" t="str">
        <f t="shared" si="283"/>
        <v/>
      </c>
      <c r="KS43" s="1903" t="str">
        <f t="shared" si="284"/>
        <v/>
      </c>
      <c r="KT43" s="1903" t="str">
        <f t="shared" si="285"/>
        <v/>
      </c>
      <c r="KU43" s="1903" t="str">
        <f t="shared" si="286"/>
        <v/>
      </c>
      <c r="KV43" s="1903" t="str">
        <f t="shared" si="287"/>
        <v/>
      </c>
      <c r="KW43" s="1903" t="str">
        <f t="shared" si="288"/>
        <v/>
      </c>
      <c r="KX43" s="1903" t="str">
        <f t="shared" si="289"/>
        <v/>
      </c>
      <c r="KY43" s="1903" t="str">
        <f t="shared" si="290"/>
        <v/>
      </c>
      <c r="KZ43" s="1903" t="str">
        <f t="shared" si="291"/>
        <v/>
      </c>
      <c r="LA43" s="1903" t="str">
        <f t="shared" si="292"/>
        <v/>
      </c>
      <c r="LB43" s="1903" t="str">
        <f t="shared" si="293"/>
        <v/>
      </c>
      <c r="LC43" s="1903" t="str">
        <f t="shared" si="294"/>
        <v/>
      </c>
      <c r="LD43" s="1903" t="str">
        <f t="shared" si="295"/>
        <v/>
      </c>
      <c r="LE43" s="1903" t="str">
        <f t="shared" si="296"/>
        <v/>
      </c>
      <c r="LF43" s="1903" t="str">
        <f t="shared" si="297"/>
        <v/>
      </c>
      <c r="LG43" s="1892" t="str">
        <f t="shared" si="298"/>
        <v/>
      </c>
      <c r="LH43" s="1892" t="str">
        <f t="shared" si="299"/>
        <v/>
      </c>
      <c r="LI43" s="1892" t="str">
        <f t="shared" si="300"/>
        <v/>
      </c>
      <c r="LJ43" s="1892" t="str">
        <f t="shared" si="301"/>
        <v/>
      </c>
      <c r="LK43" s="1892"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50">
        <f t="shared" si="323"/>
        <v>0</v>
      </c>
      <c r="MG43" s="1750">
        <f t="shared" si="324"/>
        <v>0</v>
      </c>
      <c r="MH43" s="1750">
        <f t="shared" si="325"/>
        <v>0</v>
      </c>
      <c r="MI43" s="1750">
        <f t="shared" si="326"/>
        <v>0</v>
      </c>
      <c r="MJ43" s="1750">
        <f t="shared" si="327"/>
        <v>0</v>
      </c>
      <c r="MK43" s="1750">
        <f t="shared" si="333"/>
        <v>0</v>
      </c>
      <c r="ML43" s="1750">
        <f t="shared" si="334"/>
        <v>0</v>
      </c>
      <c r="MM43" s="1750">
        <f t="shared" si="335"/>
        <v>0</v>
      </c>
      <c r="MN43" s="1750">
        <f t="shared" si="336"/>
        <v>0</v>
      </c>
      <c r="MO43" s="1750">
        <f t="shared" si="337"/>
        <v>0</v>
      </c>
      <c r="MP43" s="1750">
        <f t="shared" si="328"/>
        <v>0</v>
      </c>
      <c r="MQ43" s="1750">
        <f t="shared" si="329"/>
        <v>0</v>
      </c>
      <c r="MR43" s="1750">
        <f t="shared" si="330"/>
        <v>0</v>
      </c>
      <c r="MS43" s="1750">
        <f t="shared" si="331"/>
        <v>0</v>
      </c>
      <c r="MT43" s="1750">
        <f t="shared" si="332"/>
        <v>0</v>
      </c>
      <c r="NP43" s="1721" t="s">
        <v>6446</v>
      </c>
    </row>
    <row r="44" spans="1:380" ht="13.9" customHeight="1">
      <c r="A44" s="86" t="str">
        <f t="shared" si="0"/>
        <v/>
      </c>
      <c r="B44" s="1121"/>
      <c r="C44" s="132"/>
      <c r="D44" s="1753"/>
      <c r="E44" s="133"/>
      <c r="F44" s="133"/>
      <c r="G44" s="133"/>
      <c r="H44" s="133"/>
      <c r="I44" s="133"/>
      <c r="J44" s="756">
        <f>IF(C44="",0,HLOOKUP(C44,'Part IV-Utility Allowances'!$I$11:$M$22,12))</f>
        <v>0</v>
      </c>
      <c r="K44" s="644"/>
      <c r="L44" s="461">
        <f t="shared" si="1"/>
        <v>0</v>
      </c>
      <c r="M44" s="461">
        <f t="shared" si="2"/>
        <v>0</v>
      </c>
      <c r="N44" s="695"/>
      <c r="O44" s="1685"/>
      <c r="P44" s="695"/>
      <c r="Q44" s="134"/>
      <c r="R44" s="739"/>
      <c r="S44" s="740"/>
      <c r="T44" s="3087"/>
      <c r="U44" s="3088"/>
      <c r="V44" s="3088"/>
      <c r="W44" s="3089"/>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903" t="str">
        <f t="shared" si="213"/>
        <v/>
      </c>
      <c r="IA44" s="1903" t="str">
        <f t="shared" si="214"/>
        <v/>
      </c>
      <c r="IB44" s="1903" t="str">
        <f t="shared" si="215"/>
        <v/>
      </c>
      <c r="IC44" s="1903" t="str">
        <f t="shared" si="216"/>
        <v/>
      </c>
      <c r="ID44" s="1903" t="str">
        <f t="shared" si="217"/>
        <v/>
      </c>
      <c r="IE44" s="1903" t="str">
        <f t="shared" si="218"/>
        <v/>
      </c>
      <c r="IF44" s="1903" t="str">
        <f t="shared" si="219"/>
        <v/>
      </c>
      <c r="IG44" s="1903" t="str">
        <f t="shared" si="220"/>
        <v/>
      </c>
      <c r="IH44" s="1903" t="str">
        <f t="shared" si="221"/>
        <v/>
      </c>
      <c r="II44" s="1903" t="str">
        <f t="shared" si="222"/>
        <v/>
      </c>
      <c r="IJ44" s="1903" t="str">
        <f t="shared" si="223"/>
        <v/>
      </c>
      <c r="IK44" s="1903" t="str">
        <f t="shared" si="224"/>
        <v/>
      </c>
      <c r="IL44" s="1903" t="str">
        <f t="shared" si="225"/>
        <v/>
      </c>
      <c r="IM44" s="1903" t="str">
        <f t="shared" si="226"/>
        <v/>
      </c>
      <c r="IN44" s="1903" t="str">
        <f t="shared" si="227"/>
        <v/>
      </c>
      <c r="IO44" s="1903" t="str">
        <f t="shared" si="228"/>
        <v/>
      </c>
      <c r="IP44" s="1903" t="str">
        <f t="shared" si="229"/>
        <v/>
      </c>
      <c r="IQ44" s="1903" t="str">
        <f t="shared" si="230"/>
        <v/>
      </c>
      <c r="IR44" s="1903" t="str">
        <f t="shared" si="231"/>
        <v/>
      </c>
      <c r="IS44" s="1903" t="str">
        <f t="shared" si="232"/>
        <v/>
      </c>
      <c r="IT44" s="1903" t="str">
        <f t="shared" si="233"/>
        <v/>
      </c>
      <c r="IU44" s="1903" t="str">
        <f t="shared" si="234"/>
        <v/>
      </c>
      <c r="IV44" s="1903" t="str">
        <f t="shared" si="235"/>
        <v/>
      </c>
      <c r="IW44" s="1903" t="str">
        <f t="shared" si="236"/>
        <v/>
      </c>
      <c r="IX44" s="1903" t="str">
        <f t="shared" si="237"/>
        <v/>
      </c>
      <c r="IY44" s="1903" t="str">
        <f t="shared" si="238"/>
        <v/>
      </c>
      <c r="IZ44" s="1903" t="str">
        <f t="shared" si="239"/>
        <v/>
      </c>
      <c r="JA44" s="1903" t="str">
        <f t="shared" si="240"/>
        <v/>
      </c>
      <c r="JB44" s="1903" t="str">
        <f t="shared" si="241"/>
        <v/>
      </c>
      <c r="JC44" s="1903" t="str">
        <f t="shared" si="242"/>
        <v/>
      </c>
      <c r="JD44" s="1903" t="str">
        <f t="shared" si="243"/>
        <v/>
      </c>
      <c r="JE44" s="1903" t="str">
        <f t="shared" si="244"/>
        <v/>
      </c>
      <c r="JF44" s="1903" t="str">
        <f t="shared" si="245"/>
        <v/>
      </c>
      <c r="JG44" s="1903" t="str">
        <f t="shared" si="246"/>
        <v/>
      </c>
      <c r="JH44" s="1903" t="str">
        <f t="shared" si="247"/>
        <v/>
      </c>
      <c r="JI44" s="1903" t="str">
        <f t="shared" si="248"/>
        <v/>
      </c>
      <c r="JJ44" s="1903" t="str">
        <f t="shared" si="249"/>
        <v/>
      </c>
      <c r="JK44" s="1903" t="str">
        <f t="shared" si="250"/>
        <v/>
      </c>
      <c r="JL44" s="1903" t="str">
        <f t="shared" si="251"/>
        <v/>
      </c>
      <c r="JM44" s="1903" t="str">
        <f t="shared" si="252"/>
        <v/>
      </c>
      <c r="JN44" s="1903" t="str">
        <f t="shared" si="253"/>
        <v/>
      </c>
      <c r="JO44" s="1903" t="str">
        <f t="shared" si="254"/>
        <v/>
      </c>
      <c r="JP44" s="1903" t="str">
        <f t="shared" si="255"/>
        <v/>
      </c>
      <c r="JQ44" s="1903" t="str">
        <f t="shared" si="256"/>
        <v/>
      </c>
      <c r="JR44" s="1903" t="str">
        <f t="shared" si="257"/>
        <v/>
      </c>
      <c r="JS44" s="1903" t="str">
        <f t="shared" si="258"/>
        <v/>
      </c>
      <c r="JT44" s="1903" t="str">
        <f t="shared" si="259"/>
        <v/>
      </c>
      <c r="JU44" s="1903" t="str">
        <f t="shared" si="260"/>
        <v/>
      </c>
      <c r="JV44" s="1903" t="str">
        <f t="shared" si="261"/>
        <v/>
      </c>
      <c r="JW44" s="1903" t="str">
        <f t="shared" si="262"/>
        <v/>
      </c>
      <c r="JX44" s="1903" t="str">
        <f t="shared" si="263"/>
        <v/>
      </c>
      <c r="JY44" s="1903" t="str">
        <f t="shared" si="264"/>
        <v/>
      </c>
      <c r="JZ44" s="1903" t="str">
        <f t="shared" si="265"/>
        <v/>
      </c>
      <c r="KA44" s="1903" t="str">
        <f t="shared" si="266"/>
        <v/>
      </c>
      <c r="KB44" s="1903" t="str">
        <f t="shared" si="267"/>
        <v/>
      </c>
      <c r="KC44" s="1903" t="str">
        <f t="shared" si="268"/>
        <v/>
      </c>
      <c r="KD44" s="1903" t="str">
        <f t="shared" si="269"/>
        <v/>
      </c>
      <c r="KE44" s="1903" t="str">
        <f t="shared" si="270"/>
        <v/>
      </c>
      <c r="KF44" s="1903" t="str">
        <f t="shared" si="271"/>
        <v/>
      </c>
      <c r="KG44" s="1903" t="str">
        <f t="shared" si="272"/>
        <v/>
      </c>
      <c r="KH44" s="1903" t="str">
        <f t="shared" si="273"/>
        <v/>
      </c>
      <c r="KI44" s="1903" t="str">
        <f t="shared" si="274"/>
        <v/>
      </c>
      <c r="KJ44" s="1903" t="str">
        <f t="shared" si="275"/>
        <v/>
      </c>
      <c r="KK44" s="1903" t="str">
        <f t="shared" si="276"/>
        <v/>
      </c>
      <c r="KL44" s="1903" t="str">
        <f t="shared" si="277"/>
        <v/>
      </c>
      <c r="KM44" s="1903" t="str">
        <f t="shared" si="278"/>
        <v/>
      </c>
      <c r="KN44" s="1903" t="str">
        <f t="shared" si="279"/>
        <v/>
      </c>
      <c r="KO44" s="1903" t="str">
        <f t="shared" si="280"/>
        <v/>
      </c>
      <c r="KP44" s="1903" t="str">
        <f t="shared" si="281"/>
        <v/>
      </c>
      <c r="KQ44" s="1903" t="str">
        <f t="shared" si="282"/>
        <v/>
      </c>
      <c r="KR44" s="1903" t="str">
        <f t="shared" si="283"/>
        <v/>
      </c>
      <c r="KS44" s="1903" t="str">
        <f t="shared" si="284"/>
        <v/>
      </c>
      <c r="KT44" s="1903" t="str">
        <f t="shared" si="285"/>
        <v/>
      </c>
      <c r="KU44" s="1903" t="str">
        <f t="shared" si="286"/>
        <v/>
      </c>
      <c r="KV44" s="1903" t="str">
        <f t="shared" si="287"/>
        <v/>
      </c>
      <c r="KW44" s="1903" t="str">
        <f t="shared" si="288"/>
        <v/>
      </c>
      <c r="KX44" s="1903" t="str">
        <f t="shared" si="289"/>
        <v/>
      </c>
      <c r="KY44" s="1903" t="str">
        <f t="shared" si="290"/>
        <v/>
      </c>
      <c r="KZ44" s="1903" t="str">
        <f t="shared" si="291"/>
        <v/>
      </c>
      <c r="LA44" s="1903" t="str">
        <f t="shared" si="292"/>
        <v/>
      </c>
      <c r="LB44" s="1903" t="str">
        <f t="shared" si="293"/>
        <v/>
      </c>
      <c r="LC44" s="1903" t="str">
        <f t="shared" si="294"/>
        <v/>
      </c>
      <c r="LD44" s="1903" t="str">
        <f t="shared" si="295"/>
        <v/>
      </c>
      <c r="LE44" s="1903" t="str">
        <f t="shared" si="296"/>
        <v/>
      </c>
      <c r="LF44" s="1903" t="str">
        <f t="shared" si="297"/>
        <v/>
      </c>
      <c r="LG44" s="1892" t="str">
        <f t="shared" si="298"/>
        <v/>
      </c>
      <c r="LH44" s="1892" t="str">
        <f t="shared" si="299"/>
        <v/>
      </c>
      <c r="LI44" s="1892" t="str">
        <f t="shared" si="300"/>
        <v/>
      </c>
      <c r="LJ44" s="1892" t="str">
        <f t="shared" si="301"/>
        <v/>
      </c>
      <c r="LK44" s="1892"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50">
        <f t="shared" si="323"/>
        <v>0</v>
      </c>
      <c r="MG44" s="1750">
        <f t="shared" si="324"/>
        <v>0</v>
      </c>
      <c r="MH44" s="1750">
        <f t="shared" si="325"/>
        <v>0</v>
      </c>
      <c r="MI44" s="1750">
        <f t="shared" si="326"/>
        <v>0</v>
      </c>
      <c r="MJ44" s="1750">
        <f t="shared" si="327"/>
        <v>0</v>
      </c>
      <c r="MK44" s="1750">
        <f t="shared" si="333"/>
        <v>0</v>
      </c>
      <c r="ML44" s="1750">
        <f t="shared" si="334"/>
        <v>0</v>
      </c>
      <c r="MM44" s="1750">
        <f t="shared" si="335"/>
        <v>0</v>
      </c>
      <c r="MN44" s="1750">
        <f t="shared" si="336"/>
        <v>0</v>
      </c>
      <c r="MO44" s="1750">
        <f t="shared" si="337"/>
        <v>0</v>
      </c>
      <c r="MP44" s="1750">
        <f t="shared" si="328"/>
        <v>0</v>
      </c>
      <c r="MQ44" s="1750">
        <f t="shared" si="329"/>
        <v>0</v>
      </c>
      <c r="MR44" s="1750">
        <f t="shared" si="330"/>
        <v>0</v>
      </c>
      <c r="MS44" s="1750">
        <f t="shared" si="331"/>
        <v>0</v>
      </c>
      <c r="MT44" s="1750">
        <f t="shared" si="332"/>
        <v>0</v>
      </c>
      <c r="NP44" s="1721" t="s">
        <v>6447</v>
      </c>
    </row>
    <row r="45" spans="1:380" ht="13.9" customHeight="1">
      <c r="A45" s="86" t="str">
        <f t="shared" si="0"/>
        <v/>
      </c>
      <c r="B45" s="1121"/>
      <c r="C45" s="132"/>
      <c r="D45" s="1753"/>
      <c r="E45" s="133"/>
      <c r="F45" s="133"/>
      <c r="G45" s="133"/>
      <c r="H45" s="133"/>
      <c r="I45" s="133"/>
      <c r="J45" s="756">
        <f>IF(C45="",0,HLOOKUP(C45,'Part IV-Utility Allowances'!$I$11:$M$22,12))</f>
        <v>0</v>
      </c>
      <c r="K45" s="644"/>
      <c r="L45" s="461">
        <f t="shared" si="1"/>
        <v>0</v>
      </c>
      <c r="M45" s="461">
        <f t="shared" si="2"/>
        <v>0</v>
      </c>
      <c r="N45" s="695"/>
      <c r="O45" s="1685"/>
      <c r="P45" s="695"/>
      <c r="Q45" s="134"/>
      <c r="R45" s="739"/>
      <c r="S45" s="740"/>
      <c r="T45" s="3087"/>
      <c r="U45" s="3088"/>
      <c r="V45" s="3088"/>
      <c r="W45" s="3089"/>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903" t="str">
        <f t="shared" si="213"/>
        <v/>
      </c>
      <c r="IA45" s="1903" t="str">
        <f t="shared" si="214"/>
        <v/>
      </c>
      <c r="IB45" s="1903" t="str">
        <f t="shared" si="215"/>
        <v/>
      </c>
      <c r="IC45" s="1903" t="str">
        <f t="shared" si="216"/>
        <v/>
      </c>
      <c r="ID45" s="1903" t="str">
        <f t="shared" si="217"/>
        <v/>
      </c>
      <c r="IE45" s="1903" t="str">
        <f t="shared" si="218"/>
        <v/>
      </c>
      <c r="IF45" s="1903" t="str">
        <f t="shared" si="219"/>
        <v/>
      </c>
      <c r="IG45" s="1903" t="str">
        <f t="shared" si="220"/>
        <v/>
      </c>
      <c r="IH45" s="1903" t="str">
        <f t="shared" si="221"/>
        <v/>
      </c>
      <c r="II45" s="1903" t="str">
        <f t="shared" si="222"/>
        <v/>
      </c>
      <c r="IJ45" s="1903" t="str">
        <f t="shared" si="223"/>
        <v/>
      </c>
      <c r="IK45" s="1903" t="str">
        <f t="shared" si="224"/>
        <v/>
      </c>
      <c r="IL45" s="1903" t="str">
        <f t="shared" si="225"/>
        <v/>
      </c>
      <c r="IM45" s="1903" t="str">
        <f t="shared" si="226"/>
        <v/>
      </c>
      <c r="IN45" s="1903" t="str">
        <f t="shared" si="227"/>
        <v/>
      </c>
      <c r="IO45" s="1903" t="str">
        <f t="shared" si="228"/>
        <v/>
      </c>
      <c r="IP45" s="1903" t="str">
        <f t="shared" si="229"/>
        <v/>
      </c>
      <c r="IQ45" s="1903" t="str">
        <f t="shared" si="230"/>
        <v/>
      </c>
      <c r="IR45" s="1903" t="str">
        <f t="shared" si="231"/>
        <v/>
      </c>
      <c r="IS45" s="1903" t="str">
        <f t="shared" si="232"/>
        <v/>
      </c>
      <c r="IT45" s="1903" t="str">
        <f t="shared" si="233"/>
        <v/>
      </c>
      <c r="IU45" s="1903" t="str">
        <f t="shared" si="234"/>
        <v/>
      </c>
      <c r="IV45" s="1903" t="str">
        <f t="shared" si="235"/>
        <v/>
      </c>
      <c r="IW45" s="1903" t="str">
        <f t="shared" si="236"/>
        <v/>
      </c>
      <c r="IX45" s="1903" t="str">
        <f t="shared" si="237"/>
        <v/>
      </c>
      <c r="IY45" s="1903" t="str">
        <f t="shared" si="238"/>
        <v/>
      </c>
      <c r="IZ45" s="1903" t="str">
        <f t="shared" si="239"/>
        <v/>
      </c>
      <c r="JA45" s="1903" t="str">
        <f t="shared" si="240"/>
        <v/>
      </c>
      <c r="JB45" s="1903" t="str">
        <f t="shared" si="241"/>
        <v/>
      </c>
      <c r="JC45" s="1903" t="str">
        <f t="shared" si="242"/>
        <v/>
      </c>
      <c r="JD45" s="1903" t="str">
        <f t="shared" si="243"/>
        <v/>
      </c>
      <c r="JE45" s="1903" t="str">
        <f t="shared" si="244"/>
        <v/>
      </c>
      <c r="JF45" s="1903" t="str">
        <f t="shared" si="245"/>
        <v/>
      </c>
      <c r="JG45" s="1903" t="str">
        <f t="shared" si="246"/>
        <v/>
      </c>
      <c r="JH45" s="1903" t="str">
        <f t="shared" si="247"/>
        <v/>
      </c>
      <c r="JI45" s="1903" t="str">
        <f t="shared" si="248"/>
        <v/>
      </c>
      <c r="JJ45" s="1903" t="str">
        <f t="shared" si="249"/>
        <v/>
      </c>
      <c r="JK45" s="1903" t="str">
        <f t="shared" si="250"/>
        <v/>
      </c>
      <c r="JL45" s="1903" t="str">
        <f t="shared" si="251"/>
        <v/>
      </c>
      <c r="JM45" s="1903" t="str">
        <f t="shared" si="252"/>
        <v/>
      </c>
      <c r="JN45" s="1903" t="str">
        <f t="shared" si="253"/>
        <v/>
      </c>
      <c r="JO45" s="1903" t="str">
        <f t="shared" si="254"/>
        <v/>
      </c>
      <c r="JP45" s="1903" t="str">
        <f t="shared" si="255"/>
        <v/>
      </c>
      <c r="JQ45" s="1903" t="str">
        <f t="shared" si="256"/>
        <v/>
      </c>
      <c r="JR45" s="1903" t="str">
        <f t="shared" si="257"/>
        <v/>
      </c>
      <c r="JS45" s="1903" t="str">
        <f t="shared" si="258"/>
        <v/>
      </c>
      <c r="JT45" s="1903" t="str">
        <f t="shared" si="259"/>
        <v/>
      </c>
      <c r="JU45" s="1903" t="str">
        <f t="shared" si="260"/>
        <v/>
      </c>
      <c r="JV45" s="1903" t="str">
        <f t="shared" si="261"/>
        <v/>
      </c>
      <c r="JW45" s="1903" t="str">
        <f t="shared" si="262"/>
        <v/>
      </c>
      <c r="JX45" s="1903" t="str">
        <f t="shared" si="263"/>
        <v/>
      </c>
      <c r="JY45" s="1903" t="str">
        <f t="shared" si="264"/>
        <v/>
      </c>
      <c r="JZ45" s="1903" t="str">
        <f t="shared" si="265"/>
        <v/>
      </c>
      <c r="KA45" s="1903" t="str">
        <f t="shared" si="266"/>
        <v/>
      </c>
      <c r="KB45" s="1903" t="str">
        <f t="shared" si="267"/>
        <v/>
      </c>
      <c r="KC45" s="1903" t="str">
        <f t="shared" si="268"/>
        <v/>
      </c>
      <c r="KD45" s="1903" t="str">
        <f t="shared" si="269"/>
        <v/>
      </c>
      <c r="KE45" s="1903" t="str">
        <f t="shared" si="270"/>
        <v/>
      </c>
      <c r="KF45" s="1903" t="str">
        <f t="shared" si="271"/>
        <v/>
      </c>
      <c r="KG45" s="1903" t="str">
        <f t="shared" si="272"/>
        <v/>
      </c>
      <c r="KH45" s="1903" t="str">
        <f t="shared" si="273"/>
        <v/>
      </c>
      <c r="KI45" s="1903" t="str">
        <f t="shared" si="274"/>
        <v/>
      </c>
      <c r="KJ45" s="1903" t="str">
        <f t="shared" si="275"/>
        <v/>
      </c>
      <c r="KK45" s="1903" t="str">
        <f t="shared" si="276"/>
        <v/>
      </c>
      <c r="KL45" s="1903" t="str">
        <f t="shared" si="277"/>
        <v/>
      </c>
      <c r="KM45" s="1903" t="str">
        <f t="shared" si="278"/>
        <v/>
      </c>
      <c r="KN45" s="1903" t="str">
        <f t="shared" si="279"/>
        <v/>
      </c>
      <c r="KO45" s="1903" t="str">
        <f t="shared" si="280"/>
        <v/>
      </c>
      <c r="KP45" s="1903" t="str">
        <f t="shared" si="281"/>
        <v/>
      </c>
      <c r="KQ45" s="1903" t="str">
        <f t="shared" si="282"/>
        <v/>
      </c>
      <c r="KR45" s="1903" t="str">
        <f t="shared" si="283"/>
        <v/>
      </c>
      <c r="KS45" s="1903" t="str">
        <f t="shared" si="284"/>
        <v/>
      </c>
      <c r="KT45" s="1903" t="str">
        <f t="shared" si="285"/>
        <v/>
      </c>
      <c r="KU45" s="1903" t="str">
        <f t="shared" si="286"/>
        <v/>
      </c>
      <c r="KV45" s="1903" t="str">
        <f t="shared" si="287"/>
        <v/>
      </c>
      <c r="KW45" s="1903" t="str">
        <f t="shared" si="288"/>
        <v/>
      </c>
      <c r="KX45" s="1903" t="str">
        <f t="shared" si="289"/>
        <v/>
      </c>
      <c r="KY45" s="1903" t="str">
        <f t="shared" si="290"/>
        <v/>
      </c>
      <c r="KZ45" s="1903" t="str">
        <f t="shared" si="291"/>
        <v/>
      </c>
      <c r="LA45" s="1903" t="str">
        <f t="shared" si="292"/>
        <v/>
      </c>
      <c r="LB45" s="1903" t="str">
        <f t="shared" si="293"/>
        <v/>
      </c>
      <c r="LC45" s="1903" t="str">
        <f t="shared" si="294"/>
        <v/>
      </c>
      <c r="LD45" s="1903" t="str">
        <f t="shared" si="295"/>
        <v/>
      </c>
      <c r="LE45" s="1903" t="str">
        <f t="shared" si="296"/>
        <v/>
      </c>
      <c r="LF45" s="1903" t="str">
        <f t="shared" si="297"/>
        <v/>
      </c>
      <c r="LG45" s="1892" t="str">
        <f t="shared" si="298"/>
        <v/>
      </c>
      <c r="LH45" s="1892" t="str">
        <f t="shared" si="299"/>
        <v/>
      </c>
      <c r="LI45" s="1892" t="str">
        <f t="shared" si="300"/>
        <v/>
      </c>
      <c r="LJ45" s="1892" t="str">
        <f t="shared" si="301"/>
        <v/>
      </c>
      <c r="LK45" s="1892"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50">
        <f t="shared" si="323"/>
        <v>0</v>
      </c>
      <c r="MG45" s="1750">
        <f t="shared" si="324"/>
        <v>0</v>
      </c>
      <c r="MH45" s="1750">
        <f t="shared" si="325"/>
        <v>0</v>
      </c>
      <c r="MI45" s="1750">
        <f t="shared" si="326"/>
        <v>0</v>
      </c>
      <c r="MJ45" s="1750">
        <f t="shared" si="327"/>
        <v>0</v>
      </c>
      <c r="MK45" s="1750">
        <f t="shared" si="333"/>
        <v>0</v>
      </c>
      <c r="ML45" s="1750">
        <f t="shared" si="334"/>
        <v>0</v>
      </c>
      <c r="MM45" s="1750">
        <f t="shared" si="335"/>
        <v>0</v>
      </c>
      <c r="MN45" s="1750">
        <f t="shared" si="336"/>
        <v>0</v>
      </c>
      <c r="MO45" s="1750">
        <f t="shared" si="337"/>
        <v>0</v>
      </c>
      <c r="MP45" s="1750">
        <f t="shared" si="328"/>
        <v>0</v>
      </c>
      <c r="MQ45" s="1750">
        <f t="shared" si="329"/>
        <v>0</v>
      </c>
      <c r="MR45" s="1750">
        <f t="shared" si="330"/>
        <v>0</v>
      </c>
      <c r="MS45" s="1750">
        <f t="shared" si="331"/>
        <v>0</v>
      </c>
      <c r="MT45" s="1750">
        <f t="shared" si="332"/>
        <v>0</v>
      </c>
      <c r="NP45" s="1721" t="s">
        <v>6448</v>
      </c>
    </row>
    <row r="46" spans="1:380" ht="13.9" customHeight="1">
      <c r="A46" s="86" t="str">
        <f t="shared" si="0"/>
        <v/>
      </c>
      <c r="B46" s="1121"/>
      <c r="C46" s="132"/>
      <c r="D46" s="1753"/>
      <c r="E46" s="133"/>
      <c r="F46" s="133"/>
      <c r="G46" s="133"/>
      <c r="H46" s="133"/>
      <c r="I46" s="133"/>
      <c r="J46" s="756">
        <f>IF(C46="",0,HLOOKUP(C46,'Part IV-Utility Allowances'!$I$11:$M$22,12))</f>
        <v>0</v>
      </c>
      <c r="K46" s="644"/>
      <c r="L46" s="461">
        <f t="shared" si="1"/>
        <v>0</v>
      </c>
      <c r="M46" s="461">
        <f t="shared" si="2"/>
        <v>0</v>
      </c>
      <c r="N46" s="695"/>
      <c r="O46" s="1685"/>
      <c r="P46" s="695"/>
      <c r="Q46" s="134"/>
      <c r="R46" s="739"/>
      <c r="S46" s="740"/>
      <c r="T46" s="3087"/>
      <c r="U46" s="3088"/>
      <c r="V46" s="3088"/>
      <c r="W46" s="3089"/>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903" t="str">
        <f t="shared" si="213"/>
        <v/>
      </c>
      <c r="IA46" s="1903" t="str">
        <f t="shared" si="214"/>
        <v/>
      </c>
      <c r="IB46" s="1903" t="str">
        <f t="shared" si="215"/>
        <v/>
      </c>
      <c r="IC46" s="1903" t="str">
        <f t="shared" si="216"/>
        <v/>
      </c>
      <c r="ID46" s="1903" t="str">
        <f t="shared" si="217"/>
        <v/>
      </c>
      <c r="IE46" s="1903" t="str">
        <f t="shared" si="218"/>
        <v/>
      </c>
      <c r="IF46" s="1903" t="str">
        <f t="shared" si="219"/>
        <v/>
      </c>
      <c r="IG46" s="1903" t="str">
        <f t="shared" si="220"/>
        <v/>
      </c>
      <c r="IH46" s="1903" t="str">
        <f t="shared" si="221"/>
        <v/>
      </c>
      <c r="II46" s="1903" t="str">
        <f t="shared" si="222"/>
        <v/>
      </c>
      <c r="IJ46" s="1903" t="str">
        <f t="shared" si="223"/>
        <v/>
      </c>
      <c r="IK46" s="1903" t="str">
        <f t="shared" si="224"/>
        <v/>
      </c>
      <c r="IL46" s="1903" t="str">
        <f t="shared" si="225"/>
        <v/>
      </c>
      <c r="IM46" s="1903" t="str">
        <f t="shared" si="226"/>
        <v/>
      </c>
      <c r="IN46" s="1903" t="str">
        <f t="shared" si="227"/>
        <v/>
      </c>
      <c r="IO46" s="1903" t="str">
        <f t="shared" si="228"/>
        <v/>
      </c>
      <c r="IP46" s="1903" t="str">
        <f t="shared" si="229"/>
        <v/>
      </c>
      <c r="IQ46" s="1903" t="str">
        <f t="shared" si="230"/>
        <v/>
      </c>
      <c r="IR46" s="1903" t="str">
        <f t="shared" si="231"/>
        <v/>
      </c>
      <c r="IS46" s="1903" t="str">
        <f t="shared" si="232"/>
        <v/>
      </c>
      <c r="IT46" s="1903" t="str">
        <f t="shared" si="233"/>
        <v/>
      </c>
      <c r="IU46" s="1903" t="str">
        <f t="shared" si="234"/>
        <v/>
      </c>
      <c r="IV46" s="1903" t="str">
        <f t="shared" si="235"/>
        <v/>
      </c>
      <c r="IW46" s="1903" t="str">
        <f t="shared" si="236"/>
        <v/>
      </c>
      <c r="IX46" s="1903" t="str">
        <f t="shared" si="237"/>
        <v/>
      </c>
      <c r="IY46" s="1903" t="str">
        <f t="shared" si="238"/>
        <v/>
      </c>
      <c r="IZ46" s="1903" t="str">
        <f t="shared" si="239"/>
        <v/>
      </c>
      <c r="JA46" s="1903" t="str">
        <f t="shared" si="240"/>
        <v/>
      </c>
      <c r="JB46" s="1903" t="str">
        <f t="shared" si="241"/>
        <v/>
      </c>
      <c r="JC46" s="1903" t="str">
        <f t="shared" si="242"/>
        <v/>
      </c>
      <c r="JD46" s="1903" t="str">
        <f t="shared" si="243"/>
        <v/>
      </c>
      <c r="JE46" s="1903" t="str">
        <f t="shared" si="244"/>
        <v/>
      </c>
      <c r="JF46" s="1903" t="str">
        <f t="shared" si="245"/>
        <v/>
      </c>
      <c r="JG46" s="1903" t="str">
        <f t="shared" si="246"/>
        <v/>
      </c>
      <c r="JH46" s="1903" t="str">
        <f t="shared" si="247"/>
        <v/>
      </c>
      <c r="JI46" s="1903" t="str">
        <f t="shared" si="248"/>
        <v/>
      </c>
      <c r="JJ46" s="1903" t="str">
        <f t="shared" si="249"/>
        <v/>
      </c>
      <c r="JK46" s="1903" t="str">
        <f t="shared" si="250"/>
        <v/>
      </c>
      <c r="JL46" s="1903" t="str">
        <f t="shared" si="251"/>
        <v/>
      </c>
      <c r="JM46" s="1903" t="str">
        <f t="shared" si="252"/>
        <v/>
      </c>
      <c r="JN46" s="1903" t="str">
        <f t="shared" si="253"/>
        <v/>
      </c>
      <c r="JO46" s="1903" t="str">
        <f t="shared" si="254"/>
        <v/>
      </c>
      <c r="JP46" s="1903" t="str">
        <f t="shared" si="255"/>
        <v/>
      </c>
      <c r="JQ46" s="1903" t="str">
        <f t="shared" si="256"/>
        <v/>
      </c>
      <c r="JR46" s="1903" t="str">
        <f t="shared" si="257"/>
        <v/>
      </c>
      <c r="JS46" s="1903" t="str">
        <f t="shared" si="258"/>
        <v/>
      </c>
      <c r="JT46" s="1903" t="str">
        <f t="shared" si="259"/>
        <v/>
      </c>
      <c r="JU46" s="1903" t="str">
        <f t="shared" si="260"/>
        <v/>
      </c>
      <c r="JV46" s="1903" t="str">
        <f t="shared" si="261"/>
        <v/>
      </c>
      <c r="JW46" s="1903" t="str">
        <f t="shared" si="262"/>
        <v/>
      </c>
      <c r="JX46" s="1903" t="str">
        <f t="shared" si="263"/>
        <v/>
      </c>
      <c r="JY46" s="1903" t="str">
        <f t="shared" si="264"/>
        <v/>
      </c>
      <c r="JZ46" s="1903" t="str">
        <f t="shared" si="265"/>
        <v/>
      </c>
      <c r="KA46" s="1903" t="str">
        <f t="shared" si="266"/>
        <v/>
      </c>
      <c r="KB46" s="1903" t="str">
        <f t="shared" si="267"/>
        <v/>
      </c>
      <c r="KC46" s="1903" t="str">
        <f t="shared" si="268"/>
        <v/>
      </c>
      <c r="KD46" s="1903" t="str">
        <f t="shared" si="269"/>
        <v/>
      </c>
      <c r="KE46" s="1903" t="str">
        <f t="shared" si="270"/>
        <v/>
      </c>
      <c r="KF46" s="1903" t="str">
        <f t="shared" si="271"/>
        <v/>
      </c>
      <c r="KG46" s="1903" t="str">
        <f t="shared" si="272"/>
        <v/>
      </c>
      <c r="KH46" s="1903" t="str">
        <f t="shared" si="273"/>
        <v/>
      </c>
      <c r="KI46" s="1903" t="str">
        <f t="shared" si="274"/>
        <v/>
      </c>
      <c r="KJ46" s="1903" t="str">
        <f t="shared" si="275"/>
        <v/>
      </c>
      <c r="KK46" s="1903" t="str">
        <f t="shared" si="276"/>
        <v/>
      </c>
      <c r="KL46" s="1903" t="str">
        <f t="shared" si="277"/>
        <v/>
      </c>
      <c r="KM46" s="1903" t="str">
        <f t="shared" si="278"/>
        <v/>
      </c>
      <c r="KN46" s="1903" t="str">
        <f t="shared" si="279"/>
        <v/>
      </c>
      <c r="KO46" s="1903" t="str">
        <f t="shared" si="280"/>
        <v/>
      </c>
      <c r="KP46" s="1903" t="str">
        <f t="shared" si="281"/>
        <v/>
      </c>
      <c r="KQ46" s="1903" t="str">
        <f t="shared" si="282"/>
        <v/>
      </c>
      <c r="KR46" s="1903" t="str">
        <f t="shared" si="283"/>
        <v/>
      </c>
      <c r="KS46" s="1903" t="str">
        <f t="shared" si="284"/>
        <v/>
      </c>
      <c r="KT46" s="1903" t="str">
        <f t="shared" si="285"/>
        <v/>
      </c>
      <c r="KU46" s="1903" t="str">
        <f t="shared" si="286"/>
        <v/>
      </c>
      <c r="KV46" s="1903" t="str">
        <f t="shared" si="287"/>
        <v/>
      </c>
      <c r="KW46" s="1903" t="str">
        <f t="shared" si="288"/>
        <v/>
      </c>
      <c r="KX46" s="1903" t="str">
        <f t="shared" si="289"/>
        <v/>
      </c>
      <c r="KY46" s="1903" t="str">
        <f t="shared" si="290"/>
        <v/>
      </c>
      <c r="KZ46" s="1903" t="str">
        <f t="shared" si="291"/>
        <v/>
      </c>
      <c r="LA46" s="1903" t="str">
        <f t="shared" si="292"/>
        <v/>
      </c>
      <c r="LB46" s="1903" t="str">
        <f t="shared" si="293"/>
        <v/>
      </c>
      <c r="LC46" s="1903" t="str">
        <f t="shared" si="294"/>
        <v/>
      </c>
      <c r="LD46" s="1903" t="str">
        <f t="shared" si="295"/>
        <v/>
      </c>
      <c r="LE46" s="1903" t="str">
        <f t="shared" si="296"/>
        <v/>
      </c>
      <c r="LF46" s="1903" t="str">
        <f t="shared" si="297"/>
        <v/>
      </c>
      <c r="LG46" s="1892" t="str">
        <f t="shared" si="298"/>
        <v/>
      </c>
      <c r="LH46" s="1892" t="str">
        <f t="shared" si="299"/>
        <v/>
      </c>
      <c r="LI46" s="1892" t="str">
        <f t="shared" si="300"/>
        <v/>
      </c>
      <c r="LJ46" s="1892" t="str">
        <f t="shared" si="301"/>
        <v/>
      </c>
      <c r="LK46" s="1892"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50">
        <f t="shared" si="323"/>
        <v>0</v>
      </c>
      <c r="MG46" s="1750">
        <f t="shared" si="324"/>
        <v>0</v>
      </c>
      <c r="MH46" s="1750">
        <f t="shared" si="325"/>
        <v>0</v>
      </c>
      <c r="MI46" s="1750">
        <f t="shared" si="326"/>
        <v>0</v>
      </c>
      <c r="MJ46" s="1750">
        <f t="shared" si="327"/>
        <v>0</v>
      </c>
      <c r="MK46" s="1750">
        <f t="shared" si="333"/>
        <v>0</v>
      </c>
      <c r="ML46" s="1750">
        <f t="shared" si="334"/>
        <v>0</v>
      </c>
      <c r="MM46" s="1750">
        <f t="shared" si="335"/>
        <v>0</v>
      </c>
      <c r="MN46" s="1750">
        <f t="shared" si="336"/>
        <v>0</v>
      </c>
      <c r="MO46" s="1750">
        <f t="shared" si="337"/>
        <v>0</v>
      </c>
      <c r="MP46" s="1750">
        <f t="shared" si="328"/>
        <v>0</v>
      </c>
      <c r="MQ46" s="1750">
        <f t="shared" si="329"/>
        <v>0</v>
      </c>
      <c r="MR46" s="1750">
        <f t="shared" si="330"/>
        <v>0</v>
      </c>
      <c r="MS46" s="1750">
        <f t="shared" si="331"/>
        <v>0</v>
      </c>
      <c r="MT46" s="1750">
        <f t="shared" si="332"/>
        <v>0</v>
      </c>
      <c r="NP46" s="1721" t="s">
        <v>6449</v>
      </c>
    </row>
    <row r="47" spans="1:380" ht="13.9" customHeight="1">
      <c r="A47" s="86" t="str">
        <f t="shared" si="0"/>
        <v/>
      </c>
      <c r="B47" s="1121"/>
      <c r="C47" s="132"/>
      <c r="D47" s="1753"/>
      <c r="E47" s="133"/>
      <c r="F47" s="133"/>
      <c r="G47" s="133"/>
      <c r="H47" s="133"/>
      <c r="I47" s="133"/>
      <c r="J47" s="756">
        <f>IF(C47="",0,HLOOKUP(C47,'Part IV-Utility Allowances'!$I$11:$M$22,12))</f>
        <v>0</v>
      </c>
      <c r="K47" s="644"/>
      <c r="L47" s="461">
        <f t="shared" si="1"/>
        <v>0</v>
      </c>
      <c r="M47" s="461">
        <f t="shared" si="2"/>
        <v>0</v>
      </c>
      <c r="N47" s="695"/>
      <c r="O47" s="1685"/>
      <c r="P47" s="695"/>
      <c r="Q47" s="134"/>
      <c r="R47" s="739"/>
      <c r="S47" s="740"/>
      <c r="T47" s="3087"/>
      <c r="U47" s="3088"/>
      <c r="V47" s="3088"/>
      <c r="W47" s="3089"/>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903" t="str">
        <f t="shared" si="213"/>
        <v/>
      </c>
      <c r="IA47" s="1903" t="str">
        <f t="shared" si="214"/>
        <v/>
      </c>
      <c r="IB47" s="1903" t="str">
        <f t="shared" si="215"/>
        <v/>
      </c>
      <c r="IC47" s="1903" t="str">
        <f t="shared" si="216"/>
        <v/>
      </c>
      <c r="ID47" s="1903" t="str">
        <f t="shared" si="217"/>
        <v/>
      </c>
      <c r="IE47" s="1903" t="str">
        <f t="shared" si="218"/>
        <v/>
      </c>
      <c r="IF47" s="1903" t="str">
        <f t="shared" si="219"/>
        <v/>
      </c>
      <c r="IG47" s="1903" t="str">
        <f t="shared" si="220"/>
        <v/>
      </c>
      <c r="IH47" s="1903" t="str">
        <f t="shared" si="221"/>
        <v/>
      </c>
      <c r="II47" s="1903" t="str">
        <f t="shared" si="222"/>
        <v/>
      </c>
      <c r="IJ47" s="1903" t="str">
        <f t="shared" si="223"/>
        <v/>
      </c>
      <c r="IK47" s="1903" t="str">
        <f t="shared" si="224"/>
        <v/>
      </c>
      <c r="IL47" s="1903" t="str">
        <f t="shared" si="225"/>
        <v/>
      </c>
      <c r="IM47" s="1903" t="str">
        <f t="shared" si="226"/>
        <v/>
      </c>
      <c r="IN47" s="1903" t="str">
        <f t="shared" si="227"/>
        <v/>
      </c>
      <c r="IO47" s="1903" t="str">
        <f t="shared" si="228"/>
        <v/>
      </c>
      <c r="IP47" s="1903" t="str">
        <f t="shared" si="229"/>
        <v/>
      </c>
      <c r="IQ47" s="1903" t="str">
        <f t="shared" si="230"/>
        <v/>
      </c>
      <c r="IR47" s="1903" t="str">
        <f t="shared" si="231"/>
        <v/>
      </c>
      <c r="IS47" s="1903" t="str">
        <f t="shared" si="232"/>
        <v/>
      </c>
      <c r="IT47" s="1903" t="str">
        <f t="shared" si="233"/>
        <v/>
      </c>
      <c r="IU47" s="1903" t="str">
        <f t="shared" si="234"/>
        <v/>
      </c>
      <c r="IV47" s="1903" t="str">
        <f t="shared" si="235"/>
        <v/>
      </c>
      <c r="IW47" s="1903" t="str">
        <f t="shared" si="236"/>
        <v/>
      </c>
      <c r="IX47" s="1903" t="str">
        <f t="shared" si="237"/>
        <v/>
      </c>
      <c r="IY47" s="1903" t="str">
        <f t="shared" si="238"/>
        <v/>
      </c>
      <c r="IZ47" s="1903" t="str">
        <f t="shared" si="239"/>
        <v/>
      </c>
      <c r="JA47" s="1903" t="str">
        <f t="shared" si="240"/>
        <v/>
      </c>
      <c r="JB47" s="1903" t="str">
        <f t="shared" si="241"/>
        <v/>
      </c>
      <c r="JC47" s="1903" t="str">
        <f t="shared" si="242"/>
        <v/>
      </c>
      <c r="JD47" s="1903" t="str">
        <f t="shared" si="243"/>
        <v/>
      </c>
      <c r="JE47" s="1903" t="str">
        <f t="shared" si="244"/>
        <v/>
      </c>
      <c r="JF47" s="1903" t="str">
        <f t="shared" si="245"/>
        <v/>
      </c>
      <c r="JG47" s="1903" t="str">
        <f t="shared" si="246"/>
        <v/>
      </c>
      <c r="JH47" s="1903" t="str">
        <f t="shared" si="247"/>
        <v/>
      </c>
      <c r="JI47" s="1903" t="str">
        <f t="shared" si="248"/>
        <v/>
      </c>
      <c r="JJ47" s="1903" t="str">
        <f t="shared" si="249"/>
        <v/>
      </c>
      <c r="JK47" s="1903" t="str">
        <f t="shared" si="250"/>
        <v/>
      </c>
      <c r="JL47" s="1903" t="str">
        <f t="shared" si="251"/>
        <v/>
      </c>
      <c r="JM47" s="1903" t="str">
        <f t="shared" si="252"/>
        <v/>
      </c>
      <c r="JN47" s="1903" t="str">
        <f t="shared" si="253"/>
        <v/>
      </c>
      <c r="JO47" s="1903" t="str">
        <f t="shared" si="254"/>
        <v/>
      </c>
      <c r="JP47" s="1903" t="str">
        <f t="shared" si="255"/>
        <v/>
      </c>
      <c r="JQ47" s="1903" t="str">
        <f t="shared" si="256"/>
        <v/>
      </c>
      <c r="JR47" s="1903" t="str">
        <f t="shared" si="257"/>
        <v/>
      </c>
      <c r="JS47" s="1903" t="str">
        <f t="shared" si="258"/>
        <v/>
      </c>
      <c r="JT47" s="1903" t="str">
        <f t="shared" si="259"/>
        <v/>
      </c>
      <c r="JU47" s="1903" t="str">
        <f t="shared" si="260"/>
        <v/>
      </c>
      <c r="JV47" s="1903" t="str">
        <f t="shared" si="261"/>
        <v/>
      </c>
      <c r="JW47" s="1903" t="str">
        <f t="shared" si="262"/>
        <v/>
      </c>
      <c r="JX47" s="1903" t="str">
        <f t="shared" si="263"/>
        <v/>
      </c>
      <c r="JY47" s="1903" t="str">
        <f t="shared" si="264"/>
        <v/>
      </c>
      <c r="JZ47" s="1903" t="str">
        <f t="shared" si="265"/>
        <v/>
      </c>
      <c r="KA47" s="1903" t="str">
        <f t="shared" si="266"/>
        <v/>
      </c>
      <c r="KB47" s="1903" t="str">
        <f t="shared" si="267"/>
        <v/>
      </c>
      <c r="KC47" s="1903" t="str">
        <f t="shared" si="268"/>
        <v/>
      </c>
      <c r="KD47" s="1903" t="str">
        <f t="shared" si="269"/>
        <v/>
      </c>
      <c r="KE47" s="1903" t="str">
        <f t="shared" si="270"/>
        <v/>
      </c>
      <c r="KF47" s="1903" t="str">
        <f t="shared" si="271"/>
        <v/>
      </c>
      <c r="KG47" s="1903" t="str">
        <f t="shared" si="272"/>
        <v/>
      </c>
      <c r="KH47" s="1903" t="str">
        <f t="shared" si="273"/>
        <v/>
      </c>
      <c r="KI47" s="1903" t="str">
        <f t="shared" si="274"/>
        <v/>
      </c>
      <c r="KJ47" s="1903" t="str">
        <f t="shared" si="275"/>
        <v/>
      </c>
      <c r="KK47" s="1903" t="str">
        <f t="shared" si="276"/>
        <v/>
      </c>
      <c r="KL47" s="1903" t="str">
        <f t="shared" si="277"/>
        <v/>
      </c>
      <c r="KM47" s="1903" t="str">
        <f t="shared" si="278"/>
        <v/>
      </c>
      <c r="KN47" s="1903" t="str">
        <f t="shared" si="279"/>
        <v/>
      </c>
      <c r="KO47" s="1903" t="str">
        <f t="shared" si="280"/>
        <v/>
      </c>
      <c r="KP47" s="1903" t="str">
        <f t="shared" si="281"/>
        <v/>
      </c>
      <c r="KQ47" s="1903" t="str">
        <f t="shared" si="282"/>
        <v/>
      </c>
      <c r="KR47" s="1903" t="str">
        <f t="shared" si="283"/>
        <v/>
      </c>
      <c r="KS47" s="1903" t="str">
        <f t="shared" si="284"/>
        <v/>
      </c>
      <c r="KT47" s="1903" t="str">
        <f t="shared" si="285"/>
        <v/>
      </c>
      <c r="KU47" s="1903" t="str">
        <f t="shared" si="286"/>
        <v/>
      </c>
      <c r="KV47" s="1903" t="str">
        <f t="shared" si="287"/>
        <v/>
      </c>
      <c r="KW47" s="1903" t="str">
        <f t="shared" si="288"/>
        <v/>
      </c>
      <c r="KX47" s="1903" t="str">
        <f t="shared" si="289"/>
        <v/>
      </c>
      <c r="KY47" s="1903" t="str">
        <f t="shared" si="290"/>
        <v/>
      </c>
      <c r="KZ47" s="1903" t="str">
        <f t="shared" si="291"/>
        <v/>
      </c>
      <c r="LA47" s="1903" t="str">
        <f t="shared" si="292"/>
        <v/>
      </c>
      <c r="LB47" s="1903" t="str">
        <f t="shared" si="293"/>
        <v/>
      </c>
      <c r="LC47" s="1903" t="str">
        <f t="shared" si="294"/>
        <v/>
      </c>
      <c r="LD47" s="1903" t="str">
        <f t="shared" si="295"/>
        <v/>
      </c>
      <c r="LE47" s="1903" t="str">
        <f t="shared" si="296"/>
        <v/>
      </c>
      <c r="LF47" s="1903" t="str">
        <f t="shared" si="297"/>
        <v/>
      </c>
      <c r="LG47" s="1892" t="str">
        <f t="shared" si="298"/>
        <v/>
      </c>
      <c r="LH47" s="1892" t="str">
        <f t="shared" si="299"/>
        <v/>
      </c>
      <c r="LI47" s="1892" t="str">
        <f t="shared" si="300"/>
        <v/>
      </c>
      <c r="LJ47" s="1892" t="str">
        <f t="shared" si="301"/>
        <v/>
      </c>
      <c r="LK47" s="1892"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50">
        <f t="shared" si="323"/>
        <v>0</v>
      </c>
      <c r="MG47" s="1750">
        <f t="shared" si="324"/>
        <v>0</v>
      </c>
      <c r="MH47" s="1750">
        <f t="shared" si="325"/>
        <v>0</v>
      </c>
      <c r="MI47" s="1750">
        <f t="shared" si="326"/>
        <v>0</v>
      </c>
      <c r="MJ47" s="1750">
        <f t="shared" si="327"/>
        <v>0</v>
      </c>
      <c r="MK47" s="1750">
        <f t="shared" si="333"/>
        <v>0</v>
      </c>
      <c r="ML47" s="1750">
        <f t="shared" si="334"/>
        <v>0</v>
      </c>
      <c r="MM47" s="1750">
        <f t="shared" si="335"/>
        <v>0</v>
      </c>
      <c r="MN47" s="1750">
        <f t="shared" si="336"/>
        <v>0</v>
      </c>
      <c r="MO47" s="1750">
        <f t="shared" si="337"/>
        <v>0</v>
      </c>
      <c r="MP47" s="1750">
        <f t="shared" si="328"/>
        <v>0</v>
      </c>
      <c r="MQ47" s="1750">
        <f t="shared" si="329"/>
        <v>0</v>
      </c>
      <c r="MR47" s="1750">
        <f t="shared" si="330"/>
        <v>0</v>
      </c>
      <c r="MS47" s="1750">
        <f t="shared" si="331"/>
        <v>0</v>
      </c>
      <c r="MT47" s="1750">
        <f t="shared" si="332"/>
        <v>0</v>
      </c>
      <c r="NP47" s="1721" t="s">
        <v>6450</v>
      </c>
    </row>
    <row r="48" spans="1:380" ht="13.9" customHeight="1">
      <c r="A48" s="86" t="str">
        <f t="shared" si="0"/>
        <v/>
      </c>
      <c r="B48" s="1122"/>
      <c r="C48" s="135"/>
      <c r="D48" s="1756"/>
      <c r="E48" s="136"/>
      <c r="F48" s="136"/>
      <c r="G48" s="136"/>
      <c r="H48" s="136"/>
      <c r="I48" s="136"/>
      <c r="J48" s="757">
        <f>IF(C48="",0,HLOOKUP(C48,'Part IV-Utility Allowances'!$I$11:$M$22,12))</f>
        <v>0</v>
      </c>
      <c r="K48" s="645"/>
      <c r="L48" s="462">
        <f t="shared" si="1"/>
        <v>0</v>
      </c>
      <c r="M48" s="462">
        <f t="shared" si="2"/>
        <v>0</v>
      </c>
      <c r="N48" s="696"/>
      <c r="O48" s="1608"/>
      <c r="P48" s="696"/>
      <c r="Q48" s="137"/>
      <c r="R48" s="741"/>
      <c r="S48" s="742"/>
      <c r="T48" s="3093"/>
      <c r="U48" s="3094"/>
      <c r="V48" s="3094"/>
      <c r="W48" s="3095"/>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903" t="str">
        <f t="shared" si="213"/>
        <v/>
      </c>
      <c r="IA48" s="1903" t="str">
        <f t="shared" si="214"/>
        <v/>
      </c>
      <c r="IB48" s="1903" t="str">
        <f t="shared" si="215"/>
        <v/>
      </c>
      <c r="IC48" s="1903" t="str">
        <f t="shared" si="216"/>
        <v/>
      </c>
      <c r="ID48" s="1903" t="str">
        <f t="shared" si="217"/>
        <v/>
      </c>
      <c r="IE48" s="1903" t="str">
        <f t="shared" si="218"/>
        <v/>
      </c>
      <c r="IF48" s="1903" t="str">
        <f t="shared" si="219"/>
        <v/>
      </c>
      <c r="IG48" s="1903" t="str">
        <f t="shared" si="220"/>
        <v/>
      </c>
      <c r="IH48" s="1903" t="str">
        <f t="shared" si="221"/>
        <v/>
      </c>
      <c r="II48" s="1903" t="str">
        <f t="shared" si="222"/>
        <v/>
      </c>
      <c r="IJ48" s="1903" t="str">
        <f t="shared" si="223"/>
        <v/>
      </c>
      <c r="IK48" s="1903" t="str">
        <f t="shared" si="224"/>
        <v/>
      </c>
      <c r="IL48" s="1903" t="str">
        <f t="shared" si="225"/>
        <v/>
      </c>
      <c r="IM48" s="1903" t="str">
        <f t="shared" si="226"/>
        <v/>
      </c>
      <c r="IN48" s="1903" t="str">
        <f t="shared" si="227"/>
        <v/>
      </c>
      <c r="IO48" s="1903" t="str">
        <f t="shared" si="228"/>
        <v/>
      </c>
      <c r="IP48" s="1903" t="str">
        <f t="shared" si="229"/>
        <v/>
      </c>
      <c r="IQ48" s="1903" t="str">
        <f t="shared" si="230"/>
        <v/>
      </c>
      <c r="IR48" s="1903" t="str">
        <f t="shared" si="231"/>
        <v/>
      </c>
      <c r="IS48" s="1903" t="str">
        <f t="shared" si="232"/>
        <v/>
      </c>
      <c r="IT48" s="1903" t="str">
        <f t="shared" si="233"/>
        <v/>
      </c>
      <c r="IU48" s="1903" t="str">
        <f t="shared" si="234"/>
        <v/>
      </c>
      <c r="IV48" s="1903" t="str">
        <f t="shared" si="235"/>
        <v/>
      </c>
      <c r="IW48" s="1903" t="str">
        <f t="shared" si="236"/>
        <v/>
      </c>
      <c r="IX48" s="1903" t="str">
        <f t="shared" si="237"/>
        <v/>
      </c>
      <c r="IY48" s="1903" t="str">
        <f t="shared" si="238"/>
        <v/>
      </c>
      <c r="IZ48" s="1903" t="str">
        <f t="shared" si="239"/>
        <v/>
      </c>
      <c r="JA48" s="1903" t="str">
        <f t="shared" si="240"/>
        <v/>
      </c>
      <c r="JB48" s="1903" t="str">
        <f t="shared" si="241"/>
        <v/>
      </c>
      <c r="JC48" s="1903" t="str">
        <f t="shared" si="242"/>
        <v/>
      </c>
      <c r="JD48" s="1903" t="str">
        <f t="shared" si="243"/>
        <v/>
      </c>
      <c r="JE48" s="1903" t="str">
        <f t="shared" si="244"/>
        <v/>
      </c>
      <c r="JF48" s="1903" t="str">
        <f t="shared" si="245"/>
        <v/>
      </c>
      <c r="JG48" s="1903" t="str">
        <f t="shared" si="246"/>
        <v/>
      </c>
      <c r="JH48" s="1903" t="str">
        <f t="shared" si="247"/>
        <v/>
      </c>
      <c r="JI48" s="1903" t="str">
        <f t="shared" si="248"/>
        <v/>
      </c>
      <c r="JJ48" s="1903" t="str">
        <f t="shared" si="249"/>
        <v/>
      </c>
      <c r="JK48" s="1903" t="str">
        <f t="shared" si="250"/>
        <v/>
      </c>
      <c r="JL48" s="1903" t="str">
        <f t="shared" si="251"/>
        <v/>
      </c>
      <c r="JM48" s="1903" t="str">
        <f t="shared" si="252"/>
        <v/>
      </c>
      <c r="JN48" s="1903" t="str">
        <f t="shared" si="253"/>
        <v/>
      </c>
      <c r="JO48" s="1903" t="str">
        <f t="shared" si="254"/>
        <v/>
      </c>
      <c r="JP48" s="1903" t="str">
        <f t="shared" si="255"/>
        <v/>
      </c>
      <c r="JQ48" s="1903" t="str">
        <f t="shared" si="256"/>
        <v/>
      </c>
      <c r="JR48" s="1903" t="str">
        <f t="shared" si="257"/>
        <v/>
      </c>
      <c r="JS48" s="1903" t="str">
        <f t="shared" si="258"/>
        <v/>
      </c>
      <c r="JT48" s="1903" t="str">
        <f t="shared" si="259"/>
        <v/>
      </c>
      <c r="JU48" s="1903" t="str">
        <f t="shared" si="260"/>
        <v/>
      </c>
      <c r="JV48" s="1903" t="str">
        <f t="shared" si="261"/>
        <v/>
      </c>
      <c r="JW48" s="1903" t="str">
        <f t="shared" si="262"/>
        <v/>
      </c>
      <c r="JX48" s="1903" t="str">
        <f t="shared" si="263"/>
        <v/>
      </c>
      <c r="JY48" s="1903" t="str">
        <f t="shared" si="264"/>
        <v/>
      </c>
      <c r="JZ48" s="1903" t="str">
        <f t="shared" si="265"/>
        <v/>
      </c>
      <c r="KA48" s="1903" t="str">
        <f t="shared" si="266"/>
        <v/>
      </c>
      <c r="KB48" s="1903" t="str">
        <f t="shared" si="267"/>
        <v/>
      </c>
      <c r="KC48" s="1903" t="str">
        <f t="shared" si="268"/>
        <v/>
      </c>
      <c r="KD48" s="1903" t="str">
        <f t="shared" si="269"/>
        <v/>
      </c>
      <c r="KE48" s="1903" t="str">
        <f t="shared" si="270"/>
        <v/>
      </c>
      <c r="KF48" s="1903" t="str">
        <f t="shared" si="271"/>
        <v/>
      </c>
      <c r="KG48" s="1903" t="str">
        <f t="shared" si="272"/>
        <v/>
      </c>
      <c r="KH48" s="1903" t="str">
        <f t="shared" si="273"/>
        <v/>
      </c>
      <c r="KI48" s="1903" t="str">
        <f t="shared" si="274"/>
        <v/>
      </c>
      <c r="KJ48" s="1903" t="str">
        <f t="shared" si="275"/>
        <v/>
      </c>
      <c r="KK48" s="1903" t="str">
        <f t="shared" si="276"/>
        <v/>
      </c>
      <c r="KL48" s="1903" t="str">
        <f t="shared" si="277"/>
        <v/>
      </c>
      <c r="KM48" s="1903" t="str">
        <f t="shared" si="278"/>
        <v/>
      </c>
      <c r="KN48" s="1903" t="str">
        <f t="shared" si="279"/>
        <v/>
      </c>
      <c r="KO48" s="1903" t="str">
        <f t="shared" si="280"/>
        <v/>
      </c>
      <c r="KP48" s="1903" t="str">
        <f t="shared" si="281"/>
        <v/>
      </c>
      <c r="KQ48" s="1903" t="str">
        <f t="shared" si="282"/>
        <v/>
      </c>
      <c r="KR48" s="1903" t="str">
        <f t="shared" si="283"/>
        <v/>
      </c>
      <c r="KS48" s="1903" t="str">
        <f t="shared" si="284"/>
        <v/>
      </c>
      <c r="KT48" s="1903" t="str">
        <f t="shared" si="285"/>
        <v/>
      </c>
      <c r="KU48" s="1903" t="str">
        <f t="shared" si="286"/>
        <v/>
      </c>
      <c r="KV48" s="1903" t="str">
        <f t="shared" si="287"/>
        <v/>
      </c>
      <c r="KW48" s="1903" t="str">
        <f t="shared" si="288"/>
        <v/>
      </c>
      <c r="KX48" s="1903" t="str">
        <f t="shared" si="289"/>
        <v/>
      </c>
      <c r="KY48" s="1903" t="str">
        <f t="shared" si="290"/>
        <v/>
      </c>
      <c r="KZ48" s="1903" t="str">
        <f t="shared" si="291"/>
        <v/>
      </c>
      <c r="LA48" s="1903" t="str">
        <f t="shared" si="292"/>
        <v/>
      </c>
      <c r="LB48" s="1903" t="str">
        <f t="shared" si="293"/>
        <v/>
      </c>
      <c r="LC48" s="1903" t="str">
        <f t="shared" si="294"/>
        <v/>
      </c>
      <c r="LD48" s="1903" t="str">
        <f t="shared" si="295"/>
        <v/>
      </c>
      <c r="LE48" s="1903" t="str">
        <f t="shared" si="296"/>
        <v/>
      </c>
      <c r="LF48" s="1903" t="str">
        <f t="shared" si="297"/>
        <v/>
      </c>
      <c r="LG48" s="1892" t="str">
        <f t="shared" si="298"/>
        <v/>
      </c>
      <c r="LH48" s="1892" t="str">
        <f t="shared" si="299"/>
        <v/>
      </c>
      <c r="LI48" s="1892" t="str">
        <f t="shared" si="300"/>
        <v/>
      </c>
      <c r="LJ48" s="1892" t="str">
        <f t="shared" si="301"/>
        <v/>
      </c>
      <c r="LK48" s="1892"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50">
        <f t="shared" si="323"/>
        <v>0</v>
      </c>
      <c r="MG48" s="1750">
        <f t="shared" si="324"/>
        <v>0</v>
      </c>
      <c r="MH48" s="1750">
        <f t="shared" si="325"/>
        <v>0</v>
      </c>
      <c r="MI48" s="1750">
        <f t="shared" si="326"/>
        <v>0</v>
      </c>
      <c r="MJ48" s="1750">
        <f t="shared" si="327"/>
        <v>0</v>
      </c>
      <c r="MK48" s="1750">
        <f t="shared" si="333"/>
        <v>0</v>
      </c>
      <c r="ML48" s="1750">
        <f t="shared" si="334"/>
        <v>0</v>
      </c>
      <c r="MM48" s="1750">
        <f t="shared" si="335"/>
        <v>0</v>
      </c>
      <c r="MN48" s="1750">
        <f t="shared" si="336"/>
        <v>0</v>
      </c>
      <c r="MO48" s="1750">
        <f t="shared" si="337"/>
        <v>0</v>
      </c>
      <c r="MP48" s="1750">
        <f t="shared" si="328"/>
        <v>0</v>
      </c>
      <c r="MQ48" s="1750">
        <f t="shared" si="329"/>
        <v>0</v>
      </c>
      <c r="MR48" s="1750">
        <f t="shared" si="330"/>
        <v>0</v>
      </c>
      <c r="MS48" s="1750">
        <f t="shared" si="331"/>
        <v>0</v>
      </c>
      <c r="MT48" s="1750">
        <f t="shared" si="332"/>
        <v>0</v>
      </c>
      <c r="NP48" s="1721" t="s">
        <v>6451</v>
      </c>
    </row>
    <row r="49" spans="1:381" s="115" customFormat="1" ht="13.9" customHeight="1">
      <c r="A49" s="1434">
        <f>COUNT(A11,A12,A13,A14,A15,A16,A17,A18,A19,A20,A21,A22,A23,A24,A25,A26,A27,A28,A29,A30,A31,A32,A33,A34,A35,A36,A37,A38,A39,A40)</f>
        <v>0</v>
      </c>
      <c r="B49" s="3163" t="s">
        <v>3772</v>
      </c>
      <c r="C49" s="3164"/>
      <c r="D49" s="107" t="s">
        <v>955</v>
      </c>
      <c r="E49" s="1115">
        <f>SUM(E11:E48)</f>
        <v>120</v>
      </c>
      <c r="F49" s="1113">
        <f>(E11*F11+E12*F12+E13*F13+E14*F14+E15*F15+E16*F16+E17*F17+E18*F18+E19*F19+E20*F20+E21*F21+E22*F22+E23*F23+E24*F24+E25*F25+E26*F26+E27*F27+E28*F28+E29*F29+E30*F30+E31*F31+E32*F32+E33*F33+E34*F34+E35*F35+E36*F36+E37*F37+E38*F38+E39*F39+E40*F40+E41*F41+E42*F42+E43*F43+E44*F44+E45*F45+E46*F46+E47*F47+E48*F48)</f>
        <v>152130</v>
      </c>
      <c r="H49" s="3099" t="s">
        <v>3769</v>
      </c>
      <c r="I49" s="1116" t="s">
        <v>3770</v>
      </c>
      <c r="J49" s="1117" t="str">
        <f>IF(P67=0,"",IF(SUM(P58:P62)/P67&gt;=0.4,"Pass","Fail"))</f>
        <v>Pass</v>
      </c>
      <c r="K49" s="448"/>
      <c r="L49" s="699" t="s">
        <v>1226</v>
      </c>
      <c r="M49" s="94">
        <f>SUM(M11:M48)</f>
        <v>156391</v>
      </c>
      <c r="N49" s="72"/>
      <c r="O49" s="72"/>
      <c r="P49" s="72"/>
      <c r="Q49" s="72"/>
      <c r="R49" s="72"/>
      <c r="S49" s="72"/>
      <c r="T49" s="72"/>
      <c r="U49" s="72"/>
      <c r="V49" s="686"/>
      <c r="W49" s="449"/>
      <c r="X49" s="1751">
        <f t="shared" ref="X49:FA49" si="338">SUM(X11:X48)</f>
        <v>0</v>
      </c>
      <c r="Y49" s="1751">
        <f t="shared" si="338"/>
        <v>5</v>
      </c>
      <c r="Z49" s="1751">
        <f t="shared" si="338"/>
        <v>7</v>
      </c>
      <c r="AA49" s="1751">
        <f t="shared" si="338"/>
        <v>10</v>
      </c>
      <c r="AB49" s="1751">
        <f t="shared" si="338"/>
        <v>3</v>
      </c>
      <c r="AC49" s="1751">
        <f t="shared" ref="AC49:AL49" si="339">SUM(AC11:AC48)</f>
        <v>0</v>
      </c>
      <c r="AD49" s="1751">
        <f t="shared" si="339"/>
        <v>0</v>
      </c>
      <c r="AE49" s="1751">
        <f t="shared" si="339"/>
        <v>0</v>
      </c>
      <c r="AF49" s="1751">
        <f t="shared" si="339"/>
        <v>0</v>
      </c>
      <c r="AG49" s="1751">
        <f t="shared" si="339"/>
        <v>0</v>
      </c>
      <c r="AH49" s="1751">
        <f t="shared" si="339"/>
        <v>0</v>
      </c>
      <c r="AI49" s="1751">
        <f t="shared" si="339"/>
        <v>6</v>
      </c>
      <c r="AJ49" s="1751">
        <f t="shared" si="339"/>
        <v>17</v>
      </c>
      <c r="AK49" s="1751">
        <f t="shared" si="339"/>
        <v>23</v>
      </c>
      <c r="AL49" s="1751">
        <f t="shared" si="339"/>
        <v>12</v>
      </c>
      <c r="AM49" s="1751">
        <f>SUM(AM11:AM48)</f>
        <v>0</v>
      </c>
      <c r="AN49" s="1751">
        <f>SUM(AN11:AN48)</f>
        <v>0</v>
      </c>
      <c r="AO49" s="1751">
        <f>SUM(AO11:AO48)</f>
        <v>0</v>
      </c>
      <c r="AP49" s="1751">
        <f>SUM(AP11:AP48)</f>
        <v>0</v>
      </c>
      <c r="AQ49" s="1751">
        <f>SUM(AQ11:AQ48)</f>
        <v>0</v>
      </c>
      <c r="AR49" s="1751">
        <f t="shared" si="338"/>
        <v>0</v>
      </c>
      <c r="AS49" s="1751">
        <f t="shared" si="338"/>
        <v>0</v>
      </c>
      <c r="AT49" s="1751">
        <f t="shared" si="338"/>
        <v>0</v>
      </c>
      <c r="AU49" s="1751">
        <f t="shared" si="338"/>
        <v>0</v>
      </c>
      <c r="AV49" s="1751">
        <f t="shared" si="338"/>
        <v>0</v>
      </c>
      <c r="AW49" s="1751">
        <f t="shared" si="338"/>
        <v>0</v>
      </c>
      <c r="AX49" s="1751">
        <f t="shared" si="338"/>
        <v>4</v>
      </c>
      <c r="AY49" s="1751">
        <f t="shared" si="338"/>
        <v>15</v>
      </c>
      <c r="AZ49" s="1751">
        <f t="shared" si="338"/>
        <v>12</v>
      </c>
      <c r="BA49" s="1751">
        <f t="shared" si="338"/>
        <v>6</v>
      </c>
      <c r="BB49" s="1751">
        <f>SUM(BB11:BB48)</f>
        <v>0</v>
      </c>
      <c r="BC49" s="1751">
        <f>SUM(BC11:BC48)</f>
        <v>0</v>
      </c>
      <c r="BD49" s="1751">
        <f>SUM(BD11:BD48)</f>
        <v>0</v>
      </c>
      <c r="BE49" s="1751">
        <f>SUM(BE11:BE48)</f>
        <v>0</v>
      </c>
      <c r="BF49" s="1751">
        <f>SUM(BF11:BF48)</f>
        <v>0</v>
      </c>
      <c r="BG49" s="1751">
        <f t="shared" si="338"/>
        <v>0</v>
      </c>
      <c r="BH49" s="1751">
        <f t="shared" si="338"/>
        <v>0</v>
      </c>
      <c r="BI49" s="1751">
        <f t="shared" si="338"/>
        <v>0</v>
      </c>
      <c r="BJ49" s="1751">
        <f t="shared" si="338"/>
        <v>0</v>
      </c>
      <c r="BK49" s="1751">
        <f t="shared" si="338"/>
        <v>0</v>
      </c>
      <c r="BL49" s="1751">
        <f>SUM(BL11:BL48)</f>
        <v>0</v>
      </c>
      <c r="BM49" s="1751">
        <f>SUM(BM11:BM48)</f>
        <v>0</v>
      </c>
      <c r="BN49" s="1751">
        <f>SUM(BN11:BN48)</f>
        <v>0</v>
      </c>
      <c r="BO49" s="1751">
        <f>SUM(BO11:BO48)</f>
        <v>0</v>
      </c>
      <c r="BP49" s="1751">
        <f>SUM(BP11:BP48)</f>
        <v>0</v>
      </c>
      <c r="BQ49" s="1751">
        <f t="shared" si="338"/>
        <v>0</v>
      </c>
      <c r="BR49" s="1751">
        <f t="shared" si="338"/>
        <v>0</v>
      </c>
      <c r="BS49" s="1751">
        <f t="shared" si="338"/>
        <v>15</v>
      </c>
      <c r="BT49" s="1751">
        <f t="shared" si="338"/>
        <v>12</v>
      </c>
      <c r="BU49" s="1751">
        <f t="shared" si="338"/>
        <v>6</v>
      </c>
      <c r="BV49" s="1751">
        <f>SUM(BV11:BV48)</f>
        <v>0</v>
      </c>
      <c r="BW49" s="1751">
        <f>SUM(BW11:BW48)</f>
        <v>0</v>
      </c>
      <c r="BX49" s="1751">
        <f>SUM(BX11:BX48)</f>
        <v>0</v>
      </c>
      <c r="BY49" s="1751">
        <f>SUM(BY11:BY48)</f>
        <v>0</v>
      </c>
      <c r="BZ49" s="1751">
        <f>SUM(BZ11:BZ48)</f>
        <v>0</v>
      </c>
      <c r="CA49" s="1751">
        <f t="shared" si="338"/>
        <v>0</v>
      </c>
      <c r="CB49" s="1751">
        <f t="shared" si="338"/>
        <v>0</v>
      </c>
      <c r="CC49" s="1751">
        <f t="shared" si="338"/>
        <v>0</v>
      </c>
      <c r="CD49" s="1751">
        <f t="shared" si="338"/>
        <v>0</v>
      </c>
      <c r="CE49" s="1751">
        <f t="shared" si="338"/>
        <v>0</v>
      </c>
      <c r="CF49" s="1751">
        <f t="shared" si="338"/>
        <v>0</v>
      </c>
      <c r="CG49" s="1751">
        <f t="shared" si="338"/>
        <v>0</v>
      </c>
      <c r="CH49" s="1751">
        <f t="shared" si="338"/>
        <v>15</v>
      </c>
      <c r="CI49" s="1751">
        <f t="shared" si="338"/>
        <v>17</v>
      </c>
      <c r="CJ49" s="1751">
        <f t="shared" si="338"/>
        <v>10</v>
      </c>
      <c r="CK49" s="1751">
        <f>SUM(CK11:CK48)</f>
        <v>0</v>
      </c>
      <c r="CL49" s="1751">
        <f>SUM(CL11:CL48)</f>
        <v>0</v>
      </c>
      <c r="CM49" s="1751">
        <f>SUM(CM11:CM48)</f>
        <v>0</v>
      </c>
      <c r="CN49" s="1751">
        <f>SUM(CN11:CN48)</f>
        <v>0</v>
      </c>
      <c r="CO49" s="1751">
        <f>SUM(CO11:CO48)</f>
        <v>0</v>
      </c>
      <c r="CP49" s="1751">
        <f t="shared" ref="CP49:CY49" si="340">SUM(CP11:CP48)</f>
        <v>0</v>
      </c>
      <c r="CQ49" s="1751">
        <f t="shared" si="340"/>
        <v>0</v>
      </c>
      <c r="CR49" s="1751">
        <f t="shared" si="340"/>
        <v>0</v>
      </c>
      <c r="CS49" s="1751">
        <f t="shared" si="340"/>
        <v>0</v>
      </c>
      <c r="CT49" s="1751">
        <f t="shared" si="340"/>
        <v>0</v>
      </c>
      <c r="CU49" s="1751">
        <f t="shared" si="340"/>
        <v>0</v>
      </c>
      <c r="CV49" s="1751">
        <f t="shared" si="340"/>
        <v>0</v>
      </c>
      <c r="CW49" s="1751">
        <f t="shared" si="340"/>
        <v>0</v>
      </c>
      <c r="CX49" s="1751">
        <f t="shared" si="340"/>
        <v>0</v>
      </c>
      <c r="CY49" s="1751">
        <f t="shared" si="340"/>
        <v>0</v>
      </c>
      <c r="CZ49" s="1751">
        <f t="shared" si="338"/>
        <v>0</v>
      </c>
      <c r="DA49" s="1751">
        <f t="shared" si="338"/>
        <v>0</v>
      </c>
      <c r="DB49" s="1751">
        <f t="shared" si="338"/>
        <v>0</v>
      </c>
      <c r="DC49" s="1751">
        <f t="shared" si="338"/>
        <v>0</v>
      </c>
      <c r="DD49" s="1751">
        <f t="shared" si="338"/>
        <v>0</v>
      </c>
      <c r="DE49" s="1751">
        <f t="shared" si="338"/>
        <v>0</v>
      </c>
      <c r="DF49" s="1751">
        <f t="shared" si="338"/>
        <v>0</v>
      </c>
      <c r="DG49" s="1751">
        <f t="shared" si="338"/>
        <v>0</v>
      </c>
      <c r="DH49" s="1751">
        <f t="shared" si="338"/>
        <v>0</v>
      </c>
      <c r="DI49" s="1751">
        <f t="shared" si="338"/>
        <v>0</v>
      </c>
      <c r="DJ49" s="1751">
        <f t="shared" si="338"/>
        <v>0</v>
      </c>
      <c r="DK49" s="1751">
        <f t="shared" si="338"/>
        <v>0</v>
      </c>
      <c r="DL49" s="1751">
        <f t="shared" si="338"/>
        <v>0</v>
      </c>
      <c r="DM49" s="1751">
        <f t="shared" si="338"/>
        <v>0</v>
      </c>
      <c r="DN49" s="1751">
        <f t="shared" si="338"/>
        <v>0</v>
      </c>
      <c r="DO49" s="1751">
        <f t="shared" si="338"/>
        <v>0</v>
      </c>
      <c r="DP49" s="1751">
        <f t="shared" si="338"/>
        <v>0</v>
      </c>
      <c r="DQ49" s="1751">
        <f t="shared" si="338"/>
        <v>0</v>
      </c>
      <c r="DR49" s="1751">
        <f t="shared" si="338"/>
        <v>0</v>
      </c>
      <c r="DS49" s="1751">
        <f t="shared" si="338"/>
        <v>0</v>
      </c>
      <c r="DT49" s="1751">
        <f t="shared" ref="DT49:EC49" si="341">SUM(DT11:DT48)</f>
        <v>0</v>
      </c>
      <c r="DU49" s="1751">
        <f t="shared" si="341"/>
        <v>0</v>
      </c>
      <c r="DV49" s="1751">
        <f t="shared" si="341"/>
        <v>0</v>
      </c>
      <c r="DW49" s="1751">
        <f t="shared" si="341"/>
        <v>0</v>
      </c>
      <c r="DX49" s="1751">
        <f t="shared" si="341"/>
        <v>0</v>
      </c>
      <c r="DY49" s="1751">
        <f t="shared" si="341"/>
        <v>0</v>
      </c>
      <c r="DZ49" s="1751">
        <f t="shared" si="341"/>
        <v>0</v>
      </c>
      <c r="EA49" s="1751">
        <f t="shared" si="341"/>
        <v>0</v>
      </c>
      <c r="EB49" s="1751">
        <f t="shared" si="341"/>
        <v>0</v>
      </c>
      <c r="EC49" s="1751">
        <f t="shared" si="341"/>
        <v>0</v>
      </c>
      <c r="ED49" s="1751">
        <f t="shared" si="338"/>
        <v>0</v>
      </c>
      <c r="EE49" s="1751">
        <f t="shared" si="338"/>
        <v>0</v>
      </c>
      <c r="EF49" s="1751">
        <f t="shared" si="338"/>
        <v>0</v>
      </c>
      <c r="EG49" s="1751">
        <f t="shared" si="338"/>
        <v>0</v>
      </c>
      <c r="EH49" s="1751">
        <f t="shared" si="338"/>
        <v>0</v>
      </c>
      <c r="EI49" s="1751">
        <f t="shared" si="338"/>
        <v>0</v>
      </c>
      <c r="EJ49" s="1751">
        <f t="shared" si="338"/>
        <v>4225</v>
      </c>
      <c r="EK49" s="1751">
        <f t="shared" si="338"/>
        <v>8092</v>
      </c>
      <c r="EL49" s="1751">
        <f t="shared" si="338"/>
        <v>13640</v>
      </c>
      <c r="EM49" s="1751">
        <f t="shared" si="338"/>
        <v>4713</v>
      </c>
      <c r="EN49" s="1751">
        <f t="shared" ref="EN49:EW49" si="342">SUM(EN11:EN48)</f>
        <v>0</v>
      </c>
      <c r="EO49" s="1751">
        <f t="shared" si="342"/>
        <v>0</v>
      </c>
      <c r="EP49" s="1751">
        <f t="shared" si="342"/>
        <v>0</v>
      </c>
      <c r="EQ49" s="1751">
        <f t="shared" si="342"/>
        <v>0</v>
      </c>
      <c r="ER49" s="1751">
        <f t="shared" si="342"/>
        <v>0</v>
      </c>
      <c r="ES49" s="1751">
        <f t="shared" si="342"/>
        <v>0</v>
      </c>
      <c r="ET49" s="1751">
        <f t="shared" si="342"/>
        <v>5070</v>
      </c>
      <c r="EU49" s="1751">
        <f t="shared" si="342"/>
        <v>19652</v>
      </c>
      <c r="EV49" s="1751">
        <f t="shared" si="342"/>
        <v>31372</v>
      </c>
      <c r="EW49" s="1751">
        <f t="shared" si="342"/>
        <v>18852</v>
      </c>
      <c r="EX49" s="1751">
        <f t="shared" si="338"/>
        <v>0</v>
      </c>
      <c r="EY49" s="1751">
        <f t="shared" si="338"/>
        <v>0</v>
      </c>
      <c r="EZ49" s="1751">
        <f t="shared" si="338"/>
        <v>0</v>
      </c>
      <c r="FA49" s="1751">
        <f t="shared" si="338"/>
        <v>0</v>
      </c>
      <c r="FB49" s="1751">
        <f t="shared" ref="FB49:HW49" si="343">SUM(FB11:FB48)</f>
        <v>0</v>
      </c>
      <c r="FC49" s="1751">
        <f>SUM(FC11:FC48)</f>
        <v>0</v>
      </c>
      <c r="FD49" s="1751">
        <f>SUM(FD11:FD48)</f>
        <v>0</v>
      </c>
      <c r="FE49" s="1751">
        <f>SUM(FE11:FE48)</f>
        <v>0</v>
      </c>
      <c r="FF49" s="1751">
        <f>SUM(FF11:FF48)</f>
        <v>0</v>
      </c>
      <c r="FG49" s="1751">
        <f>SUM(FG11:FG48)</f>
        <v>0</v>
      </c>
      <c r="FH49" s="1751">
        <f t="shared" si="343"/>
        <v>0</v>
      </c>
      <c r="FI49" s="1751">
        <f t="shared" si="343"/>
        <v>3380</v>
      </c>
      <c r="FJ49" s="1751">
        <f t="shared" si="343"/>
        <v>17340</v>
      </c>
      <c r="FK49" s="1751">
        <f t="shared" si="343"/>
        <v>16368</v>
      </c>
      <c r="FL49" s="1751">
        <f t="shared" si="343"/>
        <v>9426</v>
      </c>
      <c r="FM49" s="1751">
        <f>SUM(FM11:FM48)</f>
        <v>0</v>
      </c>
      <c r="FN49" s="1751">
        <f>SUM(FN11:FN48)</f>
        <v>0</v>
      </c>
      <c r="FO49" s="1751">
        <f>SUM(FO11:FO48)</f>
        <v>0</v>
      </c>
      <c r="FP49" s="1751">
        <f>SUM(FP11:FP48)</f>
        <v>0</v>
      </c>
      <c r="FQ49" s="1751">
        <f>SUM(FQ11:FQ48)</f>
        <v>0</v>
      </c>
      <c r="FR49" s="1751">
        <f t="shared" si="343"/>
        <v>0</v>
      </c>
      <c r="FS49" s="1751">
        <f t="shared" si="343"/>
        <v>0</v>
      </c>
      <c r="FT49" s="1751">
        <f t="shared" si="343"/>
        <v>0</v>
      </c>
      <c r="FU49" s="1751">
        <f t="shared" si="343"/>
        <v>0</v>
      </c>
      <c r="FV49" s="1751">
        <f t="shared" si="343"/>
        <v>0</v>
      </c>
      <c r="FW49" s="1751">
        <f t="shared" si="343"/>
        <v>0</v>
      </c>
      <c r="FX49" s="1751">
        <f t="shared" si="343"/>
        <v>0</v>
      </c>
      <c r="FY49" s="1751">
        <f t="shared" si="343"/>
        <v>34680</v>
      </c>
      <c r="FZ49" s="1751">
        <f t="shared" si="343"/>
        <v>39556</v>
      </c>
      <c r="GA49" s="1751">
        <f t="shared" si="343"/>
        <v>25136</v>
      </c>
      <c r="GB49" s="1751">
        <f t="shared" si="343"/>
        <v>0</v>
      </c>
      <c r="GC49" s="1751">
        <f t="shared" si="343"/>
        <v>0</v>
      </c>
      <c r="GD49" s="1751">
        <f t="shared" si="343"/>
        <v>0</v>
      </c>
      <c r="GE49" s="1751">
        <f t="shared" si="343"/>
        <v>0</v>
      </c>
      <c r="GF49" s="1751">
        <f t="shared" si="343"/>
        <v>0</v>
      </c>
      <c r="GG49" s="1751">
        <f t="shared" si="343"/>
        <v>0</v>
      </c>
      <c r="GH49" s="1751">
        <f t="shared" si="343"/>
        <v>15</v>
      </c>
      <c r="GI49" s="1751">
        <f t="shared" si="343"/>
        <v>39</v>
      </c>
      <c r="GJ49" s="1751">
        <f t="shared" si="343"/>
        <v>45</v>
      </c>
      <c r="GK49" s="1751">
        <f t="shared" si="343"/>
        <v>21</v>
      </c>
      <c r="GL49" s="1751">
        <f t="shared" si="343"/>
        <v>0</v>
      </c>
      <c r="GM49" s="1751">
        <f t="shared" si="343"/>
        <v>0</v>
      </c>
      <c r="GN49" s="1751">
        <f t="shared" si="343"/>
        <v>0</v>
      </c>
      <c r="GO49" s="1751">
        <f t="shared" si="343"/>
        <v>0</v>
      </c>
      <c r="GP49" s="1751">
        <f t="shared" si="343"/>
        <v>0</v>
      </c>
      <c r="GQ49" s="1751">
        <f t="shared" si="343"/>
        <v>0</v>
      </c>
      <c r="GR49" s="1751">
        <f t="shared" si="343"/>
        <v>0</v>
      </c>
      <c r="GS49" s="1751">
        <f t="shared" si="343"/>
        <v>0</v>
      </c>
      <c r="GT49" s="1751">
        <f t="shared" si="343"/>
        <v>0</v>
      </c>
      <c r="GU49" s="1751">
        <f t="shared" si="343"/>
        <v>0</v>
      </c>
      <c r="GV49" s="1751">
        <f t="shared" si="343"/>
        <v>0</v>
      </c>
      <c r="GW49" s="1751">
        <f t="shared" si="343"/>
        <v>0</v>
      </c>
      <c r="GX49" s="1751">
        <f t="shared" si="343"/>
        <v>0</v>
      </c>
      <c r="GY49" s="1751">
        <f t="shared" si="343"/>
        <v>0</v>
      </c>
      <c r="GZ49" s="1751">
        <f t="shared" si="343"/>
        <v>0</v>
      </c>
      <c r="HA49" s="1751">
        <f t="shared" si="343"/>
        <v>0</v>
      </c>
      <c r="HB49" s="1751">
        <f t="shared" si="343"/>
        <v>0</v>
      </c>
      <c r="HC49" s="1751">
        <f t="shared" si="343"/>
        <v>0</v>
      </c>
      <c r="HD49" s="1751">
        <f t="shared" si="343"/>
        <v>0</v>
      </c>
      <c r="HE49" s="1751">
        <f t="shared" si="343"/>
        <v>0</v>
      </c>
      <c r="HF49" s="1751">
        <f t="shared" si="343"/>
        <v>0</v>
      </c>
      <c r="HG49" s="1751">
        <f t="shared" si="343"/>
        <v>0</v>
      </c>
      <c r="HH49" s="1751">
        <f t="shared" si="343"/>
        <v>0</v>
      </c>
      <c r="HI49" s="1751">
        <f t="shared" si="343"/>
        <v>0</v>
      </c>
      <c r="HJ49" s="1751">
        <f t="shared" si="343"/>
        <v>0</v>
      </c>
      <c r="HK49" s="1751">
        <f t="shared" si="343"/>
        <v>0</v>
      </c>
      <c r="HL49" s="1751">
        <f t="shared" si="343"/>
        <v>0</v>
      </c>
      <c r="HM49" s="1751">
        <f t="shared" si="343"/>
        <v>0</v>
      </c>
      <c r="HN49" s="1751">
        <f t="shared" si="343"/>
        <v>0</v>
      </c>
      <c r="HO49" s="1751">
        <f t="shared" si="343"/>
        <v>0</v>
      </c>
      <c r="HP49" s="1751">
        <f t="shared" si="343"/>
        <v>0</v>
      </c>
      <c r="HQ49" s="1751">
        <f t="shared" si="343"/>
        <v>0</v>
      </c>
      <c r="HR49" s="1751">
        <f t="shared" si="343"/>
        <v>0</v>
      </c>
      <c r="HS49" s="1751">
        <f t="shared" si="343"/>
        <v>0</v>
      </c>
      <c r="HT49" s="1751">
        <f t="shared" si="343"/>
        <v>0</v>
      </c>
      <c r="HU49" s="1751">
        <f t="shared" si="343"/>
        <v>0</v>
      </c>
      <c r="HV49" s="1751">
        <f t="shared" si="343"/>
        <v>0</v>
      </c>
      <c r="HW49" s="1751">
        <f t="shared" si="343"/>
        <v>0</v>
      </c>
      <c r="HX49" s="1751">
        <f t="shared" ref="HX49:KG49" si="344">SUM(HX11:HX48)</f>
        <v>0</v>
      </c>
      <c r="HY49" s="1751">
        <f t="shared" si="344"/>
        <v>0</v>
      </c>
      <c r="HZ49" s="1751">
        <f t="shared" si="344"/>
        <v>0</v>
      </c>
      <c r="IA49" s="1751">
        <f t="shared" si="344"/>
        <v>15</v>
      </c>
      <c r="IB49" s="1751">
        <f t="shared" si="344"/>
        <v>39</v>
      </c>
      <c r="IC49" s="1751">
        <f t="shared" si="344"/>
        <v>45</v>
      </c>
      <c r="ID49" s="1751">
        <f t="shared" si="344"/>
        <v>21</v>
      </c>
      <c r="IE49" s="1751">
        <f t="shared" si="344"/>
        <v>0</v>
      </c>
      <c r="IF49" s="1751">
        <f t="shared" si="344"/>
        <v>0</v>
      </c>
      <c r="IG49" s="1751">
        <f t="shared" si="344"/>
        <v>0</v>
      </c>
      <c r="IH49" s="1751">
        <f t="shared" si="344"/>
        <v>0</v>
      </c>
      <c r="II49" s="1751">
        <f t="shared" si="344"/>
        <v>0</v>
      </c>
      <c r="IJ49" s="1751">
        <f t="shared" si="344"/>
        <v>0</v>
      </c>
      <c r="IK49" s="1751">
        <f t="shared" si="344"/>
        <v>0</v>
      </c>
      <c r="IL49" s="1751">
        <f t="shared" si="344"/>
        <v>0</v>
      </c>
      <c r="IM49" s="1751">
        <f t="shared" si="344"/>
        <v>0</v>
      </c>
      <c r="IN49" s="1751">
        <f t="shared" si="344"/>
        <v>0</v>
      </c>
      <c r="IO49" s="1751">
        <f t="shared" si="344"/>
        <v>0</v>
      </c>
      <c r="IP49" s="1751">
        <f t="shared" si="344"/>
        <v>0</v>
      </c>
      <c r="IQ49" s="1751">
        <f t="shared" si="344"/>
        <v>0</v>
      </c>
      <c r="IR49" s="1751">
        <f t="shared" si="344"/>
        <v>0</v>
      </c>
      <c r="IS49" s="1751">
        <f t="shared" si="344"/>
        <v>0</v>
      </c>
      <c r="IT49" s="1751">
        <f t="shared" si="344"/>
        <v>0</v>
      </c>
      <c r="IU49" s="1751">
        <f t="shared" si="344"/>
        <v>0</v>
      </c>
      <c r="IV49" s="1751">
        <f t="shared" si="344"/>
        <v>0</v>
      </c>
      <c r="IW49" s="1751">
        <f t="shared" si="344"/>
        <v>0</v>
      </c>
      <c r="IX49" s="1751">
        <f t="shared" si="344"/>
        <v>0</v>
      </c>
      <c r="IY49" s="1751">
        <f t="shared" si="344"/>
        <v>0</v>
      </c>
      <c r="IZ49" s="1751">
        <f t="shared" si="344"/>
        <v>0</v>
      </c>
      <c r="JA49" s="1751">
        <f t="shared" si="344"/>
        <v>0</v>
      </c>
      <c r="JB49" s="1751">
        <f t="shared" si="344"/>
        <v>0</v>
      </c>
      <c r="JC49" s="1751">
        <f t="shared" si="344"/>
        <v>0</v>
      </c>
      <c r="JD49" s="1751">
        <f t="shared" si="344"/>
        <v>0</v>
      </c>
      <c r="JE49" s="1751">
        <f t="shared" si="344"/>
        <v>0</v>
      </c>
      <c r="JF49" s="1751">
        <f t="shared" si="344"/>
        <v>0</v>
      </c>
      <c r="JG49" s="1751">
        <f t="shared" si="344"/>
        <v>0</v>
      </c>
      <c r="JH49" s="1751">
        <f t="shared" si="344"/>
        <v>0</v>
      </c>
      <c r="JI49" s="1751">
        <f t="shared" si="344"/>
        <v>0</v>
      </c>
      <c r="JJ49" s="1751">
        <f t="shared" si="344"/>
        <v>0</v>
      </c>
      <c r="JK49" s="1751">
        <f t="shared" si="344"/>
        <v>0</v>
      </c>
      <c r="JL49" s="1751">
        <f t="shared" si="344"/>
        <v>0</v>
      </c>
      <c r="JM49" s="1751">
        <f t="shared" si="344"/>
        <v>0</v>
      </c>
      <c r="JN49" s="1751">
        <f t="shared" si="344"/>
        <v>0</v>
      </c>
      <c r="JO49" s="1751">
        <f t="shared" si="344"/>
        <v>0</v>
      </c>
      <c r="JP49" s="1751">
        <f t="shared" si="344"/>
        <v>0</v>
      </c>
      <c r="JQ49" s="1751">
        <f t="shared" si="344"/>
        <v>0</v>
      </c>
      <c r="JR49" s="1751">
        <f t="shared" si="344"/>
        <v>0</v>
      </c>
      <c r="JS49" s="1751">
        <f t="shared" si="344"/>
        <v>0</v>
      </c>
      <c r="JT49" s="1751">
        <f t="shared" si="344"/>
        <v>15</v>
      </c>
      <c r="JU49" s="1751">
        <f t="shared" si="344"/>
        <v>39</v>
      </c>
      <c r="JV49" s="1751">
        <f t="shared" si="344"/>
        <v>45</v>
      </c>
      <c r="JW49" s="1751">
        <f t="shared" si="344"/>
        <v>21</v>
      </c>
      <c r="JX49" s="1751">
        <f>SUM(JX11:JX48)</f>
        <v>0</v>
      </c>
      <c r="JY49" s="1751">
        <f>SUM(JY11:JY48)</f>
        <v>0</v>
      </c>
      <c r="JZ49" s="1751">
        <f>SUM(JZ11:JZ48)</f>
        <v>0</v>
      </c>
      <c r="KA49" s="1751">
        <f>SUM(KA11:KA48)</f>
        <v>0</v>
      </c>
      <c r="KB49" s="1751">
        <f>SUM(KB11:KB48)</f>
        <v>0</v>
      </c>
      <c r="KC49" s="1751">
        <f t="shared" si="344"/>
        <v>0</v>
      </c>
      <c r="KD49" s="1751">
        <f t="shared" si="344"/>
        <v>0</v>
      </c>
      <c r="KE49" s="1751">
        <f t="shared" si="344"/>
        <v>0</v>
      </c>
      <c r="KF49" s="1751">
        <f t="shared" si="344"/>
        <v>0</v>
      </c>
      <c r="KG49" s="1751">
        <f t="shared" si="344"/>
        <v>0</v>
      </c>
      <c r="KH49" s="1751">
        <f>SUM(KH11:KH48)</f>
        <v>0</v>
      </c>
      <c r="KI49" s="1751">
        <f>SUM(KI11:KI48)</f>
        <v>0</v>
      </c>
      <c r="KJ49" s="1751">
        <f>SUM(KJ11:KJ48)</f>
        <v>0</v>
      </c>
      <c r="KK49" s="1751">
        <f>SUM(KK11:KK48)</f>
        <v>0</v>
      </c>
      <c r="KL49" s="1751">
        <f>SUM(KL11:KL48)</f>
        <v>0</v>
      </c>
      <c r="KM49" s="1751">
        <f t="shared" ref="KM49:LA49" si="345">SUM(KM11:KM48)</f>
        <v>0</v>
      </c>
      <c r="KN49" s="1751">
        <f t="shared" si="345"/>
        <v>0</v>
      </c>
      <c r="KO49" s="1751">
        <f t="shared" si="345"/>
        <v>0</v>
      </c>
      <c r="KP49" s="1751">
        <f t="shared" si="345"/>
        <v>0</v>
      </c>
      <c r="KQ49" s="1751">
        <f t="shared" si="345"/>
        <v>0</v>
      </c>
      <c r="KR49" s="1751">
        <f>SUM(KR11:KR48)</f>
        <v>0</v>
      </c>
      <c r="KS49" s="1751">
        <f>SUM(KS11:KS48)</f>
        <v>0</v>
      </c>
      <c r="KT49" s="1751">
        <f>SUM(KT11:KT48)</f>
        <v>0</v>
      </c>
      <c r="KU49" s="1751">
        <f>SUM(KU11:KU48)</f>
        <v>0</v>
      </c>
      <c r="KV49" s="1751">
        <f>SUM(KV11:KV48)</f>
        <v>0</v>
      </c>
      <c r="KW49" s="1751">
        <f t="shared" si="345"/>
        <v>0</v>
      </c>
      <c r="KX49" s="1751">
        <f t="shared" si="345"/>
        <v>0</v>
      </c>
      <c r="KY49" s="1751">
        <f t="shared" si="345"/>
        <v>0</v>
      </c>
      <c r="KZ49" s="1751">
        <f t="shared" si="345"/>
        <v>0</v>
      </c>
      <c r="LA49" s="1751">
        <f t="shared" si="345"/>
        <v>0</v>
      </c>
      <c r="LB49" s="1751">
        <f>SUM(LB11:LB48)</f>
        <v>0</v>
      </c>
      <c r="LC49" s="1751">
        <f>SUM(LC11:LC48)</f>
        <v>0</v>
      </c>
      <c r="LD49" s="1751">
        <f>SUM(LD11:LD48)</f>
        <v>0</v>
      </c>
      <c r="LE49" s="1751">
        <f>SUM(LE11:LE48)</f>
        <v>0</v>
      </c>
      <c r="LF49" s="1751">
        <f>SUM(LF11:LF48)</f>
        <v>0</v>
      </c>
      <c r="LG49" s="1751">
        <f t="shared" ref="LG49:MU49" si="346">SUM(LG11:LG48)</f>
        <v>0</v>
      </c>
      <c r="LH49" s="1751">
        <f t="shared" si="346"/>
        <v>0</v>
      </c>
      <c r="LI49" s="1751">
        <f t="shared" si="346"/>
        <v>0</v>
      </c>
      <c r="LJ49" s="1751">
        <f t="shared" si="346"/>
        <v>0</v>
      </c>
      <c r="LK49" s="1751">
        <f t="shared" si="346"/>
        <v>0</v>
      </c>
      <c r="LL49" s="1751">
        <f t="shared" si="346"/>
        <v>0</v>
      </c>
      <c r="LM49" s="1751">
        <f t="shared" si="346"/>
        <v>0</v>
      </c>
      <c r="LN49" s="1751">
        <f t="shared" si="346"/>
        <v>0</v>
      </c>
      <c r="LO49" s="1751">
        <f t="shared" si="346"/>
        <v>0</v>
      </c>
      <c r="LP49" s="1751">
        <f t="shared" si="346"/>
        <v>0</v>
      </c>
      <c r="LQ49" s="1751">
        <f t="shared" si="346"/>
        <v>0</v>
      </c>
      <c r="LR49" s="1751">
        <f t="shared" si="346"/>
        <v>0</v>
      </c>
      <c r="LS49" s="1751">
        <f t="shared" si="346"/>
        <v>0</v>
      </c>
      <c r="LT49" s="1751">
        <f t="shared" si="346"/>
        <v>0</v>
      </c>
      <c r="LU49" s="1751">
        <f t="shared" si="346"/>
        <v>0</v>
      </c>
      <c r="LV49" s="1751">
        <f t="shared" si="346"/>
        <v>0</v>
      </c>
      <c r="LW49" s="1751">
        <f t="shared" si="346"/>
        <v>0</v>
      </c>
      <c r="LX49" s="1751">
        <f t="shared" si="346"/>
        <v>0</v>
      </c>
      <c r="LY49" s="1751">
        <f t="shared" si="346"/>
        <v>0</v>
      </c>
      <c r="LZ49" s="1751">
        <f t="shared" si="346"/>
        <v>0</v>
      </c>
      <c r="MA49" s="1751">
        <f t="shared" si="346"/>
        <v>0</v>
      </c>
      <c r="MB49" s="1751">
        <f t="shared" si="346"/>
        <v>0</v>
      </c>
      <c r="MC49" s="1751">
        <f t="shared" si="346"/>
        <v>0</v>
      </c>
      <c r="MD49" s="1751">
        <f t="shared" si="346"/>
        <v>0</v>
      </c>
      <c r="ME49" s="1751">
        <f t="shared" si="346"/>
        <v>0</v>
      </c>
      <c r="MF49" s="1751">
        <f t="shared" si="346"/>
        <v>0</v>
      </c>
      <c r="MG49" s="1751">
        <f t="shared" si="346"/>
        <v>0</v>
      </c>
      <c r="MH49" s="1751">
        <f t="shared" si="346"/>
        <v>0</v>
      </c>
      <c r="MI49" s="1751">
        <f t="shared" si="346"/>
        <v>0</v>
      </c>
      <c r="MJ49" s="1751">
        <f t="shared" si="346"/>
        <v>0</v>
      </c>
      <c r="MK49" s="1751">
        <f t="shared" si="346"/>
        <v>0</v>
      </c>
      <c r="ML49" s="1751">
        <f t="shared" si="346"/>
        <v>15</v>
      </c>
      <c r="MM49" s="1751">
        <f t="shared" si="346"/>
        <v>39</v>
      </c>
      <c r="MN49" s="1751">
        <f t="shared" si="346"/>
        <v>45</v>
      </c>
      <c r="MO49" s="1751">
        <f t="shared" si="346"/>
        <v>21</v>
      </c>
      <c r="MP49" s="1751">
        <f t="shared" si="346"/>
        <v>0</v>
      </c>
      <c r="MQ49" s="1751">
        <f t="shared" si="346"/>
        <v>0</v>
      </c>
      <c r="MR49" s="1751">
        <f t="shared" si="346"/>
        <v>0</v>
      </c>
      <c r="MS49" s="1751">
        <f t="shared" si="346"/>
        <v>0</v>
      </c>
      <c r="MT49" s="1751">
        <f t="shared" si="346"/>
        <v>0</v>
      </c>
      <c r="MU49" s="449">
        <f t="shared" si="346"/>
        <v>0</v>
      </c>
      <c r="NO49" s="357"/>
      <c r="NP49" s="1721" t="s">
        <v>6452</v>
      </c>
      <c r="NQ49" s="357"/>
    </row>
    <row r="50" spans="1:381" s="115" customFormat="1" ht="13.9" customHeight="1">
      <c r="B50" s="3167">
        <f>IF(SUM(E18:E48)=0,"",(B18*E18+B19*E19+B20*E20+B21*E21+B22*E22+B23*E23+B24*E24+B25*E25+B26*E26+B27*E27+B28*E28+B29*E29+B30*E30+B31*E31+B32*E32+B33*E33+B34*E34+B35*E35+B36*E36+B37*E37+B38*E38+B39*E39+B40*E40+B41*E41+B42*E42+B43*E43+B44*E44+B45*E45+B46*E46+B47*E47+B48*E48)/SUM(E18:E48))</f>
        <v>54.916666666666664</v>
      </c>
      <c r="C50" s="3168"/>
      <c r="D50" s="119" t="s">
        <v>3679</v>
      </c>
      <c r="E50" s="1112">
        <f>SUM(E18:E48)</f>
        <v>120</v>
      </c>
      <c r="F50" s="1114">
        <f>(E18*F18+E19*F19+E20*F20+E21*F21+E22*F22+E23*F23+E24*F24+E25*F25+E26*F26+E27*F27+E28*F28+E29*F29+E30*F30+E31*F31+E32*F32+E33*F33+E34*F34+E35*F35+E36*F36+E37*F37+E38*F38+E39*F39+E40*F40+E41*F41+E42*F42+E43*F43+E44*F44+E45*F45+E46*F46+E47*F47+E48*F48)</f>
        <v>152130</v>
      </c>
      <c r="H50" s="3100"/>
      <c r="I50" s="1118" t="s">
        <v>3771</v>
      </c>
      <c r="J50" s="1119" t="str">
        <f>IF(P67=0,"",IF(SUM(P59:P62)/P67&gt;=0.2,"Pass","Fail"))</f>
        <v>Pass</v>
      </c>
      <c r="K50" s="448"/>
      <c r="L50" s="107" t="s">
        <v>757</v>
      </c>
      <c r="M50" s="94">
        <f>M49*12</f>
        <v>1876692</v>
      </c>
      <c r="N50" s="72"/>
      <c r="O50" s="72"/>
      <c r="P50" s="72"/>
      <c r="Q50" s="72"/>
      <c r="R50" s="72"/>
      <c r="S50" s="72"/>
      <c r="T50" s="72"/>
      <c r="U50" s="72"/>
      <c r="V50" s="72"/>
      <c r="W50" s="449"/>
      <c r="X50" s="1751"/>
      <c r="Y50" s="1751"/>
      <c r="Z50" s="1751"/>
      <c r="AA50" s="1751"/>
      <c r="AB50" s="1751"/>
      <c r="AC50" s="1751"/>
      <c r="AD50" s="1751"/>
      <c r="AE50" s="1751"/>
      <c r="AF50" s="1751"/>
      <c r="AG50" s="1751"/>
      <c r="AH50" s="1751"/>
      <c r="AI50" s="1751"/>
      <c r="AJ50" s="1751"/>
      <c r="AK50" s="1751"/>
      <c r="AL50" s="1751"/>
      <c r="AM50" s="1751"/>
      <c r="AN50" s="1751"/>
      <c r="AO50" s="1751"/>
      <c r="AP50" s="1751"/>
      <c r="AQ50" s="1751"/>
      <c r="AR50" s="1751"/>
      <c r="AS50" s="1751"/>
      <c r="AT50" s="1751"/>
      <c r="AU50" s="1751"/>
      <c r="AV50" s="1751"/>
      <c r="AW50" s="1751"/>
      <c r="AX50" s="1751"/>
      <c r="AY50" s="1751"/>
      <c r="AZ50" s="1751"/>
      <c r="BA50" s="1751"/>
      <c r="BB50" s="1751"/>
      <c r="BC50" s="1751"/>
      <c r="BD50" s="1751"/>
      <c r="BE50" s="1751"/>
      <c r="BF50" s="1751"/>
      <c r="BG50" s="1751"/>
      <c r="BH50" s="1751"/>
      <c r="BI50" s="1751"/>
      <c r="BJ50" s="1751"/>
      <c r="BK50" s="1751"/>
      <c r="BL50" s="1751"/>
      <c r="BM50" s="1751"/>
      <c r="BN50" s="1751"/>
      <c r="BO50" s="1751"/>
      <c r="BP50" s="1751"/>
      <c r="BQ50" s="1751"/>
      <c r="BR50" s="1751"/>
      <c r="BS50" s="1751"/>
      <c r="BT50" s="1751"/>
      <c r="BU50" s="1751"/>
      <c r="BV50" s="1751"/>
      <c r="BW50" s="1751"/>
      <c r="BX50" s="1751"/>
      <c r="BY50" s="1751"/>
      <c r="BZ50" s="1751"/>
      <c r="CA50" s="1751"/>
      <c r="CB50" s="1751"/>
      <c r="CC50" s="1751"/>
      <c r="CD50" s="1751"/>
      <c r="CE50" s="1751"/>
      <c r="CF50" s="1751"/>
      <c r="CG50" s="1751"/>
      <c r="CH50" s="1751"/>
      <c r="CI50" s="1751"/>
      <c r="CJ50" s="1751"/>
      <c r="CK50" s="1751"/>
      <c r="CL50" s="1751"/>
      <c r="CM50" s="1751"/>
      <c r="CN50" s="1751"/>
      <c r="CO50" s="1751"/>
      <c r="CP50" s="1751"/>
      <c r="CQ50" s="1751"/>
      <c r="CR50" s="1751"/>
      <c r="CS50" s="1751"/>
      <c r="CT50" s="1751"/>
      <c r="CU50" s="1751"/>
      <c r="CV50" s="1751"/>
      <c r="CW50" s="1751"/>
      <c r="CX50" s="1751"/>
      <c r="CY50" s="1751"/>
      <c r="CZ50" s="1751"/>
      <c r="DA50" s="1751"/>
      <c r="DB50" s="1751"/>
      <c r="DC50" s="1751"/>
      <c r="DD50" s="1751"/>
      <c r="DE50" s="1751"/>
      <c r="DF50" s="1751"/>
      <c r="DG50" s="1751"/>
      <c r="DH50" s="1751"/>
      <c r="DI50" s="1751"/>
      <c r="DJ50" s="1751"/>
      <c r="DK50" s="1751"/>
      <c r="DL50" s="1751"/>
      <c r="DM50" s="1751"/>
      <c r="DN50" s="1751"/>
      <c r="DO50" s="1751"/>
      <c r="DP50" s="1751"/>
      <c r="DQ50" s="1751"/>
      <c r="DR50" s="1751"/>
      <c r="DS50" s="1751"/>
      <c r="DT50" s="1751"/>
      <c r="DU50" s="1751"/>
      <c r="DV50" s="1751"/>
      <c r="DW50" s="1751"/>
      <c r="DX50" s="1751"/>
      <c r="DY50" s="1751"/>
      <c r="DZ50" s="1751"/>
      <c r="EA50" s="1751"/>
      <c r="EB50" s="1751"/>
      <c r="EC50" s="1751"/>
      <c r="ED50" s="1751"/>
      <c r="EE50" s="1751"/>
      <c r="EF50" s="1751"/>
      <c r="EG50" s="1751"/>
      <c r="EH50" s="1751"/>
      <c r="EI50" s="1751"/>
      <c r="EJ50" s="1751"/>
      <c r="EK50" s="1751"/>
      <c r="EL50" s="1751"/>
      <c r="EM50" s="1751"/>
      <c r="EN50" s="1751"/>
      <c r="EO50" s="1751"/>
      <c r="EP50" s="1751"/>
      <c r="EQ50" s="1751"/>
      <c r="ER50" s="1751"/>
      <c r="ES50" s="1751"/>
      <c r="ET50" s="1751"/>
      <c r="EU50" s="1751"/>
      <c r="EV50" s="1751"/>
      <c r="EW50" s="1751"/>
      <c r="EX50" s="1751"/>
      <c r="EY50" s="1751"/>
      <c r="EZ50" s="1751"/>
      <c r="FA50" s="1751"/>
      <c r="FB50" s="1751"/>
      <c r="FC50" s="1751"/>
      <c r="FD50" s="1751"/>
      <c r="FE50" s="1751"/>
      <c r="FF50" s="1751"/>
      <c r="FG50" s="1751"/>
      <c r="FH50" s="1751"/>
      <c r="FI50" s="1751"/>
      <c r="FJ50" s="1751"/>
      <c r="FK50" s="1751"/>
      <c r="FL50" s="1751"/>
      <c r="FM50" s="1751"/>
      <c r="FN50" s="1751"/>
      <c r="FO50" s="1751"/>
      <c r="FP50" s="1751"/>
      <c r="FQ50" s="1751"/>
      <c r="FR50" s="1751"/>
      <c r="FS50" s="1751"/>
      <c r="FT50" s="1751"/>
      <c r="FU50" s="1751"/>
      <c r="FV50" s="1751"/>
      <c r="FW50" s="1751"/>
      <c r="FX50" s="1751"/>
      <c r="FY50" s="1751"/>
      <c r="FZ50" s="1751"/>
      <c r="GA50" s="1751"/>
      <c r="GB50" s="1751"/>
      <c r="GC50" s="1751"/>
      <c r="GD50" s="1751"/>
      <c r="GE50" s="1751"/>
      <c r="GF50" s="1751"/>
      <c r="GG50" s="1751"/>
      <c r="GH50" s="1751"/>
      <c r="GI50" s="1751"/>
      <c r="GJ50" s="1751"/>
      <c r="GK50" s="1751"/>
      <c r="GL50" s="1751"/>
      <c r="GM50" s="1751"/>
      <c r="GN50" s="1751"/>
      <c r="GO50" s="1751"/>
      <c r="GP50" s="1751"/>
      <c r="GQ50" s="1751"/>
      <c r="GR50" s="1751"/>
      <c r="GS50" s="1751"/>
      <c r="GT50" s="1751"/>
      <c r="GU50" s="1751"/>
      <c r="GV50" s="1751"/>
      <c r="GW50" s="1751"/>
      <c r="GX50" s="1751"/>
      <c r="GY50" s="1751"/>
      <c r="GZ50" s="1751"/>
      <c r="HA50" s="1751"/>
      <c r="HB50" s="1751"/>
      <c r="HC50" s="1751"/>
      <c r="HD50" s="1751"/>
      <c r="HE50" s="1751"/>
      <c r="HF50" s="1751"/>
      <c r="HG50" s="1751"/>
      <c r="HH50" s="1751"/>
      <c r="HI50" s="1751"/>
      <c r="HJ50" s="1751"/>
      <c r="HK50" s="1751"/>
      <c r="HL50" s="1751"/>
      <c r="HM50" s="1751"/>
      <c r="HN50" s="1751"/>
      <c r="HO50" s="1751"/>
      <c r="HP50" s="1751"/>
      <c r="HQ50" s="1751"/>
      <c r="HR50" s="1751"/>
      <c r="HS50" s="1751"/>
      <c r="HT50" s="1751"/>
      <c r="HU50" s="1751"/>
      <c r="HV50" s="1751"/>
      <c r="HW50" s="1751"/>
      <c r="HX50" s="1751"/>
      <c r="HY50" s="1751"/>
      <c r="HZ50" s="1751"/>
      <c r="IA50" s="1751"/>
      <c r="IB50" s="1751"/>
      <c r="IC50" s="1751"/>
      <c r="ID50" s="1751"/>
      <c r="IE50" s="1751"/>
      <c r="IF50" s="1751"/>
      <c r="IG50" s="1751"/>
      <c r="IH50" s="1751"/>
      <c r="II50" s="1751"/>
      <c r="IJ50" s="1751"/>
      <c r="IK50" s="1751"/>
      <c r="IL50" s="1751"/>
      <c r="IM50" s="1751"/>
      <c r="IN50" s="1751"/>
      <c r="IO50" s="1751"/>
      <c r="IP50" s="1751"/>
      <c r="IQ50" s="1751"/>
      <c r="IR50" s="1751"/>
      <c r="IS50" s="1751"/>
      <c r="IT50" s="1751"/>
      <c r="IU50" s="1751"/>
      <c r="IV50" s="1751"/>
      <c r="IW50" s="1751"/>
      <c r="IX50" s="1751"/>
      <c r="IY50" s="1751"/>
      <c r="IZ50" s="1751"/>
      <c r="JA50" s="1751"/>
      <c r="JB50" s="1751"/>
      <c r="JC50" s="1751"/>
      <c r="JD50" s="1751"/>
      <c r="JE50" s="1751"/>
      <c r="JF50" s="1751"/>
      <c r="JG50" s="1751"/>
      <c r="JH50" s="1751"/>
      <c r="JI50" s="1751"/>
      <c r="JJ50" s="1751"/>
      <c r="JK50" s="1751"/>
      <c r="JL50" s="1751"/>
      <c r="JM50" s="1751"/>
      <c r="JN50" s="1751"/>
      <c r="JO50" s="1751"/>
      <c r="JP50" s="1751"/>
      <c r="JQ50" s="1751"/>
      <c r="JR50" s="1751"/>
      <c r="JS50" s="1751"/>
      <c r="JT50" s="1751"/>
      <c r="JU50" s="1751"/>
      <c r="JV50" s="1751"/>
      <c r="JW50" s="1751"/>
      <c r="JX50" s="1751"/>
      <c r="JY50" s="1751"/>
      <c r="JZ50" s="1751"/>
      <c r="KA50" s="1751"/>
      <c r="KB50" s="1751"/>
      <c r="KC50" s="1751"/>
      <c r="KD50" s="1751"/>
      <c r="KE50" s="1751"/>
      <c r="KF50" s="1751"/>
      <c r="KG50" s="1751"/>
      <c r="KH50" s="1751"/>
      <c r="KI50" s="1751"/>
      <c r="KJ50" s="1751"/>
      <c r="KK50" s="1751"/>
      <c r="KL50" s="1751"/>
      <c r="KM50" s="1751"/>
      <c r="KN50" s="1751"/>
      <c r="KO50" s="1751"/>
      <c r="KP50" s="1751"/>
      <c r="KQ50" s="1751"/>
      <c r="KR50" s="1751"/>
      <c r="KS50" s="1751"/>
      <c r="KT50" s="1751"/>
      <c r="KU50" s="1751"/>
      <c r="KV50" s="1751"/>
      <c r="KW50" s="1751"/>
      <c r="KX50" s="1751"/>
      <c r="KY50" s="1751"/>
      <c r="KZ50" s="1751"/>
      <c r="LA50" s="1751"/>
      <c r="LB50" s="1751"/>
      <c r="LC50" s="1751"/>
      <c r="LD50" s="1751"/>
      <c r="LE50" s="1751"/>
      <c r="LF50" s="1751"/>
      <c r="LG50" s="1751"/>
      <c r="LH50" s="1751"/>
      <c r="LI50" s="1751"/>
      <c r="LJ50" s="1751"/>
      <c r="LK50" s="1751"/>
      <c r="LL50" s="1751"/>
      <c r="LM50" s="1751"/>
      <c r="LN50" s="1751"/>
      <c r="LO50" s="1751"/>
      <c r="LP50" s="1751"/>
      <c r="LQ50" s="1751"/>
      <c r="LR50" s="1751"/>
      <c r="LS50" s="1751"/>
      <c r="LT50" s="1751"/>
      <c r="LU50" s="1751"/>
      <c r="LV50" s="1751"/>
      <c r="LW50" s="1751"/>
      <c r="LX50" s="1751"/>
      <c r="LY50" s="1751"/>
      <c r="LZ50" s="1751"/>
      <c r="MA50" s="1751"/>
      <c r="MB50" s="1751"/>
      <c r="MC50" s="1751"/>
      <c r="MD50" s="1751"/>
      <c r="ME50" s="1751"/>
      <c r="MF50" s="357"/>
      <c r="MG50" s="357"/>
      <c r="MH50" s="357"/>
      <c r="MI50" s="357"/>
      <c r="MJ50" s="357"/>
      <c r="MK50" s="357"/>
      <c r="ML50" s="357"/>
      <c r="MM50" s="357"/>
      <c r="MN50" s="357"/>
      <c r="MO50" s="357"/>
      <c r="MP50" s="357"/>
      <c r="MQ50" s="357"/>
      <c r="MR50" s="357"/>
      <c r="MS50" s="357"/>
      <c r="MT50" s="357"/>
      <c r="NO50" s="357"/>
      <c r="NP50" s="1721" t="s">
        <v>6453</v>
      </c>
      <c r="NQ50" s="357"/>
    </row>
    <row r="51" spans="1:381" ht="12" customHeight="1">
      <c r="A51" s="3193" t="s">
        <v>2409</v>
      </c>
      <c r="B51" s="3192"/>
      <c r="C51" s="3192"/>
      <c r="D51" s="3192"/>
      <c r="E51" s="3192"/>
      <c r="F51" s="3192"/>
      <c r="G51" s="3192"/>
      <c r="H51" s="3192"/>
      <c r="I51" s="3192"/>
      <c r="J51" s="3192"/>
      <c r="K51" s="3192"/>
      <c r="L51" s="3192"/>
      <c r="M51" s="3192"/>
      <c r="N51" s="3192"/>
      <c r="O51" s="3192"/>
      <c r="P51" s="3192"/>
      <c r="Q51" s="3192"/>
      <c r="R51" s="832"/>
      <c r="S51" s="69"/>
      <c r="T51" s="69"/>
      <c r="U51" s="69"/>
      <c r="V51" s="69"/>
      <c r="W51" s="240"/>
      <c r="X51" s="1751"/>
      <c r="Y51" s="1751"/>
      <c r="Z51" s="1751"/>
      <c r="AA51" s="1751"/>
      <c r="AB51" s="1751"/>
      <c r="AC51" s="1751"/>
      <c r="AD51" s="1751"/>
      <c r="AE51" s="1751"/>
      <c r="AF51" s="1751"/>
      <c r="AG51" s="1751"/>
      <c r="AH51" s="1751"/>
      <c r="AI51" s="1751"/>
      <c r="AJ51" s="1751"/>
      <c r="AK51" s="1751"/>
      <c r="AL51" s="1751"/>
      <c r="AM51" s="1751"/>
      <c r="AN51" s="1751"/>
      <c r="AO51" s="1751"/>
      <c r="AP51" s="1751"/>
      <c r="AQ51" s="1751"/>
      <c r="AR51" s="1751"/>
      <c r="AS51" s="1751"/>
      <c r="AT51" s="1751"/>
      <c r="AU51" s="1751"/>
      <c r="AV51" s="1751"/>
      <c r="AW51" s="1751"/>
      <c r="AX51" s="1751"/>
      <c r="AY51" s="1751"/>
      <c r="AZ51" s="1751"/>
      <c r="BA51" s="1751"/>
      <c r="BB51" s="1751"/>
      <c r="BC51" s="1751"/>
      <c r="BD51" s="1751"/>
      <c r="BE51" s="1751"/>
      <c r="BF51" s="1751"/>
      <c r="BG51" s="1751"/>
      <c r="BH51" s="1751"/>
      <c r="BI51" s="1751"/>
      <c r="BJ51" s="1751"/>
      <c r="BK51" s="1751"/>
      <c r="BL51" s="1751"/>
      <c r="BM51" s="1751"/>
      <c r="BN51" s="1751"/>
      <c r="BO51" s="1751"/>
      <c r="BP51" s="1751"/>
      <c r="BQ51" s="1751"/>
      <c r="BR51" s="1751"/>
      <c r="BS51" s="1751"/>
      <c r="BT51" s="1751"/>
      <c r="BU51" s="1751"/>
      <c r="BV51" s="1751"/>
      <c r="BW51" s="1751"/>
      <c r="BX51" s="1751"/>
      <c r="BY51" s="1751"/>
      <c r="BZ51" s="1751"/>
      <c r="CA51" s="1751"/>
      <c r="CB51" s="1751"/>
      <c r="CC51" s="1751"/>
      <c r="CD51" s="1751"/>
      <c r="CE51" s="1751"/>
      <c r="CF51" s="1751"/>
      <c r="CG51" s="1751"/>
      <c r="CH51" s="1751"/>
      <c r="CI51" s="1751"/>
      <c r="CJ51" s="1751"/>
      <c r="CK51" s="1751"/>
      <c r="CL51" s="1751"/>
      <c r="CM51" s="1751"/>
      <c r="CN51" s="1751"/>
      <c r="CO51" s="1751"/>
      <c r="CP51" s="1751"/>
      <c r="CQ51" s="1751"/>
      <c r="CR51" s="1751"/>
      <c r="CS51" s="1751"/>
      <c r="CT51" s="1751"/>
      <c r="CU51" s="1751"/>
      <c r="CV51" s="1751"/>
      <c r="CW51" s="1751"/>
      <c r="CX51" s="1751"/>
      <c r="CY51" s="1751"/>
      <c r="CZ51" s="1751"/>
      <c r="DA51" s="1751"/>
      <c r="DB51" s="1751"/>
      <c r="DC51" s="1751"/>
      <c r="DD51" s="1751"/>
      <c r="DE51" s="1751"/>
      <c r="DF51" s="1751"/>
      <c r="DG51" s="1751"/>
      <c r="DH51" s="1751"/>
      <c r="DI51" s="1751"/>
      <c r="DJ51" s="1751"/>
      <c r="DK51" s="1751"/>
      <c r="DL51" s="1751"/>
      <c r="DM51" s="1751"/>
      <c r="DN51" s="1751"/>
      <c r="DO51" s="1751"/>
      <c r="DP51" s="1751"/>
      <c r="DQ51" s="1751"/>
      <c r="DR51" s="1751"/>
      <c r="DS51" s="1751"/>
      <c r="DT51" s="1751"/>
      <c r="DU51" s="1751"/>
      <c r="DV51" s="1751"/>
      <c r="DW51" s="1751"/>
      <c r="DX51" s="1751"/>
      <c r="DY51" s="1751"/>
      <c r="DZ51" s="1751"/>
      <c r="EA51" s="1751"/>
      <c r="EB51" s="1751"/>
      <c r="EC51" s="1751"/>
      <c r="ED51" s="1751"/>
      <c r="EE51" s="1751"/>
      <c r="EF51" s="1751"/>
      <c r="EG51" s="1751"/>
      <c r="EH51" s="1751"/>
      <c r="EI51" s="1751"/>
      <c r="EJ51" s="1751"/>
      <c r="EK51" s="1751"/>
      <c r="EL51" s="1751"/>
      <c r="EM51" s="1751"/>
      <c r="EN51" s="1751"/>
      <c r="EO51" s="1751"/>
      <c r="EP51" s="1751"/>
      <c r="EQ51" s="1751"/>
      <c r="ER51" s="1751"/>
      <c r="ES51" s="1751"/>
      <c r="ET51" s="1751"/>
      <c r="EU51" s="1751"/>
      <c r="EV51" s="1751"/>
      <c r="EW51" s="1751"/>
      <c r="EX51" s="1751"/>
      <c r="EY51" s="1751"/>
      <c r="EZ51" s="1751"/>
      <c r="FA51" s="1751"/>
      <c r="FB51" s="1751"/>
      <c r="FC51" s="1751"/>
      <c r="FD51" s="1751"/>
      <c r="FE51" s="1751"/>
      <c r="FF51" s="1751"/>
      <c r="FG51" s="1751"/>
      <c r="FH51" s="1751"/>
      <c r="FI51" s="1751"/>
      <c r="FJ51" s="1751"/>
      <c r="FK51" s="1751"/>
      <c r="FL51" s="1751"/>
      <c r="FM51" s="1751"/>
      <c r="FN51" s="1751"/>
      <c r="FO51" s="1751"/>
      <c r="FP51" s="1751"/>
      <c r="FQ51" s="1751"/>
      <c r="FR51" s="1751"/>
      <c r="FS51" s="1751"/>
      <c r="FT51" s="1751"/>
      <c r="FU51" s="1751"/>
      <c r="FV51" s="1751"/>
      <c r="FW51" s="1751"/>
      <c r="FX51" s="1751"/>
      <c r="FY51" s="1751"/>
      <c r="FZ51" s="1751"/>
      <c r="GA51" s="1751"/>
      <c r="GB51" s="1751"/>
      <c r="GC51" s="1751"/>
      <c r="GD51" s="1751"/>
      <c r="GE51" s="1751"/>
      <c r="GF51" s="1751"/>
      <c r="GG51" s="1751"/>
      <c r="GH51" s="1751"/>
      <c r="GI51" s="1751"/>
      <c r="GJ51" s="1751"/>
      <c r="GK51" s="1751"/>
      <c r="GL51" s="1751"/>
      <c r="GM51" s="1751"/>
      <c r="GN51" s="1751"/>
      <c r="GO51" s="1751"/>
      <c r="GP51" s="1751"/>
      <c r="GQ51" s="1751"/>
      <c r="GR51" s="1751"/>
      <c r="GS51" s="1751"/>
      <c r="GT51" s="1751"/>
      <c r="GU51" s="1751"/>
      <c r="GV51" s="1751"/>
      <c r="GW51" s="1751"/>
      <c r="GX51" s="1751"/>
      <c r="GY51" s="1751"/>
      <c r="GZ51" s="1751"/>
      <c r="HA51" s="1751"/>
      <c r="HB51" s="1751"/>
      <c r="HC51" s="1751"/>
      <c r="HD51" s="1751"/>
      <c r="HE51" s="1751"/>
      <c r="HF51" s="1751"/>
      <c r="HG51" s="1751"/>
      <c r="HH51" s="1751"/>
      <c r="HI51" s="1751"/>
      <c r="HJ51" s="1751"/>
      <c r="HK51" s="1751"/>
      <c r="HL51" s="1751"/>
      <c r="HM51" s="1751"/>
      <c r="HN51" s="1751"/>
      <c r="HO51" s="1751"/>
      <c r="HP51" s="1751"/>
      <c r="HQ51" s="1751"/>
      <c r="HR51" s="1751"/>
      <c r="HS51" s="1751"/>
      <c r="HT51" s="1751"/>
      <c r="HU51" s="1751"/>
      <c r="HV51" s="1751"/>
      <c r="HW51" s="1751"/>
      <c r="HX51" s="1751"/>
      <c r="HY51" s="1751"/>
      <c r="HZ51" s="1751"/>
      <c r="IA51" s="1751"/>
      <c r="IB51" s="1751"/>
      <c r="IC51" s="1751"/>
      <c r="ID51" s="1751"/>
      <c r="IE51" s="1751"/>
      <c r="IF51" s="1751"/>
      <c r="IG51" s="1751"/>
      <c r="IH51" s="1751"/>
      <c r="II51" s="1751"/>
      <c r="IJ51" s="1751"/>
      <c r="IK51" s="1751"/>
      <c r="IL51" s="1751"/>
      <c r="IM51" s="1751"/>
      <c r="IN51" s="1751"/>
      <c r="IO51" s="1751"/>
      <c r="IP51" s="1751"/>
      <c r="IQ51" s="1751"/>
      <c r="IR51" s="1751"/>
      <c r="IS51" s="1751"/>
      <c r="IT51" s="1751"/>
      <c r="IU51" s="1751"/>
      <c r="IV51" s="1751"/>
      <c r="IW51" s="1751"/>
      <c r="IX51" s="1751"/>
      <c r="IY51" s="1751"/>
      <c r="IZ51" s="1751"/>
      <c r="JA51" s="1751"/>
      <c r="JB51" s="1751"/>
      <c r="JC51" s="1751"/>
      <c r="JD51" s="1751"/>
      <c r="JE51" s="1751"/>
      <c r="JF51" s="1751"/>
      <c r="JG51" s="1751"/>
      <c r="JH51" s="1751"/>
      <c r="JI51" s="1751"/>
      <c r="JJ51" s="1751"/>
      <c r="JK51" s="1751"/>
      <c r="JL51" s="1751"/>
      <c r="JM51" s="1751"/>
      <c r="JN51" s="1751"/>
      <c r="JO51" s="1751"/>
      <c r="JP51" s="1751"/>
      <c r="JQ51" s="1751"/>
      <c r="JR51" s="1751"/>
      <c r="JS51" s="1751"/>
      <c r="JT51" s="1751"/>
      <c r="JU51" s="1751"/>
      <c r="JV51" s="1751"/>
      <c r="JW51" s="1751"/>
      <c r="JX51" s="1751"/>
      <c r="JY51" s="1751"/>
      <c r="JZ51" s="1751"/>
      <c r="KA51" s="1751"/>
      <c r="KB51" s="1751"/>
      <c r="KC51" s="1751"/>
      <c r="KD51" s="1751"/>
      <c r="KE51" s="1751"/>
      <c r="KF51" s="1751"/>
      <c r="KG51" s="1751"/>
      <c r="KH51" s="1751"/>
      <c r="KI51" s="1751"/>
      <c r="KJ51" s="1751"/>
      <c r="KK51" s="1751"/>
      <c r="KL51" s="1751"/>
      <c r="KM51" s="1751"/>
      <c r="KN51" s="1751"/>
      <c r="KO51" s="1751"/>
      <c r="KP51" s="1751"/>
      <c r="KQ51" s="1751"/>
      <c r="KR51" s="1751"/>
      <c r="KS51" s="1751"/>
      <c r="KT51" s="1751"/>
      <c r="KU51" s="1751"/>
      <c r="KV51" s="1751"/>
      <c r="KW51" s="1751"/>
      <c r="KX51" s="1751"/>
      <c r="KY51" s="1751"/>
      <c r="KZ51" s="1751"/>
      <c r="LA51" s="1751"/>
      <c r="LB51" s="1751"/>
      <c r="LC51" s="1751"/>
      <c r="LD51" s="1751"/>
      <c r="LE51" s="1751"/>
      <c r="LF51" s="1751"/>
      <c r="LG51" s="1751"/>
      <c r="LH51" s="1751"/>
      <c r="LI51" s="1751"/>
      <c r="LJ51" s="1751"/>
      <c r="LK51" s="1751"/>
      <c r="LL51" s="1751"/>
      <c r="LM51" s="1751"/>
      <c r="LN51" s="1751"/>
      <c r="LO51" s="1751"/>
      <c r="LP51" s="1751"/>
      <c r="LQ51" s="1751"/>
      <c r="LR51" s="1751"/>
      <c r="LS51" s="1751"/>
      <c r="LT51" s="1751"/>
      <c r="LU51" s="1751"/>
      <c r="LV51" s="1751"/>
      <c r="LW51" s="1751"/>
      <c r="LX51" s="1751"/>
      <c r="LY51" s="1751"/>
      <c r="LZ51" s="1751"/>
      <c r="MA51" s="1751"/>
      <c r="MB51" s="1751"/>
      <c r="MC51" s="1751"/>
      <c r="MD51" s="1751"/>
      <c r="ME51" s="1751"/>
    </row>
    <row r="52" spans="1:381" ht="12" customHeight="1">
      <c r="A52" s="3192"/>
      <c r="B52" s="3192"/>
      <c r="C52" s="3192"/>
      <c r="D52" s="3192"/>
      <c r="E52" s="3192"/>
      <c r="F52" s="3192"/>
      <c r="G52" s="3192"/>
      <c r="H52" s="3192"/>
      <c r="I52" s="3192"/>
      <c r="J52" s="3192"/>
      <c r="K52" s="3192"/>
      <c r="L52" s="3192"/>
      <c r="M52" s="3192"/>
      <c r="N52" s="3192"/>
      <c r="O52" s="3192"/>
      <c r="P52" s="3192"/>
      <c r="Q52" s="3192"/>
      <c r="R52" s="832"/>
      <c r="S52" s="69"/>
      <c r="T52" s="69"/>
      <c r="U52" s="69"/>
      <c r="V52" s="69"/>
      <c r="W52" s="240"/>
      <c r="X52" s="1751"/>
      <c r="Y52" s="1751"/>
      <c r="Z52" s="1751"/>
      <c r="AA52" s="1751"/>
      <c r="AB52" s="1751"/>
      <c r="AC52" s="1751"/>
      <c r="AD52" s="1751"/>
      <c r="AE52" s="1751"/>
      <c r="AF52" s="1751"/>
      <c r="AG52" s="1751"/>
      <c r="AH52" s="1751"/>
      <c r="AI52" s="1751"/>
      <c r="AJ52" s="1751"/>
      <c r="AK52" s="1751"/>
      <c r="AL52" s="1751"/>
      <c r="AM52" s="1751"/>
      <c r="AN52" s="1751"/>
      <c r="AO52" s="1751"/>
      <c r="AP52" s="1751"/>
      <c r="AQ52" s="1751"/>
      <c r="AR52" s="1751"/>
      <c r="AS52" s="1751"/>
      <c r="AT52" s="1751"/>
      <c r="AU52" s="1751"/>
      <c r="AV52" s="1751"/>
      <c r="AW52" s="1751"/>
      <c r="AX52" s="1751"/>
      <c r="AY52" s="1751"/>
      <c r="AZ52" s="1751"/>
      <c r="BA52" s="1751"/>
      <c r="BB52" s="1751"/>
      <c r="BC52" s="1751"/>
      <c r="BD52" s="1751"/>
      <c r="BE52" s="1751"/>
      <c r="BF52" s="1751"/>
      <c r="BG52" s="1751"/>
      <c r="BH52" s="1751"/>
      <c r="BI52" s="1751"/>
      <c r="BJ52" s="1751"/>
      <c r="BK52" s="1751"/>
      <c r="BL52" s="1751"/>
      <c r="BM52" s="1751"/>
      <c r="BN52" s="1751"/>
      <c r="BO52" s="1751"/>
      <c r="BP52" s="1751"/>
      <c r="BQ52" s="1751"/>
      <c r="BR52" s="1751"/>
      <c r="BS52" s="1751"/>
      <c r="BT52" s="1751"/>
      <c r="BU52" s="1751"/>
      <c r="BV52" s="1751"/>
      <c r="BW52" s="1751"/>
      <c r="BX52" s="1751"/>
      <c r="BY52" s="1751"/>
      <c r="BZ52" s="1751"/>
      <c r="CA52" s="1751"/>
      <c r="CB52" s="1751"/>
      <c r="CC52" s="1751"/>
      <c r="CD52" s="1751"/>
      <c r="CE52" s="1751"/>
      <c r="CF52" s="1751"/>
      <c r="CG52" s="1751"/>
      <c r="CH52" s="1751"/>
      <c r="CI52" s="1751"/>
      <c r="CJ52" s="1751"/>
      <c r="CK52" s="1751"/>
      <c r="CL52" s="1751"/>
      <c r="CM52" s="1751"/>
      <c r="CN52" s="1751"/>
      <c r="CO52" s="1751"/>
      <c r="CP52" s="1751"/>
      <c r="CQ52" s="1751"/>
      <c r="CR52" s="1751"/>
      <c r="CS52" s="1751"/>
      <c r="CT52" s="1751"/>
      <c r="CU52" s="1751"/>
      <c r="CV52" s="1751"/>
      <c r="CW52" s="1751"/>
      <c r="CX52" s="1751"/>
      <c r="CY52" s="1751"/>
      <c r="CZ52" s="1751"/>
      <c r="DA52" s="1751"/>
      <c r="DB52" s="1751"/>
      <c r="DC52" s="1751"/>
      <c r="DD52" s="1751"/>
      <c r="DE52" s="1751"/>
      <c r="DF52" s="1751"/>
      <c r="DG52" s="1751"/>
      <c r="DH52" s="1751"/>
      <c r="DI52" s="1751"/>
      <c r="DJ52" s="1751"/>
      <c r="DK52" s="1751"/>
      <c r="DL52" s="1751"/>
      <c r="DM52" s="1751"/>
      <c r="DN52" s="1751"/>
      <c r="DO52" s="1751"/>
      <c r="DP52" s="1751"/>
      <c r="DQ52" s="1751"/>
      <c r="DR52" s="1751"/>
      <c r="DS52" s="1751"/>
      <c r="DT52" s="1751"/>
      <c r="DU52" s="1751"/>
      <c r="DV52" s="1751"/>
      <c r="DW52" s="1751"/>
      <c r="DX52" s="1751"/>
      <c r="DY52" s="1751"/>
      <c r="DZ52" s="1751"/>
      <c r="EA52" s="1751"/>
      <c r="EB52" s="1751"/>
      <c r="EC52" s="1751"/>
      <c r="ED52" s="1751"/>
      <c r="EE52" s="1751"/>
      <c r="EF52" s="1751"/>
      <c r="EG52" s="1751"/>
      <c r="EH52" s="1751"/>
      <c r="EI52" s="1751"/>
      <c r="EJ52" s="1751"/>
      <c r="EK52" s="1751"/>
      <c r="EL52" s="1751"/>
      <c r="EM52" s="1751"/>
      <c r="EN52" s="1751"/>
      <c r="EO52" s="1751"/>
      <c r="EP52" s="1751"/>
      <c r="EQ52" s="1751"/>
      <c r="ER52" s="1751"/>
      <c r="ES52" s="1751"/>
      <c r="ET52" s="1751"/>
      <c r="EU52" s="1751"/>
      <c r="EV52" s="1751"/>
      <c r="EW52" s="1751"/>
      <c r="EX52" s="1751"/>
      <c r="EY52" s="1751"/>
      <c r="EZ52" s="1751"/>
      <c r="FA52" s="1751"/>
      <c r="FB52" s="1751"/>
      <c r="FC52" s="1751"/>
      <c r="FD52" s="1751"/>
      <c r="FE52" s="1751"/>
      <c r="FF52" s="1751"/>
      <c r="FG52" s="1751"/>
      <c r="FH52" s="1751"/>
      <c r="FI52" s="1751"/>
      <c r="FJ52" s="1751"/>
      <c r="FK52" s="1751"/>
      <c r="FL52" s="1751"/>
      <c r="FM52" s="1751"/>
      <c r="FN52" s="1751"/>
      <c r="FO52" s="1751"/>
      <c r="FP52" s="1751"/>
      <c r="FQ52" s="1751"/>
      <c r="FR52" s="1751"/>
      <c r="FS52" s="1751"/>
      <c r="FT52" s="1751"/>
      <c r="FU52" s="1751"/>
      <c r="FV52" s="1751"/>
      <c r="FW52" s="1751"/>
      <c r="FX52" s="1751"/>
      <c r="FY52" s="1751"/>
      <c r="FZ52" s="1751"/>
      <c r="GA52" s="1751"/>
      <c r="GB52" s="1751"/>
      <c r="GC52" s="1751"/>
      <c r="GD52" s="1751"/>
      <c r="GE52" s="1751"/>
      <c r="GF52" s="1751"/>
      <c r="GG52" s="1751"/>
      <c r="GH52" s="1751"/>
      <c r="GI52" s="1751"/>
      <c r="GJ52" s="1751"/>
      <c r="GK52" s="1751"/>
      <c r="GL52" s="1751"/>
      <c r="GM52" s="1751"/>
      <c r="GN52" s="1751"/>
      <c r="GO52" s="1751"/>
      <c r="GP52" s="1751"/>
      <c r="GQ52" s="1751"/>
      <c r="GR52" s="1751"/>
      <c r="GS52" s="1751"/>
      <c r="GT52" s="1751"/>
      <c r="GU52" s="1751"/>
      <c r="GV52" s="1751"/>
      <c r="GW52" s="1751"/>
      <c r="GX52" s="1751"/>
      <c r="GY52" s="1751"/>
      <c r="GZ52" s="1751"/>
      <c r="HA52" s="1751"/>
      <c r="HB52" s="1751"/>
      <c r="HC52" s="1751"/>
      <c r="HD52" s="1751"/>
      <c r="HE52" s="1751"/>
      <c r="HF52" s="1751"/>
      <c r="HG52" s="1751"/>
      <c r="HH52" s="1751"/>
      <c r="HI52" s="1751"/>
      <c r="HJ52" s="1751"/>
      <c r="HK52" s="1751"/>
      <c r="HL52" s="1751"/>
      <c r="HM52" s="1751"/>
      <c r="HN52" s="1751"/>
      <c r="HO52" s="1751"/>
      <c r="HP52" s="1751"/>
      <c r="HQ52" s="1751"/>
      <c r="HR52" s="1751"/>
      <c r="HS52" s="1751"/>
      <c r="HT52" s="1751"/>
      <c r="HU52" s="1751"/>
      <c r="HV52" s="1751"/>
      <c r="HW52" s="1751"/>
      <c r="HX52" s="1751"/>
      <c r="HY52" s="1751"/>
      <c r="HZ52" s="1751"/>
      <c r="IA52" s="1751"/>
      <c r="IB52" s="1751"/>
      <c r="IC52" s="1751"/>
      <c r="ID52" s="1751"/>
      <c r="IE52" s="1751"/>
      <c r="IF52" s="1751"/>
      <c r="IG52" s="1751"/>
      <c r="IH52" s="1751"/>
      <c r="II52" s="1751"/>
      <c r="IJ52" s="1751"/>
      <c r="IK52" s="1751"/>
      <c r="IL52" s="1751"/>
      <c r="IM52" s="1751"/>
      <c r="IN52" s="1751"/>
      <c r="IO52" s="1751"/>
      <c r="IP52" s="1751"/>
      <c r="IQ52" s="1751"/>
      <c r="IR52" s="1751"/>
      <c r="IS52" s="1751"/>
      <c r="IT52" s="1751"/>
      <c r="IU52" s="1751"/>
      <c r="IV52" s="1751"/>
      <c r="IW52" s="1751"/>
      <c r="IX52" s="1751"/>
      <c r="IY52" s="1751"/>
      <c r="IZ52" s="1751"/>
      <c r="JA52" s="1751"/>
      <c r="JB52" s="1751"/>
      <c r="JC52" s="1751"/>
      <c r="JD52" s="1751"/>
      <c r="JE52" s="1751"/>
      <c r="JF52" s="1751"/>
      <c r="JG52" s="1751"/>
      <c r="JH52" s="1751"/>
      <c r="JI52" s="1751"/>
      <c r="JJ52" s="1751"/>
      <c r="JK52" s="1751"/>
      <c r="JL52" s="1751"/>
      <c r="JM52" s="1751"/>
      <c r="JN52" s="1751"/>
      <c r="JO52" s="1751"/>
      <c r="JP52" s="1751"/>
      <c r="JQ52" s="1751"/>
      <c r="JR52" s="1751"/>
      <c r="JS52" s="1751"/>
      <c r="JT52" s="1751"/>
      <c r="JU52" s="1751"/>
      <c r="JV52" s="1751"/>
      <c r="JW52" s="1751"/>
      <c r="JX52" s="1751"/>
      <c r="JY52" s="1751"/>
      <c r="JZ52" s="1751"/>
      <c r="KA52" s="1751"/>
      <c r="KB52" s="1751"/>
      <c r="KC52" s="1751"/>
      <c r="KD52" s="1751"/>
      <c r="KE52" s="1751"/>
      <c r="KF52" s="1751"/>
      <c r="KG52" s="1751"/>
      <c r="KH52" s="1751"/>
      <c r="KI52" s="1751"/>
      <c r="KJ52" s="1751"/>
      <c r="KK52" s="1751"/>
      <c r="KL52" s="1751"/>
      <c r="KM52" s="1751"/>
      <c r="KN52" s="1751"/>
      <c r="KO52" s="1751"/>
      <c r="KP52" s="1751"/>
      <c r="KQ52" s="1751"/>
      <c r="KR52" s="1751"/>
      <c r="KS52" s="1751"/>
      <c r="KT52" s="1751"/>
      <c r="KU52" s="1751"/>
      <c r="KV52" s="1751"/>
      <c r="KW52" s="1751"/>
      <c r="KX52" s="1751"/>
      <c r="KY52" s="1751"/>
      <c r="KZ52" s="1751"/>
      <c r="LA52" s="1751"/>
      <c r="LB52" s="1751"/>
      <c r="LC52" s="1751"/>
      <c r="LD52" s="1751"/>
      <c r="LE52" s="1751"/>
      <c r="LF52" s="1751"/>
      <c r="LG52" s="1751"/>
      <c r="LH52" s="1751"/>
      <c r="LI52" s="1751"/>
      <c r="LJ52" s="1751"/>
      <c r="LK52" s="1751"/>
      <c r="LL52" s="1751"/>
      <c r="LM52" s="1751"/>
      <c r="LN52" s="1751"/>
      <c r="LO52" s="1751"/>
      <c r="LP52" s="1751"/>
      <c r="LQ52" s="1751"/>
      <c r="LR52" s="1751"/>
      <c r="LS52" s="1751"/>
      <c r="LT52" s="1751"/>
      <c r="LU52" s="1751"/>
      <c r="LV52" s="1751"/>
      <c r="LW52" s="1751"/>
      <c r="LX52" s="1751"/>
      <c r="LY52" s="1751"/>
      <c r="LZ52" s="1751"/>
      <c r="MA52" s="1751"/>
      <c r="MB52" s="1751"/>
      <c r="MC52" s="1751"/>
      <c r="MD52" s="1751"/>
      <c r="ME52" s="1751"/>
    </row>
    <row r="53" spans="1:381" ht="14.45" customHeight="1">
      <c r="A53" s="10" t="s">
        <v>689</v>
      </c>
      <c r="B53" s="10" t="s">
        <v>499</v>
      </c>
      <c r="K53" s="1898" t="s">
        <v>6653</v>
      </c>
      <c r="O53" s="3169" t="s">
        <v>3818</v>
      </c>
      <c r="P53" s="3170"/>
      <c r="S53" s="3165" t="str">
        <f>B53</f>
        <v>UNIT SUMMARY</v>
      </c>
      <c r="T53" s="3165"/>
      <c r="U53" s="3165"/>
      <c r="V53" s="3165"/>
      <c r="AY53" s="359"/>
      <c r="BD53" s="359"/>
      <c r="LO53" s="361"/>
      <c r="MD53" s="357"/>
    </row>
    <row r="54" spans="1:381" ht="14.25" customHeight="1">
      <c r="A54" s="10"/>
      <c r="B54" s="10"/>
      <c r="K54" s="144" t="s">
        <v>6655</v>
      </c>
      <c r="O54" s="3101" t="s">
        <v>6926</v>
      </c>
      <c r="P54" s="3102"/>
      <c r="S54" s="95"/>
      <c r="T54" s="95"/>
      <c r="U54" s="368"/>
      <c r="AY54" s="359"/>
      <c r="BD54" s="359"/>
      <c r="LO54" s="361"/>
      <c r="MD54" s="357"/>
    </row>
    <row r="55" spans="1:381" ht="14.45" customHeight="1">
      <c r="A55" s="10"/>
      <c r="B55" s="10" t="s">
        <v>6501</v>
      </c>
      <c r="H55" s="62" t="s">
        <v>976</v>
      </c>
      <c r="I55" s="62"/>
      <c r="J55" s="62"/>
      <c r="K55" s="1897" t="s">
        <v>526</v>
      </c>
      <c r="L55" s="91" t="s">
        <v>500</v>
      </c>
      <c r="M55" s="91" t="s">
        <v>501</v>
      </c>
      <c r="N55" s="91" t="s">
        <v>502</v>
      </c>
      <c r="O55" s="91" t="s">
        <v>503</v>
      </c>
      <c r="P55" s="91" t="s">
        <v>504</v>
      </c>
      <c r="S55" s="10" t="s">
        <v>1711</v>
      </c>
      <c r="T55" s="10"/>
      <c r="U55" s="368"/>
      <c r="AR55" s="1904"/>
      <c r="AS55" s="1904"/>
      <c r="AT55" s="1904"/>
      <c r="AU55" s="1904"/>
      <c r="AV55" s="1904"/>
      <c r="AW55" s="1904"/>
      <c r="AY55" s="359"/>
      <c r="BB55" s="1904"/>
      <c r="BD55" s="359"/>
      <c r="LO55" s="361"/>
      <c r="MD55" s="357"/>
    </row>
    <row r="56" spans="1:381" ht="15" customHeight="1">
      <c r="A56" s="3081" t="s">
        <v>4081</v>
      </c>
      <c r="B56" s="3081"/>
      <c r="C56" s="72" t="s">
        <v>1070</v>
      </c>
      <c r="D56" s="1"/>
      <c r="E56" s="1"/>
      <c r="F56" s="1"/>
      <c r="G56" s="62"/>
      <c r="H56" s="81" t="s">
        <v>3680</v>
      </c>
      <c r="I56" s="29"/>
      <c r="J56" s="62"/>
      <c r="K56" s="1126">
        <f>X49</f>
        <v>0</v>
      </c>
      <c r="L56" s="1127">
        <f>Y49</f>
        <v>5</v>
      </c>
      <c r="M56" s="1127">
        <f>Z49</f>
        <v>7</v>
      </c>
      <c r="N56" s="1127">
        <f>AA49</f>
        <v>10</v>
      </c>
      <c r="O56" s="1128">
        <f>AB49</f>
        <v>3</v>
      </c>
      <c r="P56" s="749">
        <f t="shared" ref="P56:P67" si="347">SUM(K56:O56)</f>
        <v>25</v>
      </c>
      <c r="Q56" s="3191" t="s">
        <v>3188</v>
      </c>
      <c r="R56" s="891"/>
      <c r="S56" s="3113"/>
      <c r="T56" s="3114"/>
      <c r="U56" s="3114"/>
      <c r="V56" s="3114"/>
      <c r="W56" s="3115"/>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081"/>
      <c r="B57" s="3081"/>
      <c r="C57" s="72"/>
      <c r="D57" s="1"/>
      <c r="E57" s="1"/>
      <c r="F57" s="1"/>
      <c r="G57" s="62"/>
      <c r="H57" s="81" t="s">
        <v>3681</v>
      </c>
      <c r="I57" s="29"/>
      <c r="J57" s="62"/>
      <c r="K57" s="1129">
        <f>AC49</f>
        <v>0</v>
      </c>
      <c r="L57" s="1130">
        <f>AD49</f>
        <v>0</v>
      </c>
      <c r="M57" s="1130">
        <f>AE49</f>
        <v>0</v>
      </c>
      <c r="N57" s="1130">
        <f>AF49</f>
        <v>0</v>
      </c>
      <c r="O57" s="1131">
        <f>AG49</f>
        <v>0</v>
      </c>
      <c r="P57" s="745">
        <f t="shared" si="347"/>
        <v>0</v>
      </c>
      <c r="Q57" s="3191"/>
      <c r="R57" s="891"/>
      <c r="S57" s="3087"/>
      <c r="T57" s="3088"/>
      <c r="U57" s="3088"/>
      <c r="V57" s="3088"/>
      <c r="W57" s="3089"/>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081"/>
      <c r="B58" s="3081"/>
      <c r="C58" s="72"/>
      <c r="D58" s="1"/>
      <c r="E58" s="1"/>
      <c r="F58" s="1"/>
      <c r="G58" s="62"/>
      <c r="H58" s="81" t="s">
        <v>1082</v>
      </c>
      <c r="I58" s="29"/>
      <c r="J58" s="62"/>
      <c r="K58" s="1129">
        <f>AH49</f>
        <v>0</v>
      </c>
      <c r="L58" s="1130">
        <f>AI49</f>
        <v>6</v>
      </c>
      <c r="M58" s="1130">
        <f>AJ49</f>
        <v>17</v>
      </c>
      <c r="N58" s="1130">
        <f>AK49</f>
        <v>23</v>
      </c>
      <c r="O58" s="1131">
        <f>AL49</f>
        <v>12</v>
      </c>
      <c r="P58" s="745">
        <f t="shared" si="347"/>
        <v>58</v>
      </c>
      <c r="Q58" s="3191"/>
      <c r="R58" s="891"/>
      <c r="S58" s="3087"/>
      <c r="T58" s="3088"/>
      <c r="U58" s="3088"/>
      <c r="V58" s="3088"/>
      <c r="W58" s="3089"/>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081"/>
      <c r="B59" s="3081"/>
      <c r="C59" s="72"/>
      <c r="D59" s="1"/>
      <c r="E59" s="1"/>
      <c r="F59" s="1"/>
      <c r="G59" s="62"/>
      <c r="H59" s="81" t="s">
        <v>112</v>
      </c>
      <c r="I59" s="29"/>
      <c r="J59" s="914"/>
      <c r="K59" s="1150">
        <f>AM49</f>
        <v>0</v>
      </c>
      <c r="L59" s="1151">
        <f>AN49</f>
        <v>0</v>
      </c>
      <c r="M59" s="1151">
        <f>AO49</f>
        <v>0</v>
      </c>
      <c r="N59" s="1151">
        <f>AP49</f>
        <v>0</v>
      </c>
      <c r="O59" s="1152">
        <f>AQ49</f>
        <v>0</v>
      </c>
      <c r="P59" s="466">
        <f t="shared" si="347"/>
        <v>0</v>
      </c>
      <c r="Q59" s="3191"/>
      <c r="R59" s="891"/>
      <c r="S59" s="3087"/>
      <c r="T59" s="3088"/>
      <c r="U59" s="3088"/>
      <c r="V59" s="3088"/>
      <c r="W59" s="3089"/>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081"/>
      <c r="B60" s="3081"/>
      <c r="C60" s="72"/>
      <c r="D60" s="1"/>
      <c r="E60" s="1"/>
      <c r="F60" s="1"/>
      <c r="G60" s="62"/>
      <c r="H60" s="81" t="s">
        <v>3682</v>
      </c>
      <c r="I60" s="29"/>
      <c r="J60" s="914"/>
      <c r="K60" s="1129">
        <f>AR49</f>
        <v>0</v>
      </c>
      <c r="L60" s="1130">
        <f>AS49</f>
        <v>0</v>
      </c>
      <c r="M60" s="1130">
        <f>AT49</f>
        <v>0</v>
      </c>
      <c r="N60" s="1130">
        <f>AU49</f>
        <v>0</v>
      </c>
      <c r="O60" s="1131">
        <f>AV49</f>
        <v>0</v>
      </c>
      <c r="P60" s="745">
        <f t="shared" si="347"/>
        <v>0</v>
      </c>
      <c r="Q60" s="3191"/>
      <c r="R60" s="891"/>
      <c r="S60" s="3087"/>
      <c r="T60" s="3088"/>
      <c r="U60" s="3088"/>
      <c r="V60" s="3088"/>
      <c r="W60" s="3089"/>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081"/>
      <c r="B61" s="3081"/>
      <c r="C61" s="72"/>
      <c r="D61" s="1"/>
      <c r="E61" s="1"/>
      <c r="F61" s="1"/>
      <c r="G61" s="62"/>
      <c r="H61" s="81" t="s">
        <v>3683</v>
      </c>
      <c r="I61" s="29"/>
      <c r="J61" s="62"/>
      <c r="K61" s="1129">
        <f>AW49</f>
        <v>0</v>
      </c>
      <c r="L61" s="1130">
        <f>AX49</f>
        <v>4</v>
      </c>
      <c r="M61" s="1130">
        <f>AY49</f>
        <v>15</v>
      </c>
      <c r="N61" s="1130">
        <f>AZ49</f>
        <v>12</v>
      </c>
      <c r="O61" s="1131">
        <f>BA49</f>
        <v>6</v>
      </c>
      <c r="P61" s="745">
        <f t="shared" si="347"/>
        <v>37</v>
      </c>
      <c r="Q61" s="3191"/>
      <c r="R61" s="891"/>
      <c r="S61" s="3087"/>
      <c r="T61" s="3088"/>
      <c r="U61" s="3088"/>
      <c r="V61" s="3088"/>
      <c r="W61" s="3089"/>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081"/>
      <c r="B62" s="3081"/>
      <c r="C62" s="4"/>
      <c r="D62" s="1"/>
      <c r="E62" s="1"/>
      <c r="F62" s="1"/>
      <c r="G62" s="62"/>
      <c r="H62" s="81" t="s">
        <v>3684</v>
      </c>
      <c r="I62" s="29"/>
      <c r="J62" s="62"/>
      <c r="K62" s="1132">
        <f>BB49</f>
        <v>0</v>
      </c>
      <c r="L62" s="1133">
        <f>BC49</f>
        <v>0</v>
      </c>
      <c r="M62" s="1133">
        <f>BD49</f>
        <v>0</v>
      </c>
      <c r="N62" s="1133">
        <f>BE49</f>
        <v>0</v>
      </c>
      <c r="O62" s="1134">
        <f>BF49</f>
        <v>0</v>
      </c>
      <c r="P62" s="466">
        <f t="shared" si="347"/>
        <v>0</v>
      </c>
      <c r="Q62" s="3191"/>
      <c r="R62" s="891"/>
      <c r="S62" s="3087"/>
      <c r="T62" s="3088"/>
      <c r="U62" s="3088"/>
      <c r="V62" s="3088"/>
      <c r="W62" s="3089"/>
      <c r="X62" s="1749"/>
      <c r="AA62" s="359"/>
      <c r="AB62" s="362"/>
      <c r="AC62" s="1749"/>
      <c r="AF62" s="359"/>
      <c r="AG62" s="362"/>
      <c r="AH62" s="1749"/>
      <c r="AK62" s="359"/>
      <c r="AL62" s="362"/>
      <c r="AM62" s="1749"/>
      <c r="AP62" s="359"/>
      <c r="AQ62" s="362"/>
      <c r="AR62" s="363"/>
      <c r="AS62" s="363"/>
      <c r="AT62" s="363"/>
      <c r="AU62" s="363"/>
      <c r="AV62" s="363"/>
      <c r="AW62" s="363"/>
      <c r="AX62" s="362"/>
      <c r="AY62" s="359"/>
      <c r="BB62" s="363"/>
      <c r="BC62" s="362"/>
      <c r="BD62" s="359"/>
      <c r="LO62" s="361"/>
      <c r="MD62" s="357"/>
    </row>
    <row r="63" spans="1:381" ht="15" customHeight="1">
      <c r="A63" s="3081"/>
      <c r="B63" s="3081"/>
      <c r="C63" s="81" t="s">
        <v>3766</v>
      </c>
      <c r="D63" s="1"/>
      <c r="E63" s="1"/>
      <c r="F63" s="1"/>
      <c r="G63" s="62"/>
      <c r="H63" s="68"/>
      <c r="I63" s="44"/>
      <c r="J63" s="62"/>
      <c r="K63" s="1094">
        <f>SUM(K56:K62)</f>
        <v>0</v>
      </c>
      <c r="L63" s="1094">
        <f>SUM(L56:L62)</f>
        <v>15</v>
      </c>
      <c r="M63" s="1094">
        <f>SUM(M56:M62)</f>
        <v>39</v>
      </c>
      <c r="N63" s="1094">
        <f>SUM(N56:N62)</f>
        <v>45</v>
      </c>
      <c r="O63" s="1094">
        <f>SUM(O56:O62)</f>
        <v>21</v>
      </c>
      <c r="P63" s="1094">
        <f t="shared" si="347"/>
        <v>120</v>
      </c>
      <c r="Q63" s="3192"/>
      <c r="S63" s="3087"/>
      <c r="T63" s="3088"/>
      <c r="U63" s="3088"/>
      <c r="V63" s="3088"/>
      <c r="W63" s="3089"/>
      <c r="X63" s="1749"/>
      <c r="AA63" s="359"/>
      <c r="AB63" s="362"/>
      <c r="AC63" s="1749"/>
      <c r="AF63" s="359"/>
      <c r="AG63" s="362"/>
      <c r="AH63" s="1749"/>
      <c r="AK63" s="359"/>
      <c r="AL63" s="362"/>
      <c r="AM63" s="1749"/>
      <c r="AP63" s="359"/>
      <c r="AQ63" s="362"/>
      <c r="AR63" s="363"/>
      <c r="AS63" s="363"/>
      <c r="AT63" s="363"/>
      <c r="AU63" s="363"/>
      <c r="AV63" s="363"/>
      <c r="AW63" s="363"/>
      <c r="AX63" s="362"/>
      <c r="AY63" s="359"/>
      <c r="BB63" s="363"/>
      <c r="BC63" s="362"/>
      <c r="BD63" s="359"/>
      <c r="LO63" s="361"/>
      <c r="MD63" s="357"/>
    </row>
    <row r="64" spans="1:381" ht="15" customHeight="1">
      <c r="A64" s="3081"/>
      <c r="B64" s="3081"/>
      <c r="D64" s="1"/>
      <c r="E64" s="1"/>
      <c r="F64" s="1"/>
      <c r="G64" s="62"/>
      <c r="H64" s="81" t="s">
        <v>290</v>
      </c>
      <c r="I64" s="29"/>
      <c r="J64" s="62"/>
      <c r="K64" s="746">
        <f>BG49</f>
        <v>0</v>
      </c>
      <c r="L64" s="746">
        <f>BH49</f>
        <v>0</v>
      </c>
      <c r="M64" s="746">
        <f>BI49</f>
        <v>0</v>
      </c>
      <c r="N64" s="746">
        <f>BJ49</f>
        <v>0</v>
      </c>
      <c r="O64" s="746">
        <f>BK49</f>
        <v>0</v>
      </c>
      <c r="P64" s="746">
        <f t="shared" si="347"/>
        <v>0</v>
      </c>
      <c r="S64" s="3087"/>
      <c r="T64" s="3088"/>
      <c r="U64" s="3088"/>
      <c r="V64" s="3088"/>
      <c r="W64" s="3089"/>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081"/>
      <c r="B65" s="3081"/>
      <c r="C65" s="1099" t="s">
        <v>1071</v>
      </c>
      <c r="D65" s="1099"/>
      <c r="E65" s="1099"/>
      <c r="F65" s="1099"/>
      <c r="G65" s="1100"/>
      <c r="H65" s="1441"/>
      <c r="I65" s="42"/>
      <c r="J65" s="1100"/>
      <c r="K65" s="1101">
        <f>SUM(K63:K64)</f>
        <v>0</v>
      </c>
      <c r="L65" s="1101">
        <f>SUM(L63:L64)</f>
        <v>15</v>
      </c>
      <c r="M65" s="1101">
        <f>SUM(M63:M64)</f>
        <v>39</v>
      </c>
      <c r="N65" s="1101">
        <f>SUM(N63:N64)</f>
        <v>45</v>
      </c>
      <c r="O65" s="1101">
        <f>SUM(O63:O64)</f>
        <v>21</v>
      </c>
      <c r="P65" s="1101">
        <f t="shared" si="347"/>
        <v>120</v>
      </c>
      <c r="S65" s="3087"/>
      <c r="T65" s="3088"/>
      <c r="U65" s="3088"/>
      <c r="V65" s="3088"/>
      <c r="W65" s="3089"/>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081"/>
      <c r="B66" s="3081"/>
      <c r="D66" s="1"/>
      <c r="E66" s="1"/>
      <c r="F66" s="1"/>
      <c r="G66" s="62"/>
      <c r="H66" s="81" t="s">
        <v>2310</v>
      </c>
      <c r="I66" s="29"/>
      <c r="J66" s="62"/>
      <c r="K66" s="746">
        <f>ED49</f>
        <v>0</v>
      </c>
      <c r="L66" s="746">
        <f>EE49</f>
        <v>0</v>
      </c>
      <c r="M66" s="746">
        <f>EF49</f>
        <v>0</v>
      </c>
      <c r="N66" s="746">
        <f>EG49</f>
        <v>0</v>
      </c>
      <c r="O66" s="746">
        <f>EH49</f>
        <v>0</v>
      </c>
      <c r="P66" s="746">
        <f t="shared" si="347"/>
        <v>0</v>
      </c>
      <c r="Q66" s="147" t="s">
        <v>3189</v>
      </c>
      <c r="S66" s="3087"/>
      <c r="T66" s="3088"/>
      <c r="U66" s="3088"/>
      <c r="V66" s="3088"/>
      <c r="W66" s="3089"/>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081"/>
      <c r="B67" s="3081"/>
      <c r="C67" s="4" t="s">
        <v>1668</v>
      </c>
      <c r="D67" s="1"/>
      <c r="E67" s="1"/>
      <c r="F67" s="1"/>
      <c r="G67" s="62"/>
      <c r="H67" s="81"/>
      <c r="I67" s="29"/>
      <c r="J67" s="62"/>
      <c r="K67" s="1093">
        <f>SUM(K65:K66)</f>
        <v>0</v>
      </c>
      <c r="L67" s="1093">
        <f>SUM(L65:L66)</f>
        <v>15</v>
      </c>
      <c r="M67" s="1093">
        <f>SUM(M65:M66)</f>
        <v>39</v>
      </c>
      <c r="N67" s="1093">
        <f>SUM(N65:N66)</f>
        <v>45</v>
      </c>
      <c r="O67" s="1093">
        <f>SUM(O65:O66)</f>
        <v>21</v>
      </c>
      <c r="P67" s="1093">
        <f t="shared" si="347"/>
        <v>120</v>
      </c>
      <c r="S67" s="3093"/>
      <c r="T67" s="3094"/>
      <c r="U67" s="3094"/>
      <c r="V67" s="3094"/>
      <c r="W67" s="3095"/>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081"/>
      <c r="B68" s="3081"/>
      <c r="C68" s="1249"/>
      <c r="D68" s="1249"/>
      <c r="E68" s="1249"/>
      <c r="F68" s="1249"/>
      <c r="G68" s="1249"/>
      <c r="H68" s="1442"/>
      <c r="I68" s="1249"/>
      <c r="J68" s="1249"/>
      <c r="K68" s="1249"/>
      <c r="L68" s="1249"/>
      <c r="M68" s="1249"/>
      <c r="N68" s="1249"/>
      <c r="O68" s="1249"/>
      <c r="P68" s="1249"/>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081"/>
      <c r="B69" s="3081"/>
      <c r="C69" s="3162" t="s">
        <v>3775</v>
      </c>
      <c r="D69" s="3162"/>
      <c r="E69" s="3162"/>
      <c r="F69" s="3162"/>
      <c r="G69" s="1249"/>
      <c r="H69" s="1442"/>
      <c r="I69" s="1249"/>
      <c r="J69" s="1249"/>
      <c r="K69" s="1447"/>
      <c r="L69" s="1447"/>
      <c r="M69" s="1447"/>
      <c r="N69" s="1447"/>
      <c r="O69" s="1447"/>
      <c r="P69" s="1447"/>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081"/>
      <c r="B70" s="3081"/>
      <c r="C70" s="3162"/>
      <c r="D70" s="3162"/>
      <c r="E70" s="3162"/>
      <c r="F70" s="3162"/>
      <c r="G70" s="6"/>
      <c r="H70" s="81" t="s">
        <v>3680</v>
      </c>
      <c r="I70" s="29"/>
      <c r="J70" s="1410"/>
      <c r="K70" s="1435" t="str">
        <f t="shared" ref="K70:P70" si="348">IF(OR(K56=0,K67=0),"",K56/K67)</f>
        <v/>
      </c>
      <c r="L70" s="1436">
        <f t="shared" si="348"/>
        <v>0.33333333333333331</v>
      </c>
      <c r="M70" s="1436">
        <f t="shared" si="348"/>
        <v>0.17948717948717949</v>
      </c>
      <c r="N70" s="1436">
        <f t="shared" si="348"/>
        <v>0.22222222222222221</v>
      </c>
      <c r="O70" s="1436">
        <f t="shared" si="348"/>
        <v>0.14285714285714285</v>
      </c>
      <c r="P70" s="1437">
        <f t="shared" si="348"/>
        <v>0.20833333333333334</v>
      </c>
      <c r="Q70" s="33" t="s">
        <v>4075</v>
      </c>
      <c r="S70" s="3113"/>
      <c r="T70" s="3114"/>
      <c r="U70" s="3114"/>
      <c r="V70" s="3114"/>
      <c r="W70" s="3115"/>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21"/>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081"/>
      <c r="B71" s="3081"/>
      <c r="C71" s="667"/>
      <c r="D71" s="6"/>
      <c r="E71" s="6"/>
      <c r="F71" s="6"/>
      <c r="G71" s="6"/>
      <c r="H71" s="81" t="s">
        <v>6494</v>
      </c>
      <c r="I71" s="29"/>
      <c r="J71" s="1"/>
      <c r="K71" s="1511" t="str">
        <f>IF(OR(K56=0,P70="",K67=0),"",P70*K67)</f>
        <v/>
      </c>
      <c r="L71" s="1511">
        <f>IF(OR(L56=0,P70="",L67=0),"",P70*L67)</f>
        <v>3.125</v>
      </c>
      <c r="M71" s="1511">
        <f>IF(OR(M56=0,P70="",M67=0),"",P70*M67)</f>
        <v>8.125</v>
      </c>
      <c r="N71" s="1511">
        <f>IF(OR(N56=0,P70="",N67=0),"",P70*N67)</f>
        <v>9.375</v>
      </c>
      <c r="O71" s="1511">
        <f>IF(OR(O56=0,P70="",O67=0),"",P70*O67)</f>
        <v>4.375</v>
      </c>
      <c r="P71" s="1512">
        <f>IF(OR(P70="",P67=0),"",P70*P67)</f>
        <v>25</v>
      </c>
      <c r="S71" s="3087"/>
      <c r="T71" s="3088"/>
      <c r="U71" s="3088"/>
      <c r="V71" s="3088"/>
      <c r="W71" s="3089"/>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21"/>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081"/>
      <c r="B72" s="3081"/>
      <c r="C72" s="667"/>
      <c r="D72" s="6"/>
      <c r="E72" s="6"/>
      <c r="F72" s="6"/>
      <c r="G72" s="1506"/>
      <c r="H72" s="1443" t="s">
        <v>6495</v>
      </c>
      <c r="I72" s="1411"/>
      <c r="J72" s="1"/>
      <c r="K72" s="1513" t="str">
        <f t="shared" ref="K72:P72" si="349">IF(OR(K71="",K56=0),"", K56-K71)</f>
        <v/>
      </c>
      <c r="L72" s="1514">
        <f t="shared" si="349"/>
        <v>1.875</v>
      </c>
      <c r="M72" s="1514">
        <f t="shared" si="349"/>
        <v>-1.125</v>
      </c>
      <c r="N72" s="1514">
        <f t="shared" si="349"/>
        <v>0.625</v>
      </c>
      <c r="O72" s="1514">
        <f t="shared" si="349"/>
        <v>-1.375</v>
      </c>
      <c r="P72" s="1515">
        <f t="shared" si="349"/>
        <v>0</v>
      </c>
      <c r="S72" s="3087"/>
      <c r="T72" s="3088"/>
      <c r="U72" s="3088"/>
      <c r="V72" s="3088"/>
      <c r="W72" s="3089"/>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21"/>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081"/>
      <c r="B73" s="3081"/>
      <c r="C73" s="667"/>
      <c r="D73" s="3194" t="s">
        <v>4074</v>
      </c>
      <c r="E73" s="3194"/>
      <c r="F73" s="3194"/>
      <c r="G73" s="6"/>
      <c r="H73" s="81" t="s">
        <v>3681</v>
      </c>
      <c r="I73" s="29"/>
      <c r="J73" s="1"/>
      <c r="K73" s="1438" t="str">
        <f t="shared" ref="K73:P73" si="350">IF(OR(K57=0,K67=0),"",K57/K67)</f>
        <v/>
      </c>
      <c r="L73" s="1439" t="str">
        <f t="shared" si="350"/>
        <v/>
      </c>
      <c r="M73" s="1439" t="str">
        <f t="shared" si="350"/>
        <v/>
      </c>
      <c r="N73" s="1439" t="str">
        <f t="shared" si="350"/>
        <v/>
      </c>
      <c r="O73" s="1439" t="str">
        <f t="shared" si="350"/>
        <v/>
      </c>
      <c r="P73" s="1440" t="str">
        <f t="shared" si="350"/>
        <v/>
      </c>
      <c r="S73" s="3087"/>
      <c r="T73" s="3088"/>
      <c r="U73" s="3088"/>
      <c r="V73" s="3088"/>
      <c r="W73" s="3089"/>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21"/>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194"/>
      <c r="E74" s="3194"/>
      <c r="F74" s="3194"/>
      <c r="G74" s="6"/>
      <c r="H74" s="81" t="s">
        <v>6494</v>
      </c>
      <c r="I74" s="29"/>
      <c r="J74" s="1"/>
      <c r="K74" s="1511" t="str">
        <f>IF(OR(K57=0,P73="",K67=0),"",P73*K67)</f>
        <v/>
      </c>
      <c r="L74" s="1511" t="str">
        <f>IF(OR(L57=0,P73="",L67=0),"",P73*L67)</f>
        <v/>
      </c>
      <c r="M74" s="1511" t="str">
        <f>IF(OR(M57=0,P73="",M67=0),"",P73*M67)</f>
        <v/>
      </c>
      <c r="N74" s="1511" t="str">
        <f>IF(OR(N57=0,P73="",N67=0),"",P73*N67)</f>
        <v/>
      </c>
      <c r="O74" s="1511" t="str">
        <f>IF(OR(O57=0,P73="",O67=0),"",P73*O67)</f>
        <v/>
      </c>
      <c r="P74" s="1512" t="str">
        <f>IF(OR(P73="",P67=0),"",P73*P67)</f>
        <v/>
      </c>
      <c r="S74" s="3087"/>
      <c r="T74" s="3088"/>
      <c r="U74" s="3088"/>
      <c r="V74" s="3088"/>
      <c r="W74" s="3089"/>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21"/>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194"/>
      <c r="E75" s="3194"/>
      <c r="F75" s="3194"/>
      <c r="G75" s="1506"/>
      <c r="H75" s="1443" t="s">
        <v>6495</v>
      </c>
      <c r="I75" s="1411"/>
      <c r="J75" s="1"/>
      <c r="K75" s="1513" t="str">
        <f t="shared" ref="K75:P75" si="351">IF(OR(K74="",K57=0),"", K57-K74)</f>
        <v/>
      </c>
      <c r="L75" s="1513" t="str">
        <f t="shared" si="351"/>
        <v/>
      </c>
      <c r="M75" s="1513" t="str">
        <f t="shared" si="351"/>
        <v/>
      </c>
      <c r="N75" s="1513" t="str">
        <f t="shared" si="351"/>
        <v/>
      </c>
      <c r="O75" s="1513" t="str">
        <f t="shared" si="351"/>
        <v/>
      </c>
      <c r="P75" s="1513" t="str">
        <f t="shared" si="351"/>
        <v/>
      </c>
      <c r="S75" s="3087"/>
      <c r="T75" s="3088"/>
      <c r="U75" s="3088"/>
      <c r="V75" s="3088"/>
      <c r="W75" s="3089"/>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21"/>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4073</v>
      </c>
      <c r="D76" s="3194"/>
      <c r="E76" s="3194"/>
      <c r="F76" s="3194"/>
      <c r="G76" s="6"/>
      <c r="H76" s="81" t="s">
        <v>1082</v>
      </c>
      <c r="I76" s="29"/>
      <c r="J76" s="1"/>
      <c r="K76" s="1438" t="str">
        <f t="shared" ref="K76:P76" si="352">IF(OR(K58=0,K67=0),"",K58/K67)</f>
        <v/>
      </c>
      <c r="L76" s="1439">
        <f t="shared" si="352"/>
        <v>0.4</v>
      </c>
      <c r="M76" s="1439">
        <f t="shared" si="352"/>
        <v>0.4358974358974359</v>
      </c>
      <c r="N76" s="1439">
        <f t="shared" si="352"/>
        <v>0.51111111111111107</v>
      </c>
      <c r="O76" s="1439">
        <f t="shared" si="352"/>
        <v>0.5714285714285714</v>
      </c>
      <c r="P76" s="1440">
        <f t="shared" si="352"/>
        <v>0.48333333333333334</v>
      </c>
      <c r="S76" s="3087"/>
      <c r="T76" s="3088"/>
      <c r="U76" s="3088"/>
      <c r="V76" s="3088"/>
      <c r="W76" s="3089"/>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21"/>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194"/>
      <c r="E77" s="3194"/>
      <c r="F77" s="3194"/>
      <c r="G77" s="6"/>
      <c r="H77" s="81" t="s">
        <v>6494</v>
      </c>
      <c r="I77" s="29"/>
      <c r="J77" s="1"/>
      <c r="K77" s="1511" t="str">
        <f>IF(OR(K58=0,P76="",K67=0),"",P76*K67)</f>
        <v/>
      </c>
      <c r="L77" s="1511">
        <f>IF(OR(L58=0,P76="",L67=0),"",P76*L67)</f>
        <v>7.25</v>
      </c>
      <c r="M77" s="1511">
        <f>IF(OR(M58=0,P76="",M67=0),"",P76*M67)</f>
        <v>18.850000000000001</v>
      </c>
      <c r="N77" s="1511">
        <f>IF(OR(N58=0,P76="",N67=0),"",P76*N67)</f>
        <v>21.75</v>
      </c>
      <c r="O77" s="1511">
        <f>IF(OR(O58=0,P76="",O67=0),"",P76*O67)</f>
        <v>10.15</v>
      </c>
      <c r="P77" s="1512">
        <f>IF(OR(P76="",P67=0),"",P76*P67)</f>
        <v>58</v>
      </c>
      <c r="S77" s="3093"/>
      <c r="T77" s="3094"/>
      <c r="U77" s="3094"/>
      <c r="V77" s="3094"/>
      <c r="W77" s="3095"/>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21"/>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194"/>
      <c r="E78" s="3194"/>
      <c r="F78" s="3194"/>
      <c r="G78" s="1506"/>
      <c r="H78" s="1443" t="s">
        <v>6495</v>
      </c>
      <c r="I78" s="1411"/>
      <c r="J78" s="1"/>
      <c r="K78" s="1513" t="str">
        <f t="shared" ref="K78:P78" si="353">IF(OR(K77="",K58=0),"", K58-K77)</f>
        <v/>
      </c>
      <c r="L78" s="1513">
        <f t="shared" si="353"/>
        <v>-1.25</v>
      </c>
      <c r="M78" s="1513">
        <f t="shared" si="353"/>
        <v>-1.8500000000000014</v>
      </c>
      <c r="N78" s="1513">
        <f t="shared" si="353"/>
        <v>1.25</v>
      </c>
      <c r="O78" s="1513">
        <f t="shared" si="353"/>
        <v>1.8499999999999996</v>
      </c>
      <c r="P78" s="1513">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21"/>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4073</v>
      </c>
      <c r="D79" s="1409"/>
      <c r="E79" s="1409"/>
      <c r="F79" s="6"/>
      <c r="G79" s="6"/>
      <c r="H79" s="81" t="s">
        <v>112</v>
      </c>
      <c r="I79" s="29"/>
      <c r="J79" s="1"/>
      <c r="K79" s="1438" t="str">
        <f t="shared" ref="K79:P79" si="354">IF(OR(K59=0,K67=0),"",K59/K67)</f>
        <v/>
      </c>
      <c r="L79" s="1439" t="str">
        <f t="shared" si="354"/>
        <v/>
      </c>
      <c r="M79" s="1439" t="str">
        <f t="shared" si="354"/>
        <v/>
      </c>
      <c r="N79" s="1439" t="str">
        <f t="shared" si="354"/>
        <v/>
      </c>
      <c r="O79" s="1439" t="str">
        <f t="shared" si="354"/>
        <v/>
      </c>
      <c r="P79" s="1440"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21"/>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9"/>
      <c r="E80" s="1409"/>
      <c r="F80" s="6"/>
      <c r="G80" s="6"/>
      <c r="H80" s="81" t="s">
        <v>6494</v>
      </c>
      <c r="I80" s="29"/>
      <c r="J80" s="1"/>
      <c r="K80" s="1511" t="str">
        <f>IF(OR(K59=0,P79="",K67=0),"",P79*K67)</f>
        <v/>
      </c>
      <c r="L80" s="1511" t="str">
        <f>IF(OR(L59=0,P79="",L67=0),"",P79*L67)</f>
        <v/>
      </c>
      <c r="M80" s="1511" t="str">
        <f>IF(OR(M59=0,P79="",M67=0),"",P79*M67)</f>
        <v/>
      </c>
      <c r="N80" s="1511" t="str">
        <f>IF(OR(N59=0,P79="",N67=0),"",P79*N67)</f>
        <v/>
      </c>
      <c r="O80" s="1511" t="str">
        <f>IF(OR(O59=0,P79="",O67=0),"",P79*O67)</f>
        <v/>
      </c>
      <c r="P80" s="1512"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21"/>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9"/>
      <c r="E81" s="1409"/>
      <c r="F81" s="6"/>
      <c r="G81" s="1506"/>
      <c r="H81" s="1443" t="s">
        <v>6495</v>
      </c>
      <c r="I81" s="1411"/>
      <c r="J81" s="1"/>
      <c r="K81" s="1513" t="str">
        <f t="shared" ref="K81:P81" si="355">IF(OR(K80="",K59=0),"", K59-K80)</f>
        <v/>
      </c>
      <c r="L81" s="1513" t="str">
        <f t="shared" si="355"/>
        <v/>
      </c>
      <c r="M81" s="1513" t="str">
        <f t="shared" si="355"/>
        <v/>
      </c>
      <c r="N81" s="1513" t="str">
        <f t="shared" si="355"/>
        <v/>
      </c>
      <c r="O81" s="1513" t="str">
        <f t="shared" si="355"/>
        <v/>
      </c>
      <c r="P81" s="1513"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21"/>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4073</v>
      </c>
      <c r="D82" s="1409"/>
      <c r="E82" s="1409"/>
      <c r="F82" s="6"/>
      <c r="G82" s="6"/>
      <c r="H82" s="81" t="s">
        <v>3682</v>
      </c>
      <c r="I82" s="29"/>
      <c r="J82" s="1"/>
      <c r="K82" s="1438" t="str">
        <f t="shared" ref="K82:P82" si="356">IF(OR(K60=0,K67=0),"",K60/K67)</f>
        <v/>
      </c>
      <c r="L82" s="1439" t="str">
        <f t="shared" si="356"/>
        <v/>
      </c>
      <c r="M82" s="1439" t="str">
        <f t="shared" si="356"/>
        <v/>
      </c>
      <c r="N82" s="1439" t="str">
        <f t="shared" si="356"/>
        <v/>
      </c>
      <c r="O82" s="1439" t="str">
        <f t="shared" si="356"/>
        <v/>
      </c>
      <c r="P82" s="1440"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21"/>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6494</v>
      </c>
      <c r="I83" s="29"/>
      <c r="J83" s="1"/>
      <c r="K83" s="1511" t="str">
        <f>IF(OR(K60=0,P82="",K67=0),"",P82*K67)</f>
        <v/>
      </c>
      <c r="L83" s="1511" t="str">
        <f>IF(OR(L60=0,P82="",L67=0),"",P82*L67)</f>
        <v/>
      </c>
      <c r="M83" s="1511" t="str">
        <f>IF(OR(M60=0,P82="",M67=0),"",P82*M67)</f>
        <v/>
      </c>
      <c r="N83" s="1511" t="str">
        <f>IF(OR(N60=0,P82="",N67=0),"",P82*N67)</f>
        <v/>
      </c>
      <c r="O83" s="1511" t="str">
        <f>IF(OR(O60=0,P82="",O67=0),"",P82*O67)</f>
        <v/>
      </c>
      <c r="P83" s="1512"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21"/>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6"/>
      <c r="H84" s="1443" t="s">
        <v>6495</v>
      </c>
      <c r="I84" s="1411"/>
      <c r="J84" s="1"/>
      <c r="K84" s="1513" t="str">
        <f t="shared" ref="K84:P84" si="357">IF(OR(K83="",K60=0),"", K60-K83)</f>
        <v/>
      </c>
      <c r="L84" s="1513" t="str">
        <f t="shared" si="357"/>
        <v/>
      </c>
      <c r="M84" s="1513" t="str">
        <f t="shared" si="357"/>
        <v/>
      </c>
      <c r="N84" s="1513" t="str">
        <f t="shared" si="357"/>
        <v/>
      </c>
      <c r="O84" s="1513" t="str">
        <f t="shared" si="357"/>
        <v/>
      </c>
      <c r="P84" s="1513"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21"/>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4073</v>
      </c>
      <c r="D85" s="6"/>
      <c r="E85" s="6"/>
      <c r="F85" s="6"/>
      <c r="G85" s="6"/>
      <c r="H85" s="81" t="s">
        <v>3683</v>
      </c>
      <c r="I85" s="29"/>
      <c r="J85" s="1"/>
      <c r="K85" s="1438" t="str">
        <f t="shared" ref="K85:P85" si="358">IF(OR(K61=0,K67=0),"",K61/K67)</f>
        <v/>
      </c>
      <c r="L85" s="1439">
        <f t="shared" si="358"/>
        <v>0.26666666666666666</v>
      </c>
      <c r="M85" s="1439">
        <f t="shared" si="358"/>
        <v>0.38461538461538464</v>
      </c>
      <c r="N85" s="1439">
        <f t="shared" si="358"/>
        <v>0.26666666666666666</v>
      </c>
      <c r="O85" s="1439">
        <f t="shared" si="358"/>
        <v>0.2857142857142857</v>
      </c>
      <c r="P85" s="1440">
        <f t="shared" si="358"/>
        <v>0.30833333333333335</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21"/>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6494</v>
      </c>
      <c r="I86" s="29"/>
      <c r="J86" s="1"/>
      <c r="K86" s="1511" t="str">
        <f>IF(OR(K61=0,P85="",K67=0),"",P85*K67)</f>
        <v/>
      </c>
      <c r="L86" s="1511">
        <f>IF(OR(L61=0,P85="",L67=0),"",P85*L67)</f>
        <v>4.625</v>
      </c>
      <c r="M86" s="1511">
        <f>IF(OR(M61=0,P85="",M67=0),"",P85*M67)</f>
        <v>12.025</v>
      </c>
      <c r="N86" s="1511">
        <f>IF(OR(N61=0,P85="",N67=0),"",P85*N67)</f>
        <v>13.875</v>
      </c>
      <c r="O86" s="1511">
        <f>IF(OR(O61=0,P85="",O67=0),"",P85*O67)</f>
        <v>6.4750000000000005</v>
      </c>
      <c r="P86" s="1512">
        <f>IF(OR(P85="",P67=0),"",P85*P67)</f>
        <v>37</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21"/>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6"/>
      <c r="H87" s="1443" t="s">
        <v>6495</v>
      </c>
      <c r="I87" s="1411"/>
      <c r="J87" s="1"/>
      <c r="K87" s="1513" t="str">
        <f t="shared" ref="K87:P87" si="359">IF(OR(K86="",K61=0),"", K61-K86)</f>
        <v/>
      </c>
      <c r="L87" s="1513">
        <f t="shared" si="359"/>
        <v>-0.625</v>
      </c>
      <c r="M87" s="1513">
        <f t="shared" si="359"/>
        <v>2.9749999999999996</v>
      </c>
      <c r="N87" s="1513">
        <f t="shared" si="359"/>
        <v>-1.875</v>
      </c>
      <c r="O87" s="1513">
        <f t="shared" si="359"/>
        <v>-0.47500000000000053</v>
      </c>
      <c r="P87" s="1513">
        <f t="shared" si="359"/>
        <v>0</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21"/>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4073</v>
      </c>
      <c r="D88" s="6"/>
      <c r="E88" s="6"/>
      <c r="F88" s="6"/>
      <c r="G88" s="6"/>
      <c r="H88" s="81" t="s">
        <v>3684</v>
      </c>
      <c r="I88" s="29"/>
      <c r="J88" s="1"/>
      <c r="K88" s="1438" t="str">
        <f t="shared" ref="K88:P88" si="360">IF(OR(K62=0,K67=0),"",K62/K67)</f>
        <v/>
      </c>
      <c r="L88" s="1439" t="str">
        <f t="shared" si="360"/>
        <v/>
      </c>
      <c r="M88" s="1439" t="str">
        <f t="shared" si="360"/>
        <v/>
      </c>
      <c r="N88" s="1439" t="str">
        <f t="shared" si="360"/>
        <v/>
      </c>
      <c r="O88" s="1439" t="str">
        <f t="shared" si="360"/>
        <v/>
      </c>
      <c r="P88" s="1440"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21"/>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9"/>
      <c r="E89" s="1409"/>
      <c r="F89" s="6"/>
      <c r="G89" s="6"/>
      <c r="H89" s="81" t="s">
        <v>6494</v>
      </c>
      <c r="I89" s="29"/>
      <c r="J89" s="1"/>
      <c r="K89" s="1511" t="str">
        <f>IF(OR(K62=0,P88="",K67=0),"",P88*K67)</f>
        <v/>
      </c>
      <c r="L89" s="1511" t="str">
        <f>IF(OR(L62=0,P88="",L67=0),"",P88*L67)</f>
        <v/>
      </c>
      <c r="M89" s="1511" t="str">
        <f>IF(OR(M62=0,P88="",M67=0),"",P88*M67)</f>
        <v/>
      </c>
      <c r="N89" s="1511" t="str">
        <f>IF(OR(N62=0,P88="",N67=0),"",P88*N67)</f>
        <v/>
      </c>
      <c r="O89" s="1511" t="str">
        <f>IF(OR(O62=0,P88="",O67=0),"",P88*O67)</f>
        <v/>
      </c>
      <c r="P89" s="1512"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21"/>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9"/>
      <c r="E90" s="1409"/>
      <c r="F90" s="6"/>
      <c r="G90" s="1506"/>
      <c r="H90" s="1443" t="s">
        <v>6495</v>
      </c>
      <c r="I90" s="1411"/>
      <c r="J90" s="1"/>
      <c r="K90" s="1516" t="str">
        <f t="shared" ref="K90:P90" si="361">IF(OR(K89="",K62=0),"", K62-K89)</f>
        <v/>
      </c>
      <c r="L90" s="1516" t="str">
        <f t="shared" si="361"/>
        <v/>
      </c>
      <c r="M90" s="1516" t="str">
        <f t="shared" si="361"/>
        <v/>
      </c>
      <c r="N90" s="1516" t="str">
        <f t="shared" si="361"/>
        <v/>
      </c>
      <c r="O90" s="1516" t="str">
        <f t="shared" si="361"/>
        <v/>
      </c>
      <c r="P90" s="1516"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21"/>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5"/>
      <c r="B91" s="1125"/>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5"/>
      <c r="B92" s="1125"/>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5"/>
      <c r="B93" s="1125"/>
      <c r="C93" s="72" t="s">
        <v>875</v>
      </c>
      <c r="D93" s="1"/>
      <c r="E93" s="81"/>
      <c r="F93" s="1"/>
      <c r="G93" s="62"/>
      <c r="H93" s="81" t="s">
        <v>3680</v>
      </c>
      <c r="I93" s="29"/>
      <c r="J93" s="62"/>
      <c r="K93" s="1135">
        <f>CP49</f>
        <v>0</v>
      </c>
      <c r="L93" s="1136">
        <f>CQ49</f>
        <v>0</v>
      </c>
      <c r="M93" s="1136">
        <f>CR49</f>
        <v>0</v>
      </c>
      <c r="N93" s="1136">
        <f>CS49</f>
        <v>0</v>
      </c>
      <c r="O93" s="1137">
        <f>CT49</f>
        <v>0</v>
      </c>
      <c r="P93" s="747">
        <f t="shared" ref="P93:P100" si="362">SUM(K93:O93)</f>
        <v>0</v>
      </c>
      <c r="S93" s="3113"/>
      <c r="T93" s="3114"/>
      <c r="U93" s="3114"/>
      <c r="V93" s="3114"/>
      <c r="W93" s="3115"/>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5"/>
      <c r="B94" s="1125"/>
      <c r="C94" s="29" t="s">
        <v>2311</v>
      </c>
      <c r="D94" s="1"/>
      <c r="E94" s="81"/>
      <c r="F94" s="1"/>
      <c r="G94" s="62"/>
      <c r="H94" s="81" t="s">
        <v>3681</v>
      </c>
      <c r="I94" s="29"/>
      <c r="J94" s="62"/>
      <c r="K94" s="1138">
        <f>CK49</f>
        <v>0</v>
      </c>
      <c r="L94" s="1139">
        <f>CL49</f>
        <v>0</v>
      </c>
      <c r="M94" s="1139">
        <f>CM49</f>
        <v>0</v>
      </c>
      <c r="N94" s="1139">
        <f>CN49</f>
        <v>0</v>
      </c>
      <c r="O94" s="1140">
        <f>CO49</f>
        <v>0</v>
      </c>
      <c r="P94" s="1092">
        <f t="shared" si="362"/>
        <v>0</v>
      </c>
      <c r="S94" s="3087"/>
      <c r="T94" s="3088"/>
      <c r="U94" s="3088"/>
      <c r="V94" s="3088"/>
      <c r="W94" s="3089"/>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5"/>
      <c r="B95" s="1125"/>
      <c r="C95" s="72"/>
      <c r="D95" s="1"/>
      <c r="E95" s="81"/>
      <c r="F95" s="1"/>
      <c r="G95" s="62"/>
      <c r="H95" s="81" t="s">
        <v>1082</v>
      </c>
      <c r="I95" s="29"/>
      <c r="J95" s="62"/>
      <c r="K95" s="1138">
        <f>CF49</f>
        <v>0</v>
      </c>
      <c r="L95" s="1139">
        <f>CG49</f>
        <v>0</v>
      </c>
      <c r="M95" s="1139">
        <f>CH49</f>
        <v>15</v>
      </c>
      <c r="N95" s="1139">
        <f>CI49</f>
        <v>17</v>
      </c>
      <c r="O95" s="1140">
        <f>CJ49</f>
        <v>10</v>
      </c>
      <c r="P95" s="1092">
        <f t="shared" si="362"/>
        <v>42</v>
      </c>
      <c r="S95" s="3087"/>
      <c r="T95" s="3088"/>
      <c r="U95" s="3088"/>
      <c r="V95" s="3088"/>
      <c r="W95" s="3089"/>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5"/>
      <c r="B96" s="1125"/>
      <c r="C96" s="72"/>
      <c r="D96" s="1"/>
      <c r="E96" s="81"/>
      <c r="F96" s="1"/>
      <c r="G96" s="62"/>
      <c r="H96" s="81" t="s">
        <v>112</v>
      </c>
      <c r="I96" s="29"/>
      <c r="J96" s="914"/>
      <c r="K96" s="1159">
        <f>CA49</f>
        <v>0</v>
      </c>
      <c r="L96" s="1160">
        <f>CB49</f>
        <v>0</v>
      </c>
      <c r="M96" s="1160">
        <f>CC49</f>
        <v>0</v>
      </c>
      <c r="N96" s="1160">
        <f>CD49</f>
        <v>0</v>
      </c>
      <c r="O96" s="1161">
        <f>CE49</f>
        <v>0</v>
      </c>
      <c r="P96" s="471">
        <f t="shared" si="362"/>
        <v>0</v>
      </c>
      <c r="S96" s="3087"/>
      <c r="T96" s="3088"/>
      <c r="U96" s="3088"/>
      <c r="V96" s="3088"/>
      <c r="W96" s="3089"/>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5"/>
      <c r="B97" s="1125"/>
      <c r="C97" s="72"/>
      <c r="D97" s="1"/>
      <c r="E97" s="81"/>
      <c r="F97" s="1"/>
      <c r="G97" s="62"/>
      <c r="H97" s="81" t="s">
        <v>3682</v>
      </c>
      <c r="I97" s="29"/>
      <c r="J97" s="914"/>
      <c r="K97" s="1138">
        <f>BV49</f>
        <v>0</v>
      </c>
      <c r="L97" s="1139">
        <f>BW49</f>
        <v>0</v>
      </c>
      <c r="M97" s="1139">
        <f>BX49</f>
        <v>0</v>
      </c>
      <c r="N97" s="1139">
        <f>BY49</f>
        <v>0</v>
      </c>
      <c r="O97" s="1140">
        <f>BZ49</f>
        <v>0</v>
      </c>
      <c r="P97" s="1092">
        <f t="shared" si="362"/>
        <v>0</v>
      </c>
      <c r="S97" s="3087"/>
      <c r="T97" s="3088"/>
      <c r="U97" s="3088"/>
      <c r="V97" s="3088"/>
      <c r="W97" s="3089"/>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4"/>
      <c r="B98" s="1124"/>
      <c r="C98" s="72"/>
      <c r="D98" s="1"/>
      <c r="E98" s="81"/>
      <c r="F98" s="1"/>
      <c r="G98" s="62"/>
      <c r="H98" s="81" t="s">
        <v>3683</v>
      </c>
      <c r="I98" s="29"/>
      <c r="J98" s="62"/>
      <c r="K98" s="1138">
        <f>BQ49</f>
        <v>0</v>
      </c>
      <c r="L98" s="1139">
        <f>BR49</f>
        <v>0</v>
      </c>
      <c r="M98" s="1139">
        <f>BS49</f>
        <v>15</v>
      </c>
      <c r="N98" s="1139">
        <f>BT49</f>
        <v>12</v>
      </c>
      <c r="O98" s="1140">
        <f>BU49</f>
        <v>6</v>
      </c>
      <c r="P98" s="1092">
        <f t="shared" si="362"/>
        <v>33</v>
      </c>
      <c r="S98" s="3087"/>
      <c r="T98" s="3088"/>
      <c r="U98" s="3088"/>
      <c r="V98" s="3088"/>
      <c r="W98" s="3089"/>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4"/>
      <c r="B99" s="1124"/>
      <c r="D99" s="1"/>
      <c r="E99" s="81"/>
      <c r="F99" s="1"/>
      <c r="G99" s="62"/>
      <c r="H99" s="81" t="s">
        <v>3684</v>
      </c>
      <c r="I99" s="29"/>
      <c r="J99" s="62"/>
      <c r="K99" s="1141">
        <f>BL49</f>
        <v>0</v>
      </c>
      <c r="L99" s="1142">
        <f>BM49</f>
        <v>0</v>
      </c>
      <c r="M99" s="1142">
        <f>BN49</f>
        <v>0</v>
      </c>
      <c r="N99" s="1142">
        <f>BO49</f>
        <v>0</v>
      </c>
      <c r="O99" s="1143">
        <f>BP49</f>
        <v>0</v>
      </c>
      <c r="P99" s="748">
        <f t="shared" si="362"/>
        <v>0</v>
      </c>
      <c r="S99" s="3087"/>
      <c r="T99" s="3088"/>
      <c r="U99" s="3088"/>
      <c r="V99" s="3088"/>
      <c r="W99" s="3089"/>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4"/>
      <c r="B100" s="1124"/>
      <c r="C100" s="4"/>
      <c r="D100" s="1"/>
      <c r="E100" s="81"/>
      <c r="F100" s="1"/>
      <c r="G100" s="62"/>
      <c r="H100" s="141" t="s">
        <v>504</v>
      </c>
      <c r="I100" s="66"/>
      <c r="J100" s="62"/>
      <c r="K100" s="1093">
        <f>SUM(K93:K99)</f>
        <v>0</v>
      </c>
      <c r="L100" s="1093">
        <f>SUM(L93:L99)</f>
        <v>0</v>
      </c>
      <c r="M100" s="1093">
        <f>SUM(M93:M99)</f>
        <v>30</v>
      </c>
      <c r="N100" s="1093">
        <f>SUM(N93:N99)</f>
        <v>29</v>
      </c>
      <c r="O100" s="1093">
        <f>SUM(O93:O99)</f>
        <v>16</v>
      </c>
      <c r="P100" s="1093">
        <f t="shared" si="362"/>
        <v>75</v>
      </c>
      <c r="S100" s="3093"/>
      <c r="T100" s="3094"/>
      <c r="U100" s="3094"/>
      <c r="V100" s="3094"/>
      <c r="W100" s="3095"/>
      <c r="X100" s="1749"/>
      <c r="AA100" s="359"/>
      <c r="AB100" s="362"/>
      <c r="AC100" s="1749"/>
      <c r="AF100" s="359"/>
      <c r="AG100" s="362"/>
      <c r="AH100" s="1749"/>
      <c r="AK100" s="359"/>
      <c r="AL100" s="362"/>
      <c r="AM100" s="1749"/>
      <c r="AP100" s="359"/>
      <c r="AQ100" s="362"/>
      <c r="AR100" s="363"/>
      <c r="AS100" s="363"/>
      <c r="AT100" s="363"/>
      <c r="AU100" s="363"/>
      <c r="AV100" s="363"/>
      <c r="AW100" s="363"/>
      <c r="AX100" s="362"/>
      <c r="AY100" s="359"/>
      <c r="BB100" s="363"/>
      <c r="BC100" s="362"/>
      <c r="BD100" s="359"/>
      <c r="LO100" s="361"/>
      <c r="MD100" s="357"/>
    </row>
    <row r="101" spans="1:342" ht="9" customHeight="1" thickBot="1">
      <c r="A101" s="1124"/>
      <c r="B101" s="1124"/>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45" customHeight="1" thickBot="1">
      <c r="A102" s="10" t="s">
        <v>689</v>
      </c>
      <c r="B102" s="10" t="s">
        <v>3880</v>
      </c>
      <c r="H102" s="68"/>
      <c r="L102" s="3096" t="str">
        <f>$O$53</f>
        <v>Income Averaging</v>
      </c>
      <c r="M102" s="3097"/>
      <c r="N102" s="3097"/>
      <c r="O102" s="3098"/>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4"/>
      <c r="B104" s="1124"/>
      <c r="C104" s="334" t="s">
        <v>832</v>
      </c>
      <c r="D104" s="334"/>
      <c r="E104" s="334"/>
      <c r="F104" s="1"/>
      <c r="G104" s="62"/>
      <c r="H104" s="81" t="s">
        <v>3680</v>
      </c>
      <c r="I104" s="29"/>
      <c r="J104" s="62"/>
      <c r="K104" s="1135">
        <f>DY49</f>
        <v>0</v>
      </c>
      <c r="L104" s="1136">
        <f>DZ49</f>
        <v>0</v>
      </c>
      <c r="M104" s="1136">
        <f>EA49</f>
        <v>0</v>
      </c>
      <c r="N104" s="1136">
        <f>EB49</f>
        <v>0</v>
      </c>
      <c r="O104" s="1137">
        <f>EC49</f>
        <v>0</v>
      </c>
      <c r="P104" s="749">
        <f t="shared" ref="P104:P111" si="363">SUM(K104:O104)</f>
        <v>0</v>
      </c>
      <c r="S104" s="3113"/>
      <c r="T104" s="3114"/>
      <c r="U104" s="3114"/>
      <c r="V104" s="3114"/>
      <c r="W104" s="3115"/>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4"/>
      <c r="B105" s="1124"/>
      <c r="C105" s="29" t="s">
        <v>2311</v>
      </c>
      <c r="D105" s="334"/>
      <c r="E105" s="334"/>
      <c r="F105" s="1"/>
      <c r="G105" s="62"/>
      <c r="H105" s="81" t="s">
        <v>3681</v>
      </c>
      <c r="I105" s="29"/>
      <c r="J105" s="62"/>
      <c r="K105" s="1138">
        <f>DT49</f>
        <v>0</v>
      </c>
      <c r="L105" s="1139">
        <f>DU49</f>
        <v>0</v>
      </c>
      <c r="M105" s="1139">
        <f>DV49</f>
        <v>0</v>
      </c>
      <c r="N105" s="1139">
        <f>DW49</f>
        <v>0</v>
      </c>
      <c r="O105" s="1140">
        <f>DX49</f>
        <v>0</v>
      </c>
      <c r="P105" s="745">
        <f t="shared" si="363"/>
        <v>0</v>
      </c>
      <c r="S105" s="3087"/>
      <c r="T105" s="3088"/>
      <c r="U105" s="3088"/>
      <c r="V105" s="3088"/>
      <c r="W105" s="3089"/>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4"/>
      <c r="B106" s="1124"/>
      <c r="C106" s="334"/>
      <c r="D106" s="334"/>
      <c r="E106" s="334"/>
      <c r="F106" s="1"/>
      <c r="G106" s="62"/>
      <c r="H106" s="81" t="s">
        <v>1082</v>
      </c>
      <c r="I106" s="29"/>
      <c r="J106" s="62"/>
      <c r="K106" s="1138">
        <f>DO49</f>
        <v>0</v>
      </c>
      <c r="L106" s="1139">
        <f>DP49</f>
        <v>0</v>
      </c>
      <c r="M106" s="1139">
        <f>DQ49</f>
        <v>0</v>
      </c>
      <c r="N106" s="1139">
        <f>DR49</f>
        <v>0</v>
      </c>
      <c r="O106" s="1140">
        <f>DS49</f>
        <v>0</v>
      </c>
      <c r="P106" s="745">
        <f t="shared" si="363"/>
        <v>0</v>
      </c>
      <c r="S106" s="3087"/>
      <c r="T106" s="3088"/>
      <c r="U106" s="3088"/>
      <c r="V106" s="3088"/>
      <c r="W106" s="3089"/>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4"/>
      <c r="B107" s="1124"/>
      <c r="C107" s="334"/>
      <c r="D107" s="334"/>
      <c r="E107" s="334"/>
      <c r="F107" s="1"/>
      <c r="G107" s="62"/>
      <c r="H107" s="81" t="s">
        <v>112</v>
      </c>
      <c r="I107" s="29"/>
      <c r="J107" s="914"/>
      <c r="K107" s="1159">
        <f>DJ49</f>
        <v>0</v>
      </c>
      <c r="L107" s="1160">
        <f>DK49</f>
        <v>0</v>
      </c>
      <c r="M107" s="1160">
        <f>DL49</f>
        <v>0</v>
      </c>
      <c r="N107" s="1160">
        <f>DM49</f>
        <v>0</v>
      </c>
      <c r="O107" s="1161">
        <f>DN49</f>
        <v>0</v>
      </c>
      <c r="P107" s="466">
        <f t="shared" si="363"/>
        <v>0</v>
      </c>
      <c r="S107" s="3087"/>
      <c r="T107" s="3088"/>
      <c r="U107" s="3088"/>
      <c r="V107" s="3088"/>
      <c r="W107" s="3089"/>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4"/>
      <c r="B108" s="1124"/>
      <c r="C108" s="334"/>
      <c r="D108" s="334"/>
      <c r="E108" s="334"/>
      <c r="F108" s="1"/>
      <c r="G108" s="62"/>
      <c r="H108" s="81" t="s">
        <v>3682</v>
      </c>
      <c r="I108" s="29"/>
      <c r="J108" s="914"/>
      <c r="K108" s="1138">
        <f>DE49</f>
        <v>0</v>
      </c>
      <c r="L108" s="1139">
        <f>DF49</f>
        <v>0</v>
      </c>
      <c r="M108" s="1139">
        <f>DG49</f>
        <v>0</v>
      </c>
      <c r="N108" s="1139">
        <f>DH49</f>
        <v>0</v>
      </c>
      <c r="O108" s="1140">
        <f>DI49</f>
        <v>0</v>
      </c>
      <c r="P108" s="745">
        <f t="shared" si="363"/>
        <v>0</v>
      </c>
      <c r="S108" s="3087"/>
      <c r="T108" s="3088"/>
      <c r="U108" s="3088"/>
      <c r="V108" s="3088"/>
      <c r="W108" s="3089"/>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4"/>
      <c r="B109" s="1124"/>
      <c r="C109" s="334"/>
      <c r="D109" s="334"/>
      <c r="E109" s="334"/>
      <c r="F109" s="1"/>
      <c r="G109" s="62"/>
      <c r="H109" s="81" t="s">
        <v>3683</v>
      </c>
      <c r="I109" s="29"/>
      <c r="J109" s="62"/>
      <c r="K109" s="1138">
        <f>CZ49</f>
        <v>0</v>
      </c>
      <c r="L109" s="1139">
        <f>DA49</f>
        <v>0</v>
      </c>
      <c r="M109" s="1139">
        <f>DB49</f>
        <v>0</v>
      </c>
      <c r="N109" s="1139">
        <f>DC49</f>
        <v>0</v>
      </c>
      <c r="O109" s="1140">
        <f>DD49</f>
        <v>0</v>
      </c>
      <c r="P109" s="745">
        <f t="shared" si="363"/>
        <v>0</v>
      </c>
      <c r="S109" s="3087"/>
      <c r="T109" s="3088"/>
      <c r="U109" s="3088"/>
      <c r="V109" s="3088"/>
      <c r="W109" s="3089"/>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4"/>
      <c r="B110" s="1124"/>
      <c r="C110" s="334"/>
      <c r="D110" s="334"/>
      <c r="E110" s="334"/>
      <c r="F110" s="1"/>
      <c r="G110" s="62"/>
      <c r="H110" s="81" t="s">
        <v>3684</v>
      </c>
      <c r="I110" s="29"/>
      <c r="J110" s="62"/>
      <c r="K110" s="1141">
        <f>CU49</f>
        <v>0</v>
      </c>
      <c r="L110" s="1142">
        <f>CV49</f>
        <v>0</v>
      </c>
      <c r="M110" s="1142">
        <f>CW49</f>
        <v>0</v>
      </c>
      <c r="N110" s="1142">
        <f>CX49</f>
        <v>0</v>
      </c>
      <c r="O110" s="1143">
        <f>CY49</f>
        <v>0</v>
      </c>
      <c r="P110" s="746">
        <f t="shared" si="363"/>
        <v>0</v>
      </c>
      <c r="S110" s="3087"/>
      <c r="T110" s="3088"/>
      <c r="U110" s="3088"/>
      <c r="V110" s="3088"/>
      <c r="W110" s="3089"/>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4"/>
      <c r="B111" s="1124"/>
      <c r="C111" s="62"/>
      <c r="D111" s="1"/>
      <c r="E111" s="81"/>
      <c r="F111" s="1"/>
      <c r="G111" s="62"/>
      <c r="H111" s="141" t="s">
        <v>504</v>
      </c>
      <c r="I111" s="66"/>
      <c r="J111" s="62"/>
      <c r="K111" s="1093">
        <f>SUM(K104:K110)</f>
        <v>0</v>
      </c>
      <c r="L111" s="1093">
        <f>SUM(L104:L110)</f>
        <v>0</v>
      </c>
      <c r="M111" s="1093">
        <f>SUM(M104:M110)</f>
        <v>0</v>
      </c>
      <c r="N111" s="1093">
        <f>SUM(N104:N110)</f>
        <v>0</v>
      </c>
      <c r="O111" s="1093">
        <f>SUM(O104:O110)</f>
        <v>0</v>
      </c>
      <c r="P111" s="1093">
        <f t="shared" si="363"/>
        <v>0</v>
      </c>
      <c r="S111" s="3093"/>
      <c r="T111" s="3094"/>
      <c r="U111" s="3094"/>
      <c r="V111" s="3094"/>
      <c r="W111" s="3095"/>
      <c r="X111" s="1749"/>
      <c r="AA111" s="359"/>
      <c r="AB111" s="362"/>
      <c r="AC111" s="1749"/>
      <c r="AF111" s="359"/>
      <c r="AG111" s="362"/>
      <c r="AH111" s="1749"/>
      <c r="AK111" s="359"/>
      <c r="AL111" s="362"/>
      <c r="AM111" s="1749"/>
      <c r="AP111" s="359"/>
      <c r="AQ111" s="362"/>
      <c r="AR111" s="363"/>
      <c r="AS111" s="363"/>
      <c r="AT111" s="363"/>
      <c r="AU111" s="363"/>
      <c r="AV111" s="363"/>
      <c r="AW111" s="363"/>
      <c r="AX111" s="362"/>
      <c r="AY111" s="359"/>
      <c r="BB111" s="363"/>
      <c r="BC111" s="362"/>
      <c r="BD111" s="359"/>
      <c r="LO111" s="361"/>
      <c r="MD111" s="357"/>
    </row>
    <row r="112" spans="1:342" ht="9" customHeight="1">
      <c r="A112" s="1124"/>
      <c r="B112" s="1124"/>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4"/>
      <c r="B113" s="1124"/>
      <c r="C113" s="3092" t="s">
        <v>35</v>
      </c>
      <c r="D113" s="3092"/>
      <c r="E113" s="81" t="s">
        <v>2121</v>
      </c>
      <c r="F113" s="1"/>
      <c r="G113" s="62"/>
      <c r="H113" s="81" t="s">
        <v>1344</v>
      </c>
      <c r="I113" s="29"/>
      <c r="J113" s="62"/>
      <c r="K113" s="1126">
        <f>GG49</f>
        <v>0</v>
      </c>
      <c r="L113" s="1127">
        <f>GH49</f>
        <v>15</v>
      </c>
      <c r="M113" s="1127">
        <f>GI49</f>
        <v>39</v>
      </c>
      <c r="N113" s="1127">
        <f>GJ49</f>
        <v>45</v>
      </c>
      <c r="O113" s="1128">
        <f>GK49</f>
        <v>21</v>
      </c>
      <c r="P113" s="749">
        <f t="shared" ref="P113:P123" si="364">SUM(K113:O113)</f>
        <v>120</v>
      </c>
      <c r="S113" s="3113"/>
      <c r="T113" s="3114"/>
      <c r="U113" s="3114"/>
      <c r="V113" s="3114"/>
      <c r="W113" s="3115"/>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4"/>
      <c r="B114" s="1124"/>
      <c r="C114" s="3092"/>
      <c r="D114" s="3092"/>
      <c r="E114" s="81"/>
      <c r="F114" s="1"/>
      <c r="G114" s="62"/>
      <c r="H114" s="81" t="s">
        <v>290</v>
      </c>
      <c r="I114" s="29"/>
      <c r="J114" s="62"/>
      <c r="K114" s="1132">
        <f>GL49</f>
        <v>0</v>
      </c>
      <c r="L114" s="1133">
        <f>GM49</f>
        <v>0</v>
      </c>
      <c r="M114" s="1133">
        <f>GN49</f>
        <v>0</v>
      </c>
      <c r="N114" s="1133">
        <f>GO49</f>
        <v>0</v>
      </c>
      <c r="O114" s="1134">
        <f>GP49</f>
        <v>0</v>
      </c>
      <c r="P114" s="746">
        <f t="shared" si="364"/>
        <v>0</v>
      </c>
      <c r="S114" s="3087"/>
      <c r="T114" s="3088"/>
      <c r="U114" s="3088"/>
      <c r="V114" s="3088"/>
      <c r="W114" s="3089"/>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4"/>
      <c r="B115" s="1124"/>
      <c r="C115" s="3092"/>
      <c r="D115" s="3092"/>
      <c r="E115" s="81"/>
      <c r="F115" s="1"/>
      <c r="G115" s="62"/>
      <c r="H115" s="141" t="s">
        <v>29</v>
      </c>
      <c r="I115" s="66"/>
      <c r="J115" s="62"/>
      <c r="K115" s="1095">
        <f>SUM(K113:K114)+GQ49</f>
        <v>0</v>
      </c>
      <c r="L115" s="1095">
        <f>SUM(L113:L114)+GR49</f>
        <v>15</v>
      </c>
      <c r="M115" s="1095">
        <f>SUM(M113:M114)+GS49</f>
        <v>39</v>
      </c>
      <c r="N115" s="1095">
        <f>SUM(N113:N114)+GT49</f>
        <v>45</v>
      </c>
      <c r="O115" s="1095">
        <f>SUM(O113:O114)+GU49</f>
        <v>21</v>
      </c>
      <c r="P115" s="1095">
        <f t="shared" si="364"/>
        <v>120</v>
      </c>
      <c r="S115" s="3087"/>
      <c r="T115" s="3088"/>
      <c r="U115" s="3088"/>
      <c r="V115" s="3088"/>
      <c r="W115" s="3089"/>
      <c r="X115" s="1749"/>
      <c r="AA115" s="359"/>
      <c r="AB115" s="362"/>
      <c r="AC115" s="1749"/>
      <c r="AF115" s="359"/>
      <c r="AG115" s="362"/>
      <c r="AH115" s="1749"/>
      <c r="AK115" s="359"/>
      <c r="AL115" s="362"/>
      <c r="AM115" s="1749"/>
      <c r="AP115" s="359"/>
      <c r="AQ115" s="362"/>
      <c r="AR115" s="363"/>
      <c r="AS115" s="363"/>
      <c r="AT115" s="363"/>
      <c r="AU115" s="363"/>
      <c r="AV115" s="363"/>
      <c r="AW115" s="363"/>
      <c r="AX115" s="362"/>
      <c r="AY115" s="359"/>
      <c r="BB115" s="363"/>
      <c r="BC115" s="362"/>
      <c r="BD115" s="359"/>
      <c r="LO115" s="361"/>
      <c r="MD115" s="357"/>
    </row>
    <row r="116" spans="1:342" ht="14.25" customHeight="1">
      <c r="A116" s="1124"/>
      <c r="B116" s="1124"/>
      <c r="C116" s="3092"/>
      <c r="D116" s="3092"/>
      <c r="E116" s="81" t="s">
        <v>1984</v>
      </c>
      <c r="F116" s="1"/>
      <c r="G116" s="62"/>
      <c r="H116" s="81" t="s">
        <v>1344</v>
      </c>
      <c r="I116" s="29"/>
      <c r="J116" s="62"/>
      <c r="K116" s="1126">
        <f>GV49</f>
        <v>0</v>
      </c>
      <c r="L116" s="1127">
        <f>GW49</f>
        <v>0</v>
      </c>
      <c r="M116" s="1127">
        <f>GX49</f>
        <v>0</v>
      </c>
      <c r="N116" s="1127">
        <f>GY49</f>
        <v>0</v>
      </c>
      <c r="O116" s="1128">
        <f>GZ49</f>
        <v>0</v>
      </c>
      <c r="P116" s="749">
        <f t="shared" si="364"/>
        <v>0</v>
      </c>
      <c r="S116" s="3087"/>
      <c r="T116" s="3088"/>
      <c r="U116" s="3088"/>
      <c r="V116" s="3088"/>
      <c r="W116" s="3089"/>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4"/>
      <c r="B117" s="1124"/>
      <c r="C117" s="3092"/>
      <c r="D117" s="3092"/>
      <c r="E117" s="81"/>
      <c r="F117" s="1"/>
      <c r="G117" s="62"/>
      <c r="H117" s="81" t="s">
        <v>290</v>
      </c>
      <c r="I117" s="29"/>
      <c r="J117" s="62"/>
      <c r="K117" s="1132">
        <f>HA49</f>
        <v>0</v>
      </c>
      <c r="L117" s="1133">
        <f>HB49</f>
        <v>0</v>
      </c>
      <c r="M117" s="1133">
        <f>HC49</f>
        <v>0</v>
      </c>
      <c r="N117" s="1133">
        <f>HD49</f>
        <v>0</v>
      </c>
      <c r="O117" s="1134">
        <f>HE49</f>
        <v>0</v>
      </c>
      <c r="P117" s="746">
        <f t="shared" si="364"/>
        <v>0</v>
      </c>
      <c r="S117" s="3087"/>
      <c r="T117" s="3088"/>
      <c r="U117" s="3088"/>
      <c r="V117" s="3088"/>
      <c r="W117" s="3089"/>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4"/>
      <c r="B118" s="1124"/>
      <c r="C118" s="3092"/>
      <c r="D118" s="3092"/>
      <c r="E118" s="81"/>
      <c r="F118" s="1"/>
      <c r="G118" s="62"/>
      <c r="H118" s="141" t="s">
        <v>29</v>
      </c>
      <c r="I118" s="66"/>
      <c r="J118" s="62"/>
      <c r="K118" s="1095">
        <f>SUM(K116:K117)+HF49</f>
        <v>0</v>
      </c>
      <c r="L118" s="1095">
        <f>SUM(L116:L117)+HG49</f>
        <v>0</v>
      </c>
      <c r="M118" s="1095">
        <f>SUM(M116:M117)+HH49</f>
        <v>0</v>
      </c>
      <c r="N118" s="1095">
        <f>SUM(N116:N117)+HI49</f>
        <v>0</v>
      </c>
      <c r="O118" s="1095">
        <f>SUM(O116:O117)+HJ49</f>
        <v>0</v>
      </c>
      <c r="P118" s="1095">
        <f t="shared" si="364"/>
        <v>0</v>
      </c>
      <c r="S118" s="3087"/>
      <c r="T118" s="3088"/>
      <c r="U118" s="3088"/>
      <c r="V118" s="3088"/>
      <c r="W118" s="3089"/>
      <c r="X118" s="1749"/>
      <c r="AA118" s="359"/>
      <c r="AB118" s="362"/>
      <c r="AC118" s="1749"/>
      <c r="AF118" s="359"/>
      <c r="AG118" s="362"/>
      <c r="AH118" s="1749"/>
      <c r="AK118" s="359"/>
      <c r="AL118" s="362"/>
      <c r="AM118" s="1749"/>
      <c r="AP118" s="359"/>
      <c r="AQ118" s="362"/>
      <c r="AR118" s="363"/>
      <c r="AS118" s="363"/>
      <c r="AT118" s="363"/>
      <c r="AU118" s="363"/>
      <c r="AV118" s="363"/>
      <c r="AW118" s="363"/>
      <c r="AX118" s="362"/>
      <c r="AY118" s="359"/>
      <c r="BB118" s="363"/>
      <c r="BC118" s="362"/>
      <c r="BD118" s="359"/>
      <c r="LO118" s="361"/>
      <c r="MD118" s="357"/>
    </row>
    <row r="119" spans="1:342" ht="14.25" customHeight="1">
      <c r="A119" s="1124"/>
      <c r="B119" s="1124"/>
      <c r="C119" s="697"/>
      <c r="D119" s="1"/>
      <c r="E119" s="3166" t="s">
        <v>1338</v>
      </c>
      <c r="F119" s="3166"/>
      <c r="G119" s="62"/>
      <c r="H119" s="81" t="s">
        <v>1344</v>
      </c>
      <c r="I119" s="29"/>
      <c r="J119" s="62"/>
      <c r="K119" s="1126">
        <f>HK49</f>
        <v>0</v>
      </c>
      <c r="L119" s="1127">
        <f>HL49</f>
        <v>0</v>
      </c>
      <c r="M119" s="1127">
        <f>HM49</f>
        <v>0</v>
      </c>
      <c r="N119" s="1127">
        <f>HN49</f>
        <v>0</v>
      </c>
      <c r="O119" s="1128">
        <f>HO49</f>
        <v>0</v>
      </c>
      <c r="P119" s="749">
        <f t="shared" si="364"/>
        <v>0</v>
      </c>
      <c r="S119" s="3087"/>
      <c r="T119" s="3088"/>
      <c r="U119" s="3088"/>
      <c r="V119" s="3088"/>
      <c r="W119" s="3089"/>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4"/>
      <c r="B120" s="1124"/>
      <c r="C120" s="697"/>
      <c r="D120" s="1"/>
      <c r="E120" s="3166"/>
      <c r="F120" s="3166"/>
      <c r="G120" s="62"/>
      <c r="H120" s="81" t="s">
        <v>290</v>
      </c>
      <c r="I120" s="29"/>
      <c r="J120" s="62"/>
      <c r="K120" s="1132">
        <f>HP49</f>
        <v>0</v>
      </c>
      <c r="L120" s="1133">
        <f>HQ49</f>
        <v>0</v>
      </c>
      <c r="M120" s="1133">
        <f>HR49</f>
        <v>0</v>
      </c>
      <c r="N120" s="1133">
        <f>HS49</f>
        <v>0</v>
      </c>
      <c r="O120" s="1134">
        <f>HT49</f>
        <v>0</v>
      </c>
      <c r="P120" s="746">
        <f t="shared" si="364"/>
        <v>0</v>
      </c>
      <c r="S120" s="3087"/>
      <c r="T120" s="3088"/>
      <c r="U120" s="3088"/>
      <c r="V120" s="3088"/>
      <c r="W120" s="3089"/>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4"/>
      <c r="B121" s="1124"/>
      <c r="C121" s="697"/>
      <c r="D121" s="1"/>
      <c r="E121" s="81"/>
      <c r="F121" s="1"/>
      <c r="G121" s="62"/>
      <c r="H121" s="141" t="s">
        <v>29</v>
      </c>
      <c r="I121" s="66"/>
      <c r="J121" s="62"/>
      <c r="K121" s="1095">
        <f>SUM(K119:K120)+HU49</f>
        <v>0</v>
      </c>
      <c r="L121" s="1095">
        <f>SUM(L119:L120)+HV49</f>
        <v>0</v>
      </c>
      <c r="M121" s="1095">
        <f>SUM(M119:M120)+HW49</f>
        <v>0</v>
      </c>
      <c r="N121" s="1095">
        <f>SUM(N119:N120)+HX49</f>
        <v>0</v>
      </c>
      <c r="O121" s="1095">
        <f>SUM(O119:O120)+HY49</f>
        <v>0</v>
      </c>
      <c r="P121" s="1095">
        <f t="shared" si="364"/>
        <v>0</v>
      </c>
      <c r="S121" s="3087"/>
      <c r="T121" s="3088"/>
      <c r="U121" s="3088"/>
      <c r="V121" s="3088"/>
      <c r="W121" s="3089"/>
      <c r="X121" s="1749"/>
      <c r="AA121" s="359"/>
      <c r="AB121" s="362"/>
      <c r="AC121" s="1749"/>
      <c r="AF121" s="359"/>
      <c r="AG121" s="362"/>
      <c r="AH121" s="1749"/>
      <c r="AK121" s="359"/>
      <c r="AL121" s="362"/>
      <c r="AM121" s="1749"/>
      <c r="AP121" s="359"/>
      <c r="AQ121" s="362"/>
      <c r="AR121" s="363"/>
      <c r="AS121" s="363"/>
      <c r="AT121" s="363"/>
      <c r="AU121" s="363"/>
      <c r="AV121" s="363"/>
      <c r="AW121" s="363"/>
      <c r="AX121" s="362"/>
      <c r="AY121" s="359"/>
      <c r="BB121" s="363"/>
      <c r="BC121" s="362"/>
      <c r="BD121" s="359"/>
      <c r="LO121" s="361"/>
      <c r="MD121" s="357"/>
    </row>
    <row r="122" spans="1:342" ht="14.25" customHeight="1">
      <c r="A122" s="1124"/>
      <c r="B122" s="1124"/>
      <c r="C122" s="697"/>
      <c r="D122" s="1"/>
      <c r="E122" s="81" t="s">
        <v>345</v>
      </c>
      <c r="F122" s="1"/>
      <c r="G122" s="147"/>
      <c r="H122" s="87"/>
      <c r="I122" s="62"/>
      <c r="J122" s="62"/>
      <c r="K122" s="467"/>
      <c r="L122" s="467"/>
      <c r="M122" s="467"/>
      <c r="N122" s="467"/>
      <c r="O122" s="467"/>
      <c r="P122" s="463">
        <f t="shared" si="364"/>
        <v>0</v>
      </c>
      <c r="S122" s="3087"/>
      <c r="T122" s="3088"/>
      <c r="U122" s="3088"/>
      <c r="V122" s="3088"/>
      <c r="W122" s="3089"/>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091" t="str">
        <f>IF(AND('Part III-A-Uses of Funds'!$T$179="Yes",'Part VIII Scoring Criteria'!$O$377&gt;0,P123&lt;1),"SHOW HISTORIC UNITS HERE &gt;&gt;&gt;&gt;","")</f>
        <v/>
      </c>
      <c r="B123" s="3091"/>
      <c r="C123" s="3091"/>
      <c r="D123" s="3091"/>
      <c r="E123" s="383" t="s">
        <v>3023</v>
      </c>
      <c r="F123" s="1"/>
      <c r="G123" s="147"/>
      <c r="H123" s="87"/>
      <c r="I123" s="62"/>
      <c r="J123" s="62"/>
      <c r="K123" s="468"/>
      <c r="L123" s="468"/>
      <c r="M123" s="468"/>
      <c r="N123" s="468"/>
      <c r="O123" s="468"/>
      <c r="P123" s="464">
        <f t="shared" si="364"/>
        <v>0</v>
      </c>
      <c r="S123" s="3087"/>
      <c r="T123" s="3088"/>
      <c r="U123" s="3088"/>
      <c r="V123" s="3088"/>
      <c r="W123" s="3089"/>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087"/>
      <c r="T124" s="3088"/>
      <c r="U124" s="3088"/>
      <c r="V124" s="3088"/>
      <c r="W124" s="3089"/>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3000</v>
      </c>
      <c r="F125" s="1"/>
      <c r="G125" s="147"/>
      <c r="H125" s="87"/>
      <c r="I125" s="62"/>
      <c r="J125" s="62"/>
      <c r="K125" s="1144">
        <f>K129+K133+K137+K139+K141+K143</f>
        <v>0</v>
      </c>
      <c r="L125" s="1145">
        <f>L129+L133+L137+L139+L141+L143</f>
        <v>0</v>
      </c>
      <c r="M125" s="1145">
        <f>M129+M133+M137+M139+M141+M143</f>
        <v>0</v>
      </c>
      <c r="N125" s="1145">
        <f>N129+N133+N137+N139+N141+N143</f>
        <v>0</v>
      </c>
      <c r="O125" s="1146">
        <f>O129+O133+O137+O139+O141+O143</f>
        <v>0</v>
      </c>
      <c r="P125" s="474">
        <f>SUM(K125:O125)</f>
        <v>0</v>
      </c>
      <c r="S125" s="3093"/>
      <c r="T125" s="3094"/>
      <c r="U125" s="3094"/>
      <c r="V125" s="3094"/>
      <c r="W125" s="3095"/>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171" t="s">
        <v>6499</v>
      </c>
      <c r="D127" s="3171"/>
      <c r="E127" s="910" t="s">
        <v>36</v>
      </c>
      <c r="F127" s="767"/>
      <c r="G127" s="911"/>
      <c r="H127" s="1444"/>
      <c r="I127" s="912"/>
      <c r="J127" s="913"/>
      <c r="K127" s="1147">
        <f t="shared" ref="K127:P127" si="365">SUM(K128:K135)</f>
        <v>0</v>
      </c>
      <c r="L127" s="1148">
        <f t="shared" si="365"/>
        <v>15</v>
      </c>
      <c r="M127" s="1148">
        <f t="shared" si="365"/>
        <v>39</v>
      </c>
      <c r="N127" s="1148">
        <f t="shared" si="365"/>
        <v>45</v>
      </c>
      <c r="O127" s="1149">
        <f t="shared" si="365"/>
        <v>21</v>
      </c>
      <c r="P127" s="1098">
        <f t="shared" si="365"/>
        <v>120</v>
      </c>
      <c r="S127" s="3113"/>
      <c r="T127" s="3114"/>
      <c r="U127" s="3114"/>
      <c r="V127" s="3114"/>
      <c r="W127" s="3115"/>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092"/>
      <c r="D128" s="3092"/>
      <c r="E128" s="81"/>
      <c r="F128" s="1"/>
      <c r="G128" s="62"/>
      <c r="H128" s="1408" t="s">
        <v>6300</v>
      </c>
      <c r="I128" s="33"/>
      <c r="J128" s="914"/>
      <c r="K128" s="1129">
        <f>JS49</f>
        <v>0</v>
      </c>
      <c r="L128" s="1130">
        <f>JT49</f>
        <v>15</v>
      </c>
      <c r="M128" s="1130">
        <f>JU49</f>
        <v>39</v>
      </c>
      <c r="N128" s="1130">
        <f>JV49</f>
        <v>45</v>
      </c>
      <c r="O128" s="1131">
        <f>JW49</f>
        <v>21</v>
      </c>
      <c r="P128" s="745">
        <f t="shared" ref="P128:P143" si="366">SUM(K128:O128)</f>
        <v>120</v>
      </c>
      <c r="S128" s="3087"/>
      <c r="T128" s="3088"/>
      <c r="U128" s="3088"/>
      <c r="V128" s="3088"/>
      <c r="W128" s="3089"/>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092"/>
      <c r="D129" s="3092"/>
      <c r="E129" s="81"/>
      <c r="F129" s="1"/>
      <c r="G129" s="62"/>
      <c r="H129" s="1445" t="s">
        <v>3000</v>
      </c>
      <c r="I129" s="73"/>
      <c r="J129" s="914"/>
      <c r="K129" s="1693">
        <f>KC49</f>
        <v>0</v>
      </c>
      <c r="L129" s="1694">
        <f>KD49</f>
        <v>0</v>
      </c>
      <c r="M129" s="1694">
        <f>KE49</f>
        <v>0</v>
      </c>
      <c r="N129" s="1694">
        <f>KF49</f>
        <v>0</v>
      </c>
      <c r="O129" s="1695">
        <f>KG49</f>
        <v>0</v>
      </c>
      <c r="P129" s="1705">
        <f t="shared" si="366"/>
        <v>0</v>
      </c>
      <c r="S129" s="3087"/>
      <c r="T129" s="3088"/>
      <c r="U129" s="3088"/>
      <c r="V129" s="3088"/>
      <c r="W129" s="3089"/>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092"/>
      <c r="D130" s="3092"/>
      <c r="E130" s="81"/>
      <c r="F130" s="1"/>
      <c r="G130" s="62"/>
      <c r="H130" s="1408" t="s">
        <v>6486</v>
      </c>
      <c r="I130" s="33"/>
      <c r="J130" s="914"/>
      <c r="K130" s="1129">
        <f>JX49</f>
        <v>0</v>
      </c>
      <c r="L130" s="1130">
        <f>JY49</f>
        <v>0</v>
      </c>
      <c r="M130" s="1130">
        <f>JZ49</f>
        <v>0</v>
      </c>
      <c r="N130" s="1130">
        <f>KA49</f>
        <v>0</v>
      </c>
      <c r="O130" s="1131">
        <f>KB49</f>
        <v>0</v>
      </c>
      <c r="P130" s="745">
        <f t="shared" ref="P130:P135" si="367">SUM(K130:O130)</f>
        <v>0</v>
      </c>
      <c r="S130" s="3087"/>
      <c r="T130" s="3088"/>
      <c r="U130" s="3088"/>
      <c r="V130" s="3088"/>
      <c r="W130" s="3089"/>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092"/>
      <c r="D131" s="3092"/>
      <c r="E131" s="81"/>
      <c r="F131" s="1"/>
      <c r="G131" s="62"/>
      <c r="H131" s="1445" t="s">
        <v>3000</v>
      </c>
      <c r="I131" s="73"/>
      <c r="J131" s="914"/>
      <c r="K131" s="1693">
        <f>KH49</f>
        <v>0</v>
      </c>
      <c r="L131" s="1694">
        <f>KI49</f>
        <v>0</v>
      </c>
      <c r="M131" s="1694">
        <f>KJ49</f>
        <v>0</v>
      </c>
      <c r="N131" s="1694">
        <f>KK49</f>
        <v>0</v>
      </c>
      <c r="O131" s="1695">
        <f>KL49</f>
        <v>0</v>
      </c>
      <c r="P131" s="1705">
        <f t="shared" si="367"/>
        <v>0</v>
      </c>
      <c r="S131" s="3087"/>
      <c r="T131" s="3088"/>
      <c r="U131" s="3088"/>
      <c r="V131" s="3088"/>
      <c r="W131" s="3089"/>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092"/>
      <c r="D132" s="3092"/>
      <c r="E132" s="81"/>
      <c r="F132" s="1"/>
      <c r="G132" s="62"/>
      <c r="H132" s="1408" t="s">
        <v>6302</v>
      </c>
      <c r="I132" s="33"/>
      <c r="J132" s="62"/>
      <c r="K132" s="1153">
        <f>KM49</f>
        <v>0</v>
      </c>
      <c r="L132" s="1154">
        <f>KN49</f>
        <v>0</v>
      </c>
      <c r="M132" s="1154">
        <f>KO49</f>
        <v>0</v>
      </c>
      <c r="N132" s="1154">
        <f>KP49</f>
        <v>0</v>
      </c>
      <c r="O132" s="1155">
        <f>KQ49</f>
        <v>0</v>
      </c>
      <c r="P132" s="469">
        <f t="shared" si="367"/>
        <v>0</v>
      </c>
      <c r="S132" s="3087"/>
      <c r="T132" s="3088"/>
      <c r="U132" s="3088"/>
      <c r="V132" s="3088"/>
      <c r="W132" s="3089"/>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092"/>
      <c r="D133" s="3092"/>
      <c r="E133" s="81"/>
      <c r="F133" s="1"/>
      <c r="G133" s="62"/>
      <c r="H133" s="1445" t="s">
        <v>3000</v>
      </c>
      <c r="I133" s="73"/>
      <c r="J133" s="62"/>
      <c r="K133" s="1701">
        <f>KW49</f>
        <v>0</v>
      </c>
      <c r="L133" s="1702">
        <f>KX49</f>
        <v>0</v>
      </c>
      <c r="M133" s="1702">
        <f>KY49</f>
        <v>0</v>
      </c>
      <c r="N133" s="1702">
        <f>KZ49</f>
        <v>0</v>
      </c>
      <c r="O133" s="1703">
        <f>LA49</f>
        <v>0</v>
      </c>
      <c r="P133" s="1704">
        <f t="shared" si="367"/>
        <v>0</v>
      </c>
      <c r="S133" s="3087"/>
      <c r="T133" s="3088"/>
      <c r="U133" s="3088"/>
      <c r="V133" s="3088"/>
      <c r="W133" s="3089"/>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092"/>
      <c r="D134" s="3092"/>
      <c r="E134" s="81"/>
      <c r="F134" s="1"/>
      <c r="G134" s="62"/>
      <c r="H134" s="1408" t="s">
        <v>6493</v>
      </c>
      <c r="I134" s="33"/>
      <c r="J134" s="62"/>
      <c r="K134" s="1153">
        <f>KR49</f>
        <v>0</v>
      </c>
      <c r="L134" s="1154">
        <f>KS49</f>
        <v>0</v>
      </c>
      <c r="M134" s="1154">
        <f>KT49</f>
        <v>0</v>
      </c>
      <c r="N134" s="1154">
        <f>KU49</f>
        <v>0</v>
      </c>
      <c r="O134" s="1155">
        <f>KV49</f>
        <v>0</v>
      </c>
      <c r="P134" s="469">
        <f t="shared" si="367"/>
        <v>0</v>
      </c>
      <c r="S134" s="3087"/>
      <c r="T134" s="3088"/>
      <c r="U134" s="3088"/>
      <c r="V134" s="3088"/>
      <c r="W134" s="3089"/>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092"/>
      <c r="D135" s="3092"/>
      <c r="E135" s="81"/>
      <c r="F135" s="1"/>
      <c r="G135" s="62"/>
      <c r="H135" s="1445" t="s">
        <v>3000</v>
      </c>
      <c r="I135" s="73"/>
      <c r="J135" s="62"/>
      <c r="K135" s="1701">
        <f>LB49</f>
        <v>0</v>
      </c>
      <c r="L135" s="1702">
        <f>LC49</f>
        <v>0</v>
      </c>
      <c r="M135" s="1702">
        <f>LD49</f>
        <v>0</v>
      </c>
      <c r="N135" s="1702">
        <f>LE49</f>
        <v>0</v>
      </c>
      <c r="O135" s="1703">
        <f>LF49</f>
        <v>0</v>
      </c>
      <c r="P135" s="1704">
        <f t="shared" si="367"/>
        <v>0</v>
      </c>
      <c r="S135" s="3087"/>
      <c r="T135" s="3088"/>
      <c r="U135" s="3088"/>
      <c r="V135" s="3088"/>
      <c r="W135" s="3089"/>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092"/>
      <c r="D136" s="3092"/>
      <c r="E136" s="81" t="s">
        <v>6488</v>
      </c>
      <c r="F136" s="1"/>
      <c r="G136" s="62"/>
      <c r="H136" s="1408"/>
      <c r="I136" s="33"/>
      <c r="J136" s="62"/>
      <c r="K136" s="1126">
        <f>IE49</f>
        <v>0</v>
      </c>
      <c r="L136" s="1127">
        <f>IF49</f>
        <v>0</v>
      </c>
      <c r="M136" s="1127">
        <f>IG49</f>
        <v>0</v>
      </c>
      <c r="N136" s="1127">
        <f>IH49</f>
        <v>0</v>
      </c>
      <c r="O136" s="1128">
        <f>II49</f>
        <v>0</v>
      </c>
      <c r="P136" s="1689">
        <f t="shared" si="366"/>
        <v>0</v>
      </c>
      <c r="S136" s="3087"/>
      <c r="T136" s="3088"/>
      <c r="U136" s="3088"/>
      <c r="V136" s="3088"/>
      <c r="W136" s="3089"/>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092"/>
      <c r="D137" s="3092"/>
      <c r="E137" s="81"/>
      <c r="F137" s="1"/>
      <c r="G137" s="62"/>
      <c r="H137" s="1445" t="s">
        <v>3000</v>
      </c>
      <c r="I137" s="73"/>
      <c r="J137" s="62"/>
      <c r="K137" s="1693">
        <f>IJ49</f>
        <v>0</v>
      </c>
      <c r="L137" s="1694">
        <f>IK49</f>
        <v>0</v>
      </c>
      <c r="M137" s="1694">
        <f>IL49</f>
        <v>0</v>
      </c>
      <c r="N137" s="1694">
        <f>IM49</f>
        <v>0</v>
      </c>
      <c r="O137" s="1695">
        <f>IN49</f>
        <v>0</v>
      </c>
      <c r="P137" s="1696">
        <f t="shared" si="366"/>
        <v>0</v>
      </c>
      <c r="S137" s="3087"/>
      <c r="T137" s="3088"/>
      <c r="U137" s="3088"/>
      <c r="V137" s="3088"/>
      <c r="W137" s="3089"/>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092"/>
      <c r="D138" s="3092"/>
      <c r="E138" s="81" t="s">
        <v>6489</v>
      </c>
      <c r="F138" s="1"/>
      <c r="G138" s="62"/>
      <c r="H138" s="1408"/>
      <c r="I138" s="33"/>
      <c r="J138" s="62"/>
      <c r="K138" s="1153">
        <f>JI49</f>
        <v>0</v>
      </c>
      <c r="L138" s="1154">
        <f>JJ49</f>
        <v>0</v>
      </c>
      <c r="M138" s="1154">
        <f>JK49</f>
        <v>0</v>
      </c>
      <c r="N138" s="1154">
        <f>JL49</f>
        <v>0</v>
      </c>
      <c r="O138" s="1155">
        <f>JM49</f>
        <v>0</v>
      </c>
      <c r="P138" s="1690">
        <f t="shared" si="366"/>
        <v>0</v>
      </c>
      <c r="S138" s="3087"/>
      <c r="T138" s="3088"/>
      <c r="U138" s="3088"/>
      <c r="V138" s="3088"/>
      <c r="W138" s="3089"/>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092"/>
      <c r="D139" s="3092"/>
      <c r="E139" s="81"/>
      <c r="F139" s="1"/>
      <c r="G139" s="62"/>
      <c r="H139" s="1445" t="s">
        <v>3000</v>
      </c>
      <c r="I139" s="73"/>
      <c r="J139" s="62"/>
      <c r="K139" s="1693">
        <f>JN49</f>
        <v>0</v>
      </c>
      <c r="L139" s="1694">
        <f>JO49</f>
        <v>0</v>
      </c>
      <c r="M139" s="1694">
        <f>JP49</f>
        <v>0</v>
      </c>
      <c r="N139" s="1694">
        <f>JQ49</f>
        <v>0</v>
      </c>
      <c r="O139" s="1695">
        <f>JR49</f>
        <v>0</v>
      </c>
      <c r="P139" s="1696">
        <f t="shared" si="366"/>
        <v>0</v>
      </c>
      <c r="S139" s="3087"/>
      <c r="T139" s="3088"/>
      <c r="U139" s="3088"/>
      <c r="V139" s="3088"/>
      <c r="W139" s="3089"/>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092"/>
      <c r="D140" s="3092"/>
      <c r="E140" s="81" t="s">
        <v>6296</v>
      </c>
      <c r="F140" s="1"/>
      <c r="G140" s="62"/>
      <c r="H140" s="1408"/>
      <c r="I140" s="33"/>
      <c r="J140" s="62"/>
      <c r="K140" s="1153">
        <f>IY49</f>
        <v>0</v>
      </c>
      <c r="L140" s="1154">
        <f>IZ49</f>
        <v>0</v>
      </c>
      <c r="M140" s="1154">
        <f>JA49</f>
        <v>0</v>
      </c>
      <c r="N140" s="1154">
        <f>JB49</f>
        <v>0</v>
      </c>
      <c r="O140" s="1155">
        <f>JC49</f>
        <v>0</v>
      </c>
      <c r="P140" s="1690">
        <f t="shared" si="366"/>
        <v>0</v>
      </c>
      <c r="S140" s="3087"/>
      <c r="T140" s="3088"/>
      <c r="U140" s="3088"/>
      <c r="V140" s="3088"/>
      <c r="W140" s="3089"/>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092"/>
      <c r="D141" s="3092"/>
      <c r="E141" s="81"/>
      <c r="F141" s="1"/>
      <c r="G141" s="62"/>
      <c r="H141" s="1445" t="s">
        <v>3000</v>
      </c>
      <c r="I141" s="73"/>
      <c r="J141" s="62"/>
      <c r="K141" s="1701">
        <f>JD49</f>
        <v>0</v>
      </c>
      <c r="L141" s="1702">
        <f>JE49</f>
        <v>0</v>
      </c>
      <c r="M141" s="1702">
        <f>JF49</f>
        <v>0</v>
      </c>
      <c r="N141" s="1702">
        <f>JG49</f>
        <v>0</v>
      </c>
      <c r="O141" s="1703">
        <f>JH49</f>
        <v>0</v>
      </c>
      <c r="P141" s="1696">
        <f t="shared" si="366"/>
        <v>0</v>
      </c>
      <c r="S141" s="3087"/>
      <c r="T141" s="3088"/>
      <c r="U141" s="3088"/>
      <c r="V141" s="3088"/>
      <c r="W141" s="3089"/>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092"/>
      <c r="D142" s="3092"/>
      <c r="E142" s="68" t="s">
        <v>525</v>
      </c>
      <c r="F142" s="1"/>
      <c r="G142" s="62"/>
      <c r="H142" s="1408"/>
      <c r="I142" s="33"/>
      <c r="J142" s="62"/>
      <c r="K142" s="1153">
        <f>IO49</f>
        <v>0</v>
      </c>
      <c r="L142" s="1154">
        <f>IP49</f>
        <v>0</v>
      </c>
      <c r="M142" s="1154">
        <f>IQ49</f>
        <v>0</v>
      </c>
      <c r="N142" s="1154">
        <f>IR49</f>
        <v>0</v>
      </c>
      <c r="O142" s="1155">
        <f>IS49</f>
        <v>0</v>
      </c>
      <c r="P142" s="1690">
        <f t="shared" si="366"/>
        <v>0</v>
      </c>
      <c r="S142" s="3087"/>
      <c r="T142" s="3088"/>
      <c r="U142" s="3088"/>
      <c r="V142" s="3088"/>
      <c r="W142" s="3089"/>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8"/>
      <c r="D143" s="1688"/>
      <c r="E143" s="68"/>
      <c r="F143" s="1"/>
      <c r="G143" s="62"/>
      <c r="H143" s="1445" t="s">
        <v>3000</v>
      </c>
      <c r="I143" s="73"/>
      <c r="J143" s="62"/>
      <c r="K143" s="1697">
        <f>IT49</f>
        <v>0</v>
      </c>
      <c r="L143" s="1698">
        <f>IU49</f>
        <v>0</v>
      </c>
      <c r="M143" s="1698">
        <f>IV49</f>
        <v>0</v>
      </c>
      <c r="N143" s="1698">
        <f>IW49</f>
        <v>0</v>
      </c>
      <c r="O143" s="1699">
        <f>IX49</f>
        <v>0</v>
      </c>
      <c r="P143" s="1700">
        <f t="shared" si="366"/>
        <v>0</v>
      </c>
      <c r="S143" s="3093"/>
      <c r="T143" s="3094"/>
      <c r="U143" s="3094"/>
      <c r="V143" s="3094"/>
      <c r="W143" s="3095"/>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45" customHeight="1" thickBot="1">
      <c r="A145" s="10" t="s">
        <v>689</v>
      </c>
      <c r="B145" s="10" t="s">
        <v>3880</v>
      </c>
      <c r="H145" s="68"/>
      <c r="L145" s="3096" t="str">
        <f>$O$53</f>
        <v>Income Averaging</v>
      </c>
      <c r="M145" s="3097"/>
      <c r="N145" s="3097"/>
      <c r="O145" s="3098"/>
      <c r="P145" s="62"/>
      <c r="S145" s="3165" t="str">
        <f>B145</f>
        <v>UNIT SUMMARY (Continued)</v>
      </c>
      <c r="T145" s="3165"/>
      <c r="U145" s="3165"/>
      <c r="V145" s="3165"/>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171" t="s">
        <v>6500</v>
      </c>
      <c r="D147" s="3171"/>
      <c r="E147" s="910" t="s">
        <v>2995</v>
      </c>
      <c r="F147" s="911"/>
      <c r="G147" s="912"/>
      <c r="H147" s="1446"/>
      <c r="I147" s="915"/>
      <c r="J147" s="913"/>
      <c r="K147" s="1156">
        <f t="shared" ref="K147:O148" si="368">K136+K140+K142</f>
        <v>0</v>
      </c>
      <c r="L147" s="1157">
        <f>L136+L140+L142</f>
        <v>0</v>
      </c>
      <c r="M147" s="1157">
        <f t="shared" si="368"/>
        <v>0</v>
      </c>
      <c r="N147" s="1157">
        <f t="shared" si="368"/>
        <v>0</v>
      </c>
      <c r="O147" s="1158">
        <f t="shared" si="368"/>
        <v>0</v>
      </c>
      <c r="P147" s="1689">
        <f t="shared" ref="P147:P154" si="369">SUM(K147:O147)</f>
        <v>0</v>
      </c>
      <c r="S147" s="3113"/>
      <c r="T147" s="3114"/>
      <c r="U147" s="3114"/>
      <c r="V147" s="3114"/>
      <c r="W147" s="3115"/>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092"/>
      <c r="D148" s="3092"/>
      <c r="E148" s="81"/>
      <c r="F148" s="147"/>
      <c r="G148" s="62"/>
      <c r="H148" s="1445" t="s">
        <v>3000</v>
      </c>
      <c r="I148" s="73"/>
      <c r="J148" s="914"/>
      <c r="K148" s="1693">
        <f t="shared" si="368"/>
        <v>0</v>
      </c>
      <c r="L148" s="1694">
        <f t="shared" si="368"/>
        <v>0</v>
      </c>
      <c r="M148" s="1694">
        <f t="shared" si="368"/>
        <v>0</v>
      </c>
      <c r="N148" s="1694">
        <f t="shared" si="368"/>
        <v>0</v>
      </c>
      <c r="O148" s="1695">
        <f t="shared" si="368"/>
        <v>0</v>
      </c>
      <c r="P148" s="1696">
        <f t="shared" si="369"/>
        <v>0</v>
      </c>
      <c r="S148" s="3087"/>
      <c r="T148" s="3088"/>
      <c r="U148" s="3088"/>
      <c r="V148" s="3088"/>
      <c r="W148" s="3089"/>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092"/>
      <c r="D149" s="3092"/>
      <c r="E149" s="81" t="s">
        <v>2996</v>
      </c>
      <c r="F149" s="147"/>
      <c r="G149" s="62"/>
      <c r="H149" s="223"/>
      <c r="I149" s="147"/>
      <c r="J149" s="914"/>
      <c r="K149" s="1162">
        <f t="shared" ref="K149:O150" si="370">K138</f>
        <v>0</v>
      </c>
      <c r="L149" s="1163">
        <f t="shared" si="370"/>
        <v>0</v>
      </c>
      <c r="M149" s="1163">
        <f t="shared" si="370"/>
        <v>0</v>
      </c>
      <c r="N149" s="1163">
        <f t="shared" si="370"/>
        <v>0</v>
      </c>
      <c r="O149" s="1164">
        <f t="shared" si="370"/>
        <v>0</v>
      </c>
      <c r="P149" s="1690">
        <f t="shared" si="369"/>
        <v>0</v>
      </c>
      <c r="S149" s="3087"/>
      <c r="T149" s="3088"/>
      <c r="U149" s="3088"/>
      <c r="V149" s="3088"/>
      <c r="W149" s="3089"/>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092"/>
      <c r="D150" s="3092"/>
      <c r="E150" s="81"/>
      <c r="F150" s="147"/>
      <c r="G150" s="62"/>
      <c r="H150" s="1445" t="s">
        <v>3000</v>
      </c>
      <c r="I150" s="73"/>
      <c r="J150" s="914"/>
      <c r="K150" s="1693">
        <f t="shared" si="370"/>
        <v>0</v>
      </c>
      <c r="L150" s="1694">
        <f t="shared" si="370"/>
        <v>0</v>
      </c>
      <c r="M150" s="1694">
        <f t="shared" si="370"/>
        <v>0</v>
      </c>
      <c r="N150" s="1694">
        <f t="shared" si="370"/>
        <v>0</v>
      </c>
      <c r="O150" s="1695">
        <f t="shared" si="370"/>
        <v>0</v>
      </c>
      <c r="P150" s="1696">
        <f t="shared" si="369"/>
        <v>0</v>
      </c>
      <c r="S150" s="3087"/>
      <c r="T150" s="3088"/>
      <c r="U150" s="3088"/>
      <c r="V150" s="3088"/>
      <c r="W150" s="3089"/>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092"/>
      <c r="D151" s="3092"/>
      <c r="E151" s="81" t="s">
        <v>2997</v>
      </c>
      <c r="F151" s="147"/>
      <c r="G151" s="62"/>
      <c r="H151" s="1408"/>
      <c r="I151" s="33"/>
      <c r="J151" s="914"/>
      <c r="K151" s="1162">
        <f t="shared" ref="K151:O154" si="371">K128+K132</f>
        <v>0</v>
      </c>
      <c r="L151" s="1163">
        <f t="shared" si="371"/>
        <v>15</v>
      </c>
      <c r="M151" s="1163">
        <f t="shared" si="371"/>
        <v>39</v>
      </c>
      <c r="N151" s="1163">
        <f t="shared" si="371"/>
        <v>45</v>
      </c>
      <c r="O151" s="1164">
        <f t="shared" si="371"/>
        <v>21</v>
      </c>
      <c r="P151" s="1690">
        <f t="shared" si="369"/>
        <v>120</v>
      </c>
      <c r="S151" s="3087"/>
      <c r="T151" s="3088"/>
      <c r="U151" s="3088"/>
      <c r="V151" s="3088"/>
      <c r="W151" s="3089"/>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092"/>
      <c r="D152" s="3092"/>
      <c r="E152" s="81"/>
      <c r="F152" s="147"/>
      <c r="G152" s="62"/>
      <c r="H152" s="1445" t="s">
        <v>3000</v>
      </c>
      <c r="I152" s="73"/>
      <c r="J152" s="914"/>
      <c r="K152" s="1693">
        <f t="shared" si="371"/>
        <v>0</v>
      </c>
      <c r="L152" s="1694">
        <f t="shared" si="371"/>
        <v>0</v>
      </c>
      <c r="M152" s="1694">
        <f t="shared" si="371"/>
        <v>0</v>
      </c>
      <c r="N152" s="1694">
        <f t="shared" si="371"/>
        <v>0</v>
      </c>
      <c r="O152" s="1695">
        <f t="shared" si="371"/>
        <v>0</v>
      </c>
      <c r="P152" s="1696">
        <f t="shared" si="369"/>
        <v>0</v>
      </c>
      <c r="S152" s="3087"/>
      <c r="T152" s="3088"/>
      <c r="U152" s="3088"/>
      <c r="V152" s="3088"/>
      <c r="W152" s="3089"/>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092"/>
      <c r="D153" s="3092"/>
      <c r="E153" s="81" t="s">
        <v>2998</v>
      </c>
      <c r="F153" s="147"/>
      <c r="G153" s="62"/>
      <c r="H153" s="1408"/>
      <c r="I153" s="33"/>
      <c r="J153" s="914"/>
      <c r="K153" s="1162">
        <f t="shared" si="371"/>
        <v>0</v>
      </c>
      <c r="L153" s="1163">
        <f t="shared" si="371"/>
        <v>0</v>
      </c>
      <c r="M153" s="1163">
        <f t="shared" si="371"/>
        <v>0</v>
      </c>
      <c r="N153" s="1163">
        <f t="shared" si="371"/>
        <v>0</v>
      </c>
      <c r="O153" s="1164">
        <f t="shared" si="371"/>
        <v>0</v>
      </c>
      <c r="P153" s="1690">
        <f t="shared" si="369"/>
        <v>0</v>
      </c>
      <c r="S153" s="3087"/>
      <c r="T153" s="3088"/>
      <c r="U153" s="3088"/>
      <c r="V153" s="3088"/>
      <c r="W153" s="3089"/>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5" t="s">
        <v>3000</v>
      </c>
      <c r="I154" s="73"/>
      <c r="J154" s="62"/>
      <c r="K154" s="1697">
        <f t="shared" si="371"/>
        <v>0</v>
      </c>
      <c r="L154" s="1698">
        <f t="shared" si="371"/>
        <v>0</v>
      </c>
      <c r="M154" s="1698">
        <f t="shared" si="371"/>
        <v>0</v>
      </c>
      <c r="N154" s="1698">
        <f t="shared" si="371"/>
        <v>0</v>
      </c>
      <c r="O154" s="1699">
        <f t="shared" si="371"/>
        <v>0</v>
      </c>
      <c r="P154" s="1700">
        <f t="shared" si="369"/>
        <v>0</v>
      </c>
      <c r="Q154" s="3190" t="s">
        <v>3896</v>
      </c>
      <c r="S154" s="3093"/>
      <c r="T154" s="3094"/>
      <c r="U154" s="3094"/>
      <c r="V154" s="3094"/>
      <c r="W154" s="3095"/>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4"/>
      <c r="B155" s="1124"/>
      <c r="D155" s="473"/>
      <c r="E155" s="81"/>
      <c r="F155" s="1"/>
      <c r="G155" s="62"/>
      <c r="H155" s="29"/>
      <c r="I155" s="29"/>
      <c r="J155" s="62"/>
      <c r="K155" s="465"/>
      <c r="L155" s="465"/>
      <c r="M155" s="465"/>
      <c r="N155" s="465"/>
      <c r="O155" s="465"/>
      <c r="P155" s="465"/>
      <c r="Q155" s="3190"/>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6502</v>
      </c>
      <c r="C156" s="1"/>
      <c r="D156" s="1"/>
      <c r="E156" s="1"/>
      <c r="F156" s="1"/>
      <c r="G156" s="62"/>
      <c r="H156" s="33"/>
      <c r="I156" s="33"/>
      <c r="J156" s="62"/>
      <c r="K156" s="472"/>
      <c r="L156" s="472"/>
      <c r="M156" s="472"/>
      <c r="N156" s="472"/>
      <c r="O156" s="472"/>
      <c r="P156" s="472"/>
      <c r="Q156" s="3190"/>
      <c r="S156" s="2842" t="str">
        <f>B156</f>
        <v>UNIT SQUARE FOOTAGE</v>
      </c>
      <c r="T156" s="2842"/>
      <c r="U156" s="2842"/>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1983</v>
      </c>
      <c r="D157" s="1"/>
      <c r="E157" s="1"/>
      <c r="F157" s="1"/>
      <c r="G157" s="62"/>
      <c r="H157" s="68" t="s">
        <v>3680</v>
      </c>
      <c r="I157" s="44"/>
      <c r="J157" s="62"/>
      <c r="K157" s="1135">
        <f>EI49</f>
        <v>0</v>
      </c>
      <c r="L157" s="1136">
        <f>EJ49</f>
        <v>4225</v>
      </c>
      <c r="M157" s="1136">
        <f>EK49</f>
        <v>8092</v>
      </c>
      <c r="N157" s="1136">
        <f>EL49</f>
        <v>13640</v>
      </c>
      <c r="O157" s="1137">
        <f>EM49</f>
        <v>4713</v>
      </c>
      <c r="P157" s="1089">
        <f t="shared" ref="P157:P163" si="372">SUM(K157:O157)</f>
        <v>30670</v>
      </c>
      <c r="Q157" s="1293">
        <f t="shared" ref="Q157:Q163" si="373">IF(OR(P56=0,P56=""),"",P157/P56)</f>
        <v>1226.8</v>
      </c>
      <c r="S157" s="3113"/>
      <c r="T157" s="3114"/>
      <c r="U157" s="3114"/>
      <c r="V157" s="3114"/>
      <c r="W157" s="3115"/>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8" t="s">
        <v>3681</v>
      </c>
      <c r="I158" s="33"/>
      <c r="J158" s="62"/>
      <c r="K158" s="1165">
        <f>EN49</f>
        <v>0</v>
      </c>
      <c r="L158" s="1166">
        <f>EO49</f>
        <v>0</v>
      </c>
      <c r="M158" s="1166">
        <f>EP49</f>
        <v>0</v>
      </c>
      <c r="N158" s="1166">
        <f>EQ49</f>
        <v>0</v>
      </c>
      <c r="O158" s="1167">
        <f>ER49</f>
        <v>0</v>
      </c>
      <c r="P158" s="1090">
        <f t="shared" si="372"/>
        <v>0</v>
      </c>
      <c r="Q158" s="1293" t="str">
        <f t="shared" si="373"/>
        <v/>
      </c>
      <c r="S158" s="3087"/>
      <c r="T158" s="3088"/>
      <c r="U158" s="3088"/>
      <c r="V158" s="3088"/>
      <c r="W158" s="3089"/>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8" t="s">
        <v>1082</v>
      </c>
      <c r="I159" s="33"/>
      <c r="J159" s="62"/>
      <c r="K159" s="1165">
        <f>ES49</f>
        <v>0</v>
      </c>
      <c r="L159" s="1166">
        <f>ET49</f>
        <v>5070</v>
      </c>
      <c r="M159" s="1166">
        <f>EU49</f>
        <v>19652</v>
      </c>
      <c r="N159" s="1166">
        <f>EV49</f>
        <v>31372</v>
      </c>
      <c r="O159" s="1167">
        <f>EW49</f>
        <v>18852</v>
      </c>
      <c r="P159" s="1090">
        <f t="shared" si="372"/>
        <v>74946</v>
      </c>
      <c r="Q159" s="1293">
        <f t="shared" si="373"/>
        <v>1292.1724137931035</v>
      </c>
      <c r="S159" s="3087"/>
      <c r="T159" s="3088"/>
      <c r="U159" s="3088"/>
      <c r="V159" s="3088"/>
      <c r="W159" s="3089"/>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8" t="s">
        <v>112</v>
      </c>
      <c r="I160" s="33"/>
      <c r="J160" s="914"/>
      <c r="K160" s="1225">
        <f>EX49</f>
        <v>0</v>
      </c>
      <c r="L160" s="1226">
        <f>EY49</f>
        <v>0</v>
      </c>
      <c r="M160" s="1226">
        <f>EZ49</f>
        <v>0</v>
      </c>
      <c r="N160" s="1226">
        <f>FA49</f>
        <v>0</v>
      </c>
      <c r="O160" s="1227">
        <f>FB49</f>
        <v>0</v>
      </c>
      <c r="P160" s="1228">
        <f t="shared" si="372"/>
        <v>0</v>
      </c>
      <c r="Q160" s="1293" t="str">
        <f t="shared" si="373"/>
        <v/>
      </c>
      <c r="S160" s="3087"/>
      <c r="T160" s="3088"/>
      <c r="U160" s="3088"/>
      <c r="V160" s="3088"/>
      <c r="W160" s="3089"/>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8" t="s">
        <v>3682</v>
      </c>
      <c r="I161" s="33"/>
      <c r="J161" s="914"/>
      <c r="K161" s="1165">
        <f>FC49</f>
        <v>0</v>
      </c>
      <c r="L161" s="1166">
        <f>FD49</f>
        <v>0</v>
      </c>
      <c r="M161" s="1166">
        <f>FE49</f>
        <v>0</v>
      </c>
      <c r="N161" s="1166">
        <f>FF49</f>
        <v>0</v>
      </c>
      <c r="O161" s="1167">
        <f>FG49</f>
        <v>0</v>
      </c>
      <c r="P161" s="1090">
        <f t="shared" si="372"/>
        <v>0</v>
      </c>
      <c r="Q161" s="1293" t="str">
        <f t="shared" si="373"/>
        <v/>
      </c>
      <c r="S161" s="3087"/>
      <c r="T161" s="3088"/>
      <c r="U161" s="3088"/>
      <c r="V161" s="3088"/>
      <c r="W161" s="3089"/>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8" t="s">
        <v>3683</v>
      </c>
      <c r="I162" s="33"/>
      <c r="J162" s="62"/>
      <c r="K162" s="1165">
        <f>FH49</f>
        <v>0</v>
      </c>
      <c r="L162" s="1166">
        <f>FI49</f>
        <v>3380</v>
      </c>
      <c r="M162" s="1166">
        <f>FJ49</f>
        <v>17340</v>
      </c>
      <c r="N162" s="1166">
        <f>FK49</f>
        <v>16368</v>
      </c>
      <c r="O162" s="1167">
        <f>FL49</f>
        <v>9426</v>
      </c>
      <c r="P162" s="1090">
        <f t="shared" si="372"/>
        <v>46514</v>
      </c>
      <c r="Q162" s="1293">
        <f t="shared" si="373"/>
        <v>1257.1351351351352</v>
      </c>
      <c r="S162" s="3087"/>
      <c r="T162" s="3088"/>
      <c r="U162" s="3088"/>
      <c r="V162" s="3088"/>
      <c r="W162" s="3089"/>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3684</v>
      </c>
      <c r="I163" s="44"/>
      <c r="J163" s="62"/>
      <c r="K163" s="1141">
        <f>FM49</f>
        <v>0</v>
      </c>
      <c r="L163" s="1142">
        <f>FN49</f>
        <v>0</v>
      </c>
      <c r="M163" s="1142">
        <f>FO49</f>
        <v>0</v>
      </c>
      <c r="N163" s="1142">
        <f>FP49</f>
        <v>0</v>
      </c>
      <c r="O163" s="1143">
        <f>FQ49</f>
        <v>0</v>
      </c>
      <c r="P163" s="1091">
        <f t="shared" si="372"/>
        <v>0</v>
      </c>
      <c r="Q163" s="1293" t="str">
        <f t="shared" si="373"/>
        <v/>
      </c>
      <c r="S163" s="3087"/>
      <c r="T163" s="3088"/>
      <c r="U163" s="3088"/>
      <c r="V163" s="3088"/>
      <c r="W163" s="3089"/>
      <c r="X163" s="1749"/>
      <c r="AA163" s="359"/>
      <c r="AB163" s="362"/>
      <c r="AC163" s="1749"/>
      <c r="AF163" s="359"/>
      <c r="AG163" s="362"/>
      <c r="AH163" s="1749"/>
      <c r="AK163" s="359"/>
      <c r="AL163" s="362"/>
      <c r="AM163" s="1749"/>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5" t="s">
        <v>3765</v>
      </c>
      <c r="I164" s="73"/>
      <c r="J164" s="1100"/>
      <c r="K164" s="1692">
        <f>SUM(K157:K163)</f>
        <v>0</v>
      </c>
      <c r="L164" s="1692">
        <f>SUM(L157:L163)</f>
        <v>12675</v>
      </c>
      <c r="M164" s="1692">
        <f>SUM(M157:M163)</f>
        <v>45084</v>
      </c>
      <c r="N164" s="1692">
        <f>SUM(N157:N163)</f>
        <v>61380</v>
      </c>
      <c r="O164" s="1692">
        <f>SUM(O157:O163)</f>
        <v>32991</v>
      </c>
      <c r="P164" s="1692">
        <f>SUM(K164:O164)</f>
        <v>152130</v>
      </c>
      <c r="S164" s="3087"/>
      <c r="T164" s="3088"/>
      <c r="U164" s="3088"/>
      <c r="V164" s="3088"/>
      <c r="W164" s="3089"/>
      <c r="X164" s="1749"/>
      <c r="AA164" s="359"/>
      <c r="AB164" s="362"/>
      <c r="AC164" s="1749"/>
      <c r="AF164" s="359"/>
      <c r="AG164" s="362"/>
      <c r="AH164" s="1749"/>
      <c r="AK164" s="359"/>
      <c r="AL164" s="362"/>
      <c r="AM164" s="1749"/>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8">
        <f>FR49</f>
        <v>0</v>
      </c>
      <c r="L165" s="1169">
        <f>FS49</f>
        <v>0</v>
      </c>
      <c r="M165" s="1169">
        <f>FT49</f>
        <v>0</v>
      </c>
      <c r="N165" s="1169">
        <f>FU49</f>
        <v>0</v>
      </c>
      <c r="O165" s="1170">
        <f>FV49</f>
        <v>0</v>
      </c>
      <c r="P165" s="1097">
        <f>SUM(K165:O165)</f>
        <v>0</v>
      </c>
      <c r="Q165" s="1236" t="str">
        <f>IF(OR(P64=0,P64=""),"",P165/P64)</f>
        <v/>
      </c>
      <c r="S165" s="3087"/>
      <c r="T165" s="3088"/>
      <c r="U165" s="3088"/>
      <c r="V165" s="3088"/>
      <c r="W165" s="3089"/>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1071</v>
      </c>
      <c r="D166" s="1099"/>
      <c r="E166" s="1099"/>
      <c r="F166" s="1099"/>
      <c r="G166" s="1099"/>
      <c r="H166" s="1100"/>
      <c r="I166" s="1100"/>
      <c r="J166" s="1100"/>
      <c r="K166" s="1691">
        <f>SUM(K164:K165)</f>
        <v>0</v>
      </c>
      <c r="L166" s="1691">
        <f>SUM(L164:L165)</f>
        <v>12675</v>
      </c>
      <c r="M166" s="1691">
        <f>SUM(M164:M165)</f>
        <v>45084</v>
      </c>
      <c r="N166" s="1691">
        <f>SUM(N164:N165)</f>
        <v>61380</v>
      </c>
      <c r="O166" s="1691">
        <f>SUM(O164:O165)</f>
        <v>32991</v>
      </c>
      <c r="P166" s="1691">
        <f>SUM(K166:O166)</f>
        <v>152130</v>
      </c>
      <c r="S166" s="3087"/>
      <c r="T166" s="3088"/>
      <c r="U166" s="3088"/>
      <c r="V166" s="3088"/>
      <c r="W166" s="3089"/>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2310</v>
      </c>
      <c r="D167" s="1"/>
      <c r="E167" s="1"/>
      <c r="F167" s="1"/>
      <c r="G167" s="1"/>
      <c r="H167" s="62"/>
      <c r="I167" s="62"/>
      <c r="J167" s="62"/>
      <c r="K167" s="1168">
        <f>GB49</f>
        <v>0</v>
      </c>
      <c r="L167" s="1169">
        <f>GC49</f>
        <v>0</v>
      </c>
      <c r="M167" s="1169">
        <f>GD49</f>
        <v>0</v>
      </c>
      <c r="N167" s="1169">
        <f>GE49</f>
        <v>0</v>
      </c>
      <c r="O167" s="1170">
        <f>GF49</f>
        <v>0</v>
      </c>
      <c r="P167" s="1097">
        <f>SUM(K167:O167)</f>
        <v>0</v>
      </c>
      <c r="Q167" s="1236" t="str">
        <f>IF(OR(P66=0,P66=""),"",P167/P66)</f>
        <v/>
      </c>
      <c r="S167" s="3087"/>
      <c r="T167" s="3088"/>
      <c r="U167" s="3088"/>
      <c r="V167" s="3088"/>
      <c r="W167" s="3089"/>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6">
        <f>SUM(K166:K167)</f>
        <v>0</v>
      </c>
      <c r="L168" s="1096">
        <f>SUM(L166:L167)</f>
        <v>12675</v>
      </c>
      <c r="M168" s="1096">
        <f>SUM(M166:M167)</f>
        <v>45084</v>
      </c>
      <c r="N168" s="1096">
        <f>SUM(N166:N167)</f>
        <v>61380</v>
      </c>
      <c r="O168" s="1096">
        <f>SUM(O166:O167)</f>
        <v>32991</v>
      </c>
      <c r="P168" s="1096">
        <f>SUM(K168:O168)</f>
        <v>152130</v>
      </c>
      <c r="S168" s="3093"/>
      <c r="T168" s="3094"/>
      <c r="U168" s="3094"/>
      <c r="V168" s="3094"/>
      <c r="W168" s="3095"/>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901"/>
      <c r="JX170" s="359"/>
      <c r="JY170" s="359"/>
      <c r="JZ170" s="359"/>
      <c r="KA170" s="359"/>
      <c r="KB170" s="1901"/>
      <c r="KC170" s="359"/>
      <c r="KD170" s="359"/>
      <c r="KE170" s="359"/>
      <c r="KF170" s="359"/>
      <c r="KG170" s="1901"/>
      <c r="KH170" s="359"/>
      <c r="KI170" s="359"/>
      <c r="KJ170" s="359"/>
      <c r="KK170" s="359"/>
      <c r="KL170" s="1901"/>
      <c r="KM170" s="1901"/>
      <c r="KN170" s="1901"/>
      <c r="KO170" s="1901"/>
      <c r="KP170" s="1901"/>
      <c r="KQ170" s="1901"/>
      <c r="KR170" s="1901"/>
      <c r="KS170" s="1901"/>
      <c r="KT170" s="1901"/>
      <c r="KU170" s="1901"/>
      <c r="KV170" s="1901"/>
      <c r="KW170" s="1901"/>
      <c r="KX170" s="1901"/>
      <c r="KY170" s="1901"/>
      <c r="KZ170" s="1901"/>
      <c r="LA170" s="1901"/>
      <c r="LB170" s="1901"/>
      <c r="LC170" s="1901"/>
      <c r="LD170" s="1901"/>
      <c r="LE170" s="1901"/>
      <c r="LF170" s="1901"/>
      <c r="LG170" s="1901"/>
      <c r="LH170" s="359"/>
      <c r="LI170" s="359"/>
      <c r="LJ170" s="359"/>
      <c r="LK170" s="359"/>
      <c r="LL170" s="359"/>
      <c r="LM170" s="359"/>
      <c r="LN170" s="1749"/>
      <c r="LO170" s="359"/>
      <c r="LP170" s="359"/>
      <c r="LQ170" s="359"/>
      <c r="LR170" s="359"/>
      <c r="LS170" s="359"/>
      <c r="LT170" s="359"/>
      <c r="LU170" s="359"/>
      <c r="LV170" s="359"/>
      <c r="LW170" s="359"/>
      <c r="LX170" s="359"/>
      <c r="LY170" s="359"/>
      <c r="LZ170" s="359"/>
      <c r="MA170" s="359"/>
      <c r="MB170" s="359"/>
      <c r="MC170" s="359"/>
      <c r="MD170" s="1749"/>
      <c r="ME170" s="1749"/>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21"/>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3893</v>
      </c>
      <c r="D171" s="1"/>
      <c r="E171" s="1"/>
      <c r="F171" s="1"/>
      <c r="G171" s="1"/>
      <c r="H171" s="1"/>
      <c r="I171" s="1"/>
      <c r="J171" s="1"/>
      <c r="K171" s="1292" t="str">
        <f>IF(OR(K67="",K67=0),"",K168/K67)</f>
        <v/>
      </c>
      <c r="L171" s="1292">
        <f>IF(OR(L67="",L67=0),"",L168/L67)</f>
        <v>845</v>
      </c>
      <c r="M171" s="1292">
        <f>IF(OR(M67="",M67=0),"",M168/M67)</f>
        <v>1156</v>
      </c>
      <c r="N171" s="1292">
        <f>IF(OR(N67="",N67=0),"",N168/N67)</f>
        <v>1364</v>
      </c>
      <c r="O171" s="1292">
        <f>IF(OR(O67="",O67=0),"",O168/O67)</f>
        <v>1571</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901"/>
      <c r="JX171" s="359"/>
      <c r="JY171" s="359"/>
      <c r="JZ171" s="359"/>
      <c r="KA171" s="359"/>
      <c r="KB171" s="1901"/>
      <c r="KC171" s="359"/>
      <c r="KD171" s="359"/>
      <c r="KE171" s="359"/>
      <c r="KF171" s="359"/>
      <c r="KG171" s="1901"/>
      <c r="KH171" s="359"/>
      <c r="KI171" s="359"/>
      <c r="KJ171" s="359"/>
      <c r="KK171" s="359"/>
      <c r="KL171" s="1901"/>
      <c r="KM171" s="1901"/>
      <c r="KN171" s="1901"/>
      <c r="KO171" s="1901"/>
      <c r="KP171" s="1901"/>
      <c r="KQ171" s="1901"/>
      <c r="KR171" s="1901"/>
      <c r="KS171" s="1901"/>
      <c r="KT171" s="1901"/>
      <c r="KU171" s="1901"/>
      <c r="KV171" s="1901"/>
      <c r="KW171" s="1901"/>
      <c r="KX171" s="1901"/>
      <c r="KY171" s="1901"/>
      <c r="KZ171" s="1901"/>
      <c r="LA171" s="1901"/>
      <c r="LB171" s="1901"/>
      <c r="LC171" s="1901"/>
      <c r="LD171" s="1901"/>
      <c r="LE171" s="1901"/>
      <c r="LF171" s="1901"/>
      <c r="LG171" s="1901"/>
      <c r="LH171" s="359"/>
      <c r="LI171" s="359"/>
      <c r="LJ171" s="359"/>
      <c r="LK171" s="359"/>
      <c r="LL171" s="359"/>
      <c r="LM171" s="359"/>
      <c r="LN171" s="1749"/>
      <c r="LO171" s="359"/>
      <c r="LP171" s="359"/>
      <c r="LQ171" s="359"/>
      <c r="LR171" s="359"/>
      <c r="LS171" s="359"/>
      <c r="LT171" s="359"/>
      <c r="LU171" s="359"/>
      <c r="LV171" s="359"/>
      <c r="LW171" s="359"/>
      <c r="LX171" s="359"/>
      <c r="LY171" s="359"/>
      <c r="LZ171" s="359"/>
      <c r="MA171" s="359"/>
      <c r="MB171" s="359"/>
      <c r="MC171" s="359"/>
      <c r="MD171" s="1749"/>
      <c r="ME171" s="1749"/>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21"/>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901"/>
      <c r="JX172" s="359"/>
      <c r="JY172" s="359"/>
      <c r="JZ172" s="359"/>
      <c r="KA172" s="359"/>
      <c r="KB172" s="1901"/>
      <c r="KC172" s="359"/>
      <c r="KD172" s="359"/>
      <c r="KE172" s="359"/>
      <c r="KF172" s="359"/>
      <c r="KG172" s="1901"/>
      <c r="KH172" s="359"/>
      <c r="KI172" s="359"/>
      <c r="KJ172" s="359"/>
      <c r="KK172" s="359"/>
      <c r="KL172" s="1901"/>
      <c r="KM172" s="1901"/>
      <c r="KN172" s="1901"/>
      <c r="KO172" s="1901"/>
      <c r="KP172" s="1901"/>
      <c r="KQ172" s="1901"/>
      <c r="KR172" s="1901"/>
      <c r="KS172" s="1901"/>
      <c r="KT172" s="1901"/>
      <c r="KU172" s="1901"/>
      <c r="KV172" s="1901"/>
      <c r="KW172" s="1901"/>
      <c r="KX172" s="1901"/>
      <c r="KY172" s="1901"/>
      <c r="KZ172" s="1901"/>
      <c r="LA172" s="1901"/>
      <c r="LB172" s="1901"/>
      <c r="LC172" s="1901"/>
      <c r="LD172" s="1901"/>
      <c r="LE172" s="1901"/>
      <c r="LF172" s="1901"/>
      <c r="LG172" s="1901"/>
      <c r="LH172" s="359"/>
      <c r="LI172" s="359"/>
      <c r="LJ172" s="359"/>
      <c r="LK172" s="359"/>
      <c r="LL172" s="359"/>
      <c r="LM172" s="359"/>
      <c r="LN172" s="1749"/>
      <c r="LO172" s="359"/>
      <c r="LP172" s="359"/>
      <c r="LQ172" s="359"/>
      <c r="LR172" s="359"/>
      <c r="LS172" s="359"/>
      <c r="LT172" s="359"/>
      <c r="LU172" s="359"/>
      <c r="LV172" s="359"/>
      <c r="LW172" s="359"/>
      <c r="LX172" s="359"/>
      <c r="LY172" s="359"/>
      <c r="LZ172" s="359"/>
      <c r="MA172" s="359"/>
      <c r="MB172" s="359"/>
      <c r="MC172" s="359"/>
      <c r="MD172" s="1749"/>
      <c r="ME172" s="1749"/>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21"/>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6658</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901"/>
      <c r="JX173" s="359"/>
      <c r="JY173" s="359"/>
      <c r="JZ173" s="359"/>
      <c r="KA173" s="359"/>
      <c r="KB173" s="1901"/>
      <c r="KC173" s="359"/>
      <c r="KD173" s="359"/>
      <c r="KE173" s="359"/>
      <c r="KF173" s="359"/>
      <c r="KG173" s="1901"/>
      <c r="KH173" s="359"/>
      <c r="KI173" s="359"/>
      <c r="KJ173" s="359"/>
      <c r="KK173" s="359"/>
      <c r="KL173" s="1901"/>
      <c r="KM173" s="1901"/>
      <c r="KN173" s="1901"/>
      <c r="KO173" s="1901"/>
      <c r="KP173" s="1901"/>
      <c r="KQ173" s="1901"/>
      <c r="KR173" s="1901"/>
      <c r="KS173" s="1901"/>
      <c r="KT173" s="1901"/>
      <c r="KU173" s="1901"/>
      <c r="KV173" s="1901"/>
      <c r="KW173" s="1901"/>
      <c r="KX173" s="1901"/>
      <c r="KY173" s="1901"/>
      <c r="KZ173" s="1901"/>
      <c r="LA173" s="1901"/>
      <c r="LB173" s="1901"/>
      <c r="LC173" s="1901"/>
      <c r="LD173" s="1901"/>
      <c r="LE173" s="1901"/>
      <c r="LF173" s="1901"/>
      <c r="LG173" s="1901"/>
      <c r="LH173" s="359"/>
      <c r="LI173" s="359"/>
      <c r="LJ173" s="359"/>
      <c r="LK173" s="359"/>
      <c r="LL173" s="359"/>
      <c r="LM173" s="359"/>
      <c r="LN173" s="1749"/>
      <c r="LO173" s="359"/>
      <c r="LP173" s="359"/>
      <c r="LQ173" s="359"/>
      <c r="LR173" s="359"/>
      <c r="LS173" s="359"/>
      <c r="LT173" s="359"/>
      <c r="LU173" s="359"/>
      <c r="LV173" s="359"/>
      <c r="LW173" s="359"/>
      <c r="LX173" s="359"/>
      <c r="LY173" s="359"/>
      <c r="LZ173" s="359"/>
      <c r="MA173" s="359"/>
      <c r="MB173" s="359"/>
      <c r="MC173" s="359"/>
      <c r="MD173" s="1749"/>
      <c r="ME173" s="1749"/>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21"/>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6654</v>
      </c>
      <c r="K174" s="3105">
        <v>3500</v>
      </c>
      <c r="L174" s="3106"/>
      <c r="X174" s="1821"/>
      <c r="Y174" s="1821"/>
      <c r="Z174" s="1624">
        <v>68</v>
      </c>
      <c r="AA174" s="1821"/>
      <c r="AB174" s="1821"/>
      <c r="AC174" s="1821"/>
      <c r="AD174" s="1821"/>
      <c r="AE174" s="1821"/>
      <c r="AF174" s="1821"/>
      <c r="AG174" s="1821"/>
      <c r="AH174" s="1821"/>
      <c r="AI174" s="1821"/>
      <c r="AJ174" s="1821"/>
      <c r="AK174" s="1821"/>
      <c r="AL174" s="1821"/>
      <c r="AM174" s="1821"/>
      <c r="AN174" s="1821"/>
      <c r="AO174" s="1821"/>
      <c r="AP174" s="1821"/>
      <c r="AQ174" s="1821"/>
      <c r="AR174" s="1821"/>
      <c r="AS174" s="1821"/>
      <c r="AT174" s="1821"/>
      <c r="AU174" s="1821"/>
      <c r="AV174" s="1821"/>
      <c r="AW174" s="1821"/>
      <c r="AX174" s="1821"/>
      <c r="AY174" s="1821"/>
      <c r="AZ174" s="1821"/>
      <c r="BA174" s="1821"/>
      <c r="BB174" s="1821"/>
      <c r="BC174" s="1821"/>
      <c r="BD174" s="1821"/>
      <c r="BE174" s="1821"/>
      <c r="BF174" s="1821"/>
      <c r="BG174" s="1821"/>
      <c r="BH174" s="1821"/>
      <c r="BI174" s="1821"/>
      <c r="BJ174" s="1821"/>
      <c r="BK174" s="1821"/>
      <c r="BL174" s="1821"/>
      <c r="BM174" s="1821"/>
      <c r="BN174" s="1821"/>
      <c r="BO174" s="1821"/>
      <c r="BP174" s="1821"/>
      <c r="BQ174" s="1821"/>
      <c r="BR174" s="1821"/>
      <c r="BS174" s="1821"/>
      <c r="BT174" s="1821"/>
      <c r="BU174" s="1821"/>
      <c r="BV174" s="1821"/>
      <c r="BW174" s="1821"/>
      <c r="BX174" s="1821"/>
      <c r="BY174" s="1821"/>
      <c r="BZ174" s="1821"/>
      <c r="CA174" s="1821"/>
      <c r="CB174" s="1821"/>
      <c r="CC174" s="1821"/>
      <c r="CD174" s="1821"/>
      <c r="CE174" s="1821"/>
      <c r="CF174" s="1821"/>
      <c r="CG174" s="1821"/>
      <c r="CH174" s="1821"/>
      <c r="CI174" s="1821"/>
      <c r="CJ174" s="1821"/>
      <c r="CK174" s="1821"/>
      <c r="CL174" s="1821"/>
      <c r="CM174" s="1821"/>
      <c r="CN174" s="1821"/>
      <c r="CO174" s="1821"/>
      <c r="CP174" s="1821"/>
      <c r="CQ174" s="1821"/>
      <c r="CR174" s="1821"/>
      <c r="CS174" s="1821"/>
      <c r="CT174" s="1821"/>
      <c r="CU174" s="1821"/>
      <c r="CV174" s="1821"/>
      <c r="CW174" s="1821"/>
      <c r="CX174" s="1821"/>
      <c r="CY174" s="1821"/>
      <c r="CZ174" s="1821"/>
      <c r="DA174" s="1821"/>
      <c r="DB174" s="1821"/>
      <c r="DC174" s="1821"/>
      <c r="DD174" s="1821"/>
      <c r="DE174" s="1821"/>
      <c r="DF174" s="1821"/>
      <c r="DG174" s="1821"/>
      <c r="DH174" s="1821"/>
      <c r="DI174" s="1821"/>
      <c r="DJ174" s="1821"/>
      <c r="DK174" s="1821"/>
      <c r="DL174" s="1821"/>
      <c r="DM174" s="1821"/>
      <c r="DN174" s="1821"/>
      <c r="DO174" s="1821"/>
      <c r="DP174" s="1821"/>
      <c r="DQ174" s="1821"/>
      <c r="DR174" s="1821"/>
      <c r="DS174" s="1821"/>
      <c r="DT174" s="1821"/>
      <c r="DU174" s="1821"/>
      <c r="DV174" s="1821"/>
      <c r="DW174" s="1821"/>
      <c r="DX174" s="1821"/>
      <c r="DY174" s="1821"/>
      <c r="DZ174" s="1821"/>
      <c r="EA174" s="1821"/>
      <c r="EB174" s="1821"/>
      <c r="EC174" s="1821"/>
      <c r="ED174" s="1821"/>
      <c r="EE174" s="1821"/>
      <c r="EF174" s="1821"/>
      <c r="EG174" s="1821"/>
      <c r="EH174" s="1821"/>
      <c r="EI174" s="1821"/>
      <c r="EJ174" s="1821"/>
      <c r="EK174" s="1821"/>
      <c r="EL174" s="1821"/>
      <c r="EM174" s="1821"/>
      <c r="EN174" s="1821"/>
      <c r="EO174" s="1821"/>
      <c r="EP174" s="1821"/>
      <c r="EQ174" s="1821"/>
      <c r="ER174" s="1821"/>
      <c r="ES174" s="1821"/>
      <c r="ET174" s="1821"/>
      <c r="EU174" s="1821"/>
      <c r="EV174" s="1821"/>
      <c r="EW174" s="1821"/>
      <c r="EX174" s="1821"/>
      <c r="EY174" s="1821"/>
      <c r="EZ174" s="1821"/>
      <c r="FA174" s="1821"/>
      <c r="FB174" s="1821"/>
      <c r="FC174" s="1821"/>
      <c r="FD174" s="1821"/>
      <c r="FE174" s="1821"/>
      <c r="FF174" s="1821"/>
      <c r="FG174" s="1821"/>
      <c r="FH174" s="1821"/>
      <c r="FI174" s="1821"/>
      <c r="FJ174" s="1821"/>
      <c r="FK174" s="1821"/>
      <c r="FL174" s="1821"/>
      <c r="FM174" s="1821"/>
      <c r="FN174" s="1821"/>
      <c r="FO174" s="1821"/>
      <c r="FP174" s="1821"/>
      <c r="FQ174" s="1821"/>
      <c r="FR174" s="1821"/>
      <c r="FS174" s="1821"/>
      <c r="FT174" s="1821"/>
      <c r="FU174" s="1821"/>
      <c r="FV174" s="1821"/>
      <c r="FW174" s="1821"/>
      <c r="FX174" s="1821"/>
      <c r="FY174" s="1821"/>
      <c r="FZ174" s="1821"/>
      <c r="GA174" s="1821"/>
      <c r="GB174" s="1821"/>
      <c r="GC174" s="1821"/>
      <c r="GD174" s="1821"/>
      <c r="GE174" s="1821"/>
      <c r="GF174" s="1821"/>
      <c r="GG174" s="1821"/>
      <c r="GH174" s="1821"/>
      <c r="GI174" s="1821"/>
      <c r="GJ174" s="1821"/>
      <c r="GK174" s="1821"/>
      <c r="GL174" s="1821"/>
      <c r="GM174" s="1821"/>
      <c r="GN174" s="1821"/>
      <c r="GO174" s="1821"/>
      <c r="GP174" s="1821"/>
      <c r="GQ174" s="1821"/>
      <c r="GR174" s="1821"/>
      <c r="GS174" s="1821"/>
      <c r="GT174" s="1821"/>
      <c r="GU174" s="1821"/>
      <c r="GV174" s="1821"/>
      <c r="GW174" s="1821"/>
      <c r="GX174" s="1821"/>
      <c r="GY174" s="1821"/>
      <c r="GZ174" s="1821"/>
      <c r="HA174" s="1821"/>
      <c r="HB174" s="1821"/>
      <c r="HC174" s="1821"/>
      <c r="HD174" s="1821"/>
      <c r="HE174" s="1821"/>
      <c r="HF174" s="1821"/>
      <c r="HG174" s="1821"/>
      <c r="HH174" s="1821"/>
      <c r="HI174" s="1821"/>
      <c r="HJ174" s="1821"/>
      <c r="HK174" s="1821"/>
      <c r="HL174" s="1821"/>
      <c r="HM174" s="1821"/>
      <c r="HN174" s="1821"/>
      <c r="HO174" s="1821"/>
      <c r="HP174" s="1821"/>
      <c r="HQ174" s="1821"/>
      <c r="HR174" s="1821"/>
      <c r="HS174" s="1821"/>
      <c r="HT174" s="1821"/>
      <c r="HU174" s="1821"/>
      <c r="HV174" s="1821"/>
      <c r="HW174" s="1821"/>
      <c r="HX174" s="1821"/>
      <c r="HY174" s="1821"/>
      <c r="HZ174" s="1821"/>
      <c r="IA174" s="1821"/>
      <c r="IB174" s="1821"/>
      <c r="IC174" s="1821"/>
      <c r="ID174" s="1821"/>
      <c r="IE174" s="1821"/>
      <c r="IF174" s="1821"/>
      <c r="IG174" s="1821"/>
      <c r="IH174" s="1821"/>
      <c r="II174" s="1821"/>
      <c r="IJ174" s="1821"/>
      <c r="IK174" s="1821"/>
      <c r="IL174" s="1821"/>
      <c r="IM174" s="1821"/>
      <c r="IN174" s="1821"/>
      <c r="IO174" s="1821"/>
      <c r="IP174" s="1821"/>
      <c r="IQ174" s="1821"/>
      <c r="IR174" s="1821"/>
      <c r="IS174" s="1821"/>
      <c r="IT174" s="1821"/>
      <c r="IU174" s="1821"/>
      <c r="IV174" s="1821"/>
      <c r="IW174" s="1821"/>
      <c r="IX174" s="1821"/>
      <c r="IY174" s="1821"/>
      <c r="IZ174" s="1821"/>
      <c r="JA174" s="1821"/>
      <c r="JB174" s="1821"/>
      <c r="JC174" s="1821"/>
      <c r="JD174" s="1821"/>
      <c r="JE174" s="1821"/>
      <c r="JF174" s="1821"/>
      <c r="JG174" s="1821"/>
      <c r="JH174" s="1821"/>
      <c r="JI174" s="1821"/>
      <c r="JJ174" s="1821"/>
      <c r="JK174" s="1821"/>
      <c r="JL174" s="1821"/>
      <c r="JM174" s="1821"/>
      <c r="JN174" s="1821"/>
      <c r="JO174" s="1821"/>
      <c r="JP174" s="1821"/>
      <c r="JQ174" s="1821"/>
      <c r="JR174" s="1821"/>
      <c r="JS174" s="1821"/>
      <c r="JT174" s="1821"/>
      <c r="JU174" s="1821"/>
      <c r="JV174" s="1821"/>
      <c r="JW174" s="1821"/>
      <c r="JX174" s="1821"/>
      <c r="JY174" s="1821"/>
      <c r="JZ174" s="1821"/>
      <c r="KA174" s="1821"/>
      <c r="KB174" s="1821"/>
      <c r="KC174" s="1821"/>
      <c r="KD174" s="1821"/>
      <c r="KE174" s="1821"/>
      <c r="KF174" s="1821"/>
      <c r="KG174" s="1821"/>
      <c r="KH174" s="1821"/>
      <c r="KI174" s="1821"/>
      <c r="KJ174" s="1821"/>
      <c r="KK174" s="1821"/>
      <c r="KL174" s="1821"/>
      <c r="KM174" s="1821"/>
      <c r="KN174" s="1821"/>
      <c r="KO174" s="1821"/>
      <c r="KP174" s="1821"/>
      <c r="KQ174" s="1821"/>
      <c r="KR174" s="1821"/>
      <c r="KS174" s="1821"/>
      <c r="KT174" s="1821"/>
      <c r="KU174" s="1821"/>
      <c r="KV174" s="1821"/>
      <c r="KW174" s="1821"/>
      <c r="KX174" s="1821"/>
      <c r="KY174" s="1821"/>
      <c r="KZ174" s="1821"/>
      <c r="LA174" s="1821"/>
      <c r="LB174" s="1821"/>
      <c r="LC174" s="1821"/>
      <c r="LD174" s="1821"/>
      <c r="LE174" s="1821"/>
      <c r="LF174" s="1821"/>
      <c r="LG174" s="1821"/>
      <c r="LH174" s="1821"/>
      <c r="LI174" s="1821"/>
      <c r="LJ174" s="1821"/>
      <c r="LK174" s="1821"/>
      <c r="LL174" s="1821"/>
      <c r="LM174" s="1821"/>
      <c r="LN174" s="1821"/>
      <c r="LO174" s="1821"/>
      <c r="LP174" s="1821"/>
      <c r="LQ174" s="1821"/>
      <c r="LR174" s="1821"/>
      <c r="LS174" s="1821"/>
      <c r="LT174" s="1821"/>
      <c r="LU174" s="1821"/>
      <c r="LV174" s="1821"/>
      <c r="LW174" s="1821"/>
      <c r="LX174" s="1821"/>
      <c r="LY174" s="1821"/>
      <c r="LZ174" s="1821"/>
      <c r="MA174" s="1821"/>
      <c r="MB174" s="1821"/>
      <c r="MC174" s="1821"/>
      <c r="MD174" s="1821"/>
      <c r="ME174" s="1821"/>
      <c r="MF174" s="1821"/>
      <c r="MG174" s="1821"/>
      <c r="MH174" s="1821"/>
      <c r="MI174" s="1821"/>
      <c r="MJ174" s="1821"/>
      <c r="MK174" s="1821"/>
      <c r="ML174" s="1821"/>
      <c r="MM174" s="1821"/>
      <c r="MN174" s="1821"/>
      <c r="MO174" s="1821"/>
      <c r="MP174" s="1821"/>
      <c r="MQ174" s="1821"/>
      <c r="MR174" s="1821"/>
      <c r="MS174" s="1821"/>
      <c r="MT174" s="1821"/>
      <c r="NO174" s="1821"/>
      <c r="NP174" s="1821"/>
      <c r="NQ174" s="1821"/>
    </row>
    <row r="175" spans="1:493" s="144" customFormat="1" ht="13.35" customHeight="1">
      <c r="A175" s="375"/>
      <c r="C175" s="253" t="s">
        <v>242</v>
      </c>
      <c r="K175" s="3103">
        <f>P168+K174</f>
        <v>155630</v>
      </c>
      <c r="L175" s="3104"/>
      <c r="X175" s="1821"/>
      <c r="Y175" s="1821"/>
      <c r="Z175" s="1624">
        <v>69</v>
      </c>
      <c r="AA175" s="1821"/>
      <c r="AB175" s="1821"/>
      <c r="AC175" s="1821"/>
      <c r="AD175" s="1821"/>
      <c r="AE175" s="1821"/>
      <c r="AF175" s="1821"/>
      <c r="AG175" s="1821"/>
      <c r="AH175" s="1821"/>
      <c r="AI175" s="1821"/>
      <c r="AJ175" s="1821"/>
      <c r="AK175" s="1821"/>
      <c r="AL175" s="1821"/>
      <c r="AM175" s="1821"/>
      <c r="AN175" s="1821"/>
      <c r="AO175" s="1821"/>
      <c r="AP175" s="1821"/>
      <c r="AQ175" s="1821"/>
      <c r="AR175" s="1821"/>
      <c r="AS175" s="1821"/>
      <c r="AT175" s="1821"/>
      <c r="AU175" s="1821"/>
      <c r="AV175" s="1821"/>
      <c r="AW175" s="1821"/>
      <c r="AX175" s="1821"/>
      <c r="AY175" s="1821"/>
      <c r="AZ175" s="1821"/>
      <c r="BA175" s="1821"/>
      <c r="BB175" s="1821"/>
      <c r="BC175" s="1821"/>
      <c r="BD175" s="1821"/>
      <c r="BE175" s="1821"/>
      <c r="BF175" s="1821"/>
      <c r="BG175" s="1821"/>
      <c r="BH175" s="1821"/>
      <c r="BI175" s="1821"/>
      <c r="BJ175" s="1821"/>
      <c r="BK175" s="1821"/>
      <c r="BL175" s="1821"/>
      <c r="BM175" s="1821"/>
      <c r="BN175" s="1821"/>
      <c r="BO175" s="1821"/>
      <c r="BP175" s="1821"/>
      <c r="BQ175" s="1821"/>
      <c r="BR175" s="1821"/>
      <c r="BS175" s="1821"/>
      <c r="BT175" s="1821"/>
      <c r="BU175" s="1821"/>
      <c r="BV175" s="1821"/>
      <c r="BW175" s="1821"/>
      <c r="BX175" s="1821"/>
      <c r="BY175" s="1821"/>
      <c r="BZ175" s="1821"/>
      <c r="CA175" s="1821"/>
      <c r="CB175" s="1821"/>
      <c r="CC175" s="1821"/>
      <c r="CD175" s="1821"/>
      <c r="CE175" s="1821"/>
      <c r="CF175" s="1821"/>
      <c r="CG175" s="1821"/>
      <c r="CH175" s="1821"/>
      <c r="CI175" s="1821"/>
      <c r="CJ175" s="1821"/>
      <c r="CK175" s="1821"/>
      <c r="CL175" s="1821"/>
      <c r="CM175" s="1821"/>
      <c r="CN175" s="1821"/>
      <c r="CO175" s="1821"/>
      <c r="CP175" s="1821"/>
      <c r="CQ175" s="1821"/>
      <c r="CR175" s="1821"/>
      <c r="CS175" s="1821"/>
      <c r="CT175" s="1821"/>
      <c r="CU175" s="1821"/>
      <c r="CV175" s="1821"/>
      <c r="CW175" s="1821"/>
      <c r="CX175" s="1821"/>
      <c r="CY175" s="1821"/>
      <c r="CZ175" s="1821"/>
      <c r="DA175" s="1821"/>
      <c r="DB175" s="1821"/>
      <c r="DC175" s="1821"/>
      <c r="DD175" s="1821"/>
      <c r="DE175" s="1821"/>
      <c r="DF175" s="1821"/>
      <c r="DG175" s="1821"/>
      <c r="DH175" s="1821"/>
      <c r="DI175" s="1821"/>
      <c r="DJ175" s="1821"/>
      <c r="DK175" s="1821"/>
      <c r="DL175" s="1821"/>
      <c r="DM175" s="1821"/>
      <c r="DN175" s="1821"/>
      <c r="DO175" s="1821"/>
      <c r="DP175" s="1821"/>
      <c r="DQ175" s="1821"/>
      <c r="DR175" s="1821"/>
      <c r="DS175" s="1821"/>
      <c r="DT175" s="1821"/>
      <c r="DU175" s="1821"/>
      <c r="DV175" s="1821"/>
      <c r="DW175" s="1821"/>
      <c r="DX175" s="1821"/>
      <c r="DY175" s="1821"/>
      <c r="DZ175" s="1821"/>
      <c r="EA175" s="1821"/>
      <c r="EB175" s="1821"/>
      <c r="EC175" s="1821"/>
      <c r="ED175" s="1821"/>
      <c r="EE175" s="1821"/>
      <c r="EF175" s="1821"/>
      <c r="EG175" s="1821"/>
      <c r="EH175" s="1821"/>
      <c r="EI175" s="1821"/>
      <c r="EJ175" s="1821"/>
      <c r="EK175" s="1821"/>
      <c r="EL175" s="1821"/>
      <c r="EM175" s="1821"/>
      <c r="EN175" s="1821"/>
      <c r="EO175" s="1821"/>
      <c r="EP175" s="1821"/>
      <c r="EQ175" s="1821"/>
      <c r="ER175" s="1821"/>
      <c r="ES175" s="1821"/>
      <c r="ET175" s="1821"/>
      <c r="EU175" s="1821"/>
      <c r="EV175" s="1821"/>
      <c r="EW175" s="1821"/>
      <c r="EX175" s="1821"/>
      <c r="EY175" s="1821"/>
      <c r="EZ175" s="1821"/>
      <c r="FA175" s="1821"/>
      <c r="FB175" s="1821"/>
      <c r="FC175" s="1821"/>
      <c r="FD175" s="1821"/>
      <c r="FE175" s="1821"/>
      <c r="FF175" s="1821"/>
      <c r="FG175" s="1821"/>
      <c r="FH175" s="1821"/>
      <c r="FI175" s="1821"/>
      <c r="FJ175" s="1821"/>
      <c r="FK175" s="1821"/>
      <c r="FL175" s="1821"/>
      <c r="FM175" s="1821"/>
      <c r="FN175" s="1821"/>
      <c r="FO175" s="1821"/>
      <c r="FP175" s="1821"/>
      <c r="FQ175" s="1821"/>
      <c r="FR175" s="1821"/>
      <c r="FS175" s="1821"/>
      <c r="FT175" s="1821"/>
      <c r="FU175" s="1821"/>
      <c r="FV175" s="1821"/>
      <c r="FW175" s="1821"/>
      <c r="FX175" s="1821"/>
      <c r="FY175" s="1821"/>
      <c r="FZ175" s="1821"/>
      <c r="GA175" s="1821"/>
      <c r="GB175" s="1821"/>
      <c r="GC175" s="1821"/>
      <c r="GD175" s="1821"/>
      <c r="GE175" s="1821"/>
      <c r="GF175" s="1821"/>
      <c r="GG175" s="1821"/>
      <c r="GH175" s="1821"/>
      <c r="GI175" s="1821"/>
      <c r="GJ175" s="1821"/>
      <c r="GK175" s="1821"/>
      <c r="GL175" s="1821"/>
      <c r="GM175" s="1821"/>
      <c r="GN175" s="1821"/>
      <c r="GO175" s="1821"/>
      <c r="GP175" s="1821"/>
      <c r="GQ175" s="1821"/>
      <c r="GR175" s="1821"/>
      <c r="GS175" s="1821"/>
      <c r="GT175" s="1821"/>
      <c r="GU175" s="1821"/>
      <c r="GV175" s="1821"/>
      <c r="GW175" s="1821"/>
      <c r="GX175" s="1821"/>
      <c r="GY175" s="1821"/>
      <c r="GZ175" s="1821"/>
      <c r="HA175" s="1821"/>
      <c r="HB175" s="1821"/>
      <c r="HC175" s="1821"/>
      <c r="HD175" s="1821"/>
      <c r="HE175" s="1821"/>
      <c r="HF175" s="1821"/>
      <c r="HG175" s="1821"/>
      <c r="HH175" s="1821"/>
      <c r="HI175" s="1821"/>
      <c r="HJ175" s="1821"/>
      <c r="HK175" s="1821"/>
      <c r="HL175" s="1821"/>
      <c r="HM175" s="1821"/>
      <c r="HN175" s="1821"/>
      <c r="HO175" s="1821"/>
      <c r="HP175" s="1821"/>
      <c r="HQ175" s="1821"/>
      <c r="HR175" s="1821"/>
      <c r="HS175" s="1821"/>
      <c r="HT175" s="1821"/>
      <c r="HU175" s="1821"/>
      <c r="HV175" s="1821"/>
      <c r="HW175" s="1821"/>
      <c r="HX175" s="1821"/>
      <c r="HY175" s="1821"/>
      <c r="HZ175" s="1821"/>
      <c r="IA175" s="1821"/>
      <c r="IB175" s="1821"/>
      <c r="IC175" s="1821"/>
      <c r="ID175" s="1821"/>
      <c r="IE175" s="1821"/>
      <c r="IF175" s="1821"/>
      <c r="IG175" s="1821"/>
      <c r="IH175" s="1821"/>
      <c r="II175" s="1821"/>
      <c r="IJ175" s="1821"/>
      <c r="IK175" s="1821"/>
      <c r="IL175" s="1821"/>
      <c r="IM175" s="1821"/>
      <c r="IN175" s="1821"/>
      <c r="IO175" s="1821"/>
      <c r="IP175" s="1821"/>
      <c r="IQ175" s="1821"/>
      <c r="IR175" s="1821"/>
      <c r="IS175" s="1821"/>
      <c r="IT175" s="1821"/>
      <c r="IU175" s="1821"/>
      <c r="IV175" s="1821"/>
      <c r="IW175" s="1821"/>
      <c r="IX175" s="1821"/>
      <c r="IY175" s="1821"/>
      <c r="IZ175" s="1821"/>
      <c r="JA175" s="1821"/>
      <c r="JB175" s="1821"/>
      <c r="JC175" s="1821"/>
      <c r="JD175" s="1821"/>
      <c r="JE175" s="1821"/>
      <c r="JF175" s="1821"/>
      <c r="JG175" s="1821"/>
      <c r="JH175" s="1821"/>
      <c r="JI175" s="1821"/>
      <c r="JJ175" s="1821"/>
      <c r="JK175" s="1821"/>
      <c r="JL175" s="1821"/>
      <c r="JM175" s="1821"/>
      <c r="JN175" s="1821"/>
      <c r="JO175" s="1821"/>
      <c r="JP175" s="1821"/>
      <c r="JQ175" s="1821"/>
      <c r="JR175" s="1821"/>
      <c r="JS175" s="1821"/>
      <c r="JT175" s="1821"/>
      <c r="JU175" s="1821"/>
      <c r="JV175" s="1821"/>
      <c r="JW175" s="1821"/>
      <c r="JX175" s="1821"/>
      <c r="JY175" s="1821"/>
      <c r="JZ175" s="1821"/>
      <c r="KA175" s="1821"/>
      <c r="KB175" s="1821"/>
      <c r="KC175" s="1821"/>
      <c r="KD175" s="1821"/>
      <c r="KE175" s="1821"/>
      <c r="KF175" s="1821"/>
      <c r="KG175" s="1821"/>
      <c r="KH175" s="1821"/>
      <c r="KI175" s="1821"/>
      <c r="KJ175" s="1821"/>
      <c r="KK175" s="1821"/>
      <c r="KL175" s="1821"/>
      <c r="KM175" s="1821"/>
      <c r="KN175" s="1821"/>
      <c r="KO175" s="1821"/>
      <c r="KP175" s="1821"/>
      <c r="KQ175" s="1821"/>
      <c r="KR175" s="1821"/>
      <c r="KS175" s="1821"/>
      <c r="KT175" s="1821"/>
      <c r="KU175" s="1821"/>
      <c r="KV175" s="1821"/>
      <c r="KW175" s="1821"/>
      <c r="KX175" s="1821"/>
      <c r="KY175" s="1821"/>
      <c r="KZ175" s="1821"/>
      <c r="LA175" s="1821"/>
      <c r="LB175" s="1821"/>
      <c r="LC175" s="1821"/>
      <c r="LD175" s="1821"/>
      <c r="LE175" s="1821"/>
      <c r="LF175" s="1821"/>
      <c r="LG175" s="1821"/>
      <c r="LH175" s="1821"/>
      <c r="LI175" s="1821"/>
      <c r="LJ175" s="1821"/>
      <c r="LK175" s="1821"/>
      <c r="LL175" s="1821"/>
      <c r="LM175" s="1821"/>
      <c r="LN175" s="1821"/>
      <c r="LO175" s="1821"/>
      <c r="LP175" s="1821"/>
      <c r="LQ175" s="1821"/>
      <c r="LR175" s="1821"/>
      <c r="LS175" s="1821"/>
      <c r="LT175" s="1821"/>
      <c r="LU175" s="1821"/>
      <c r="LV175" s="1821"/>
      <c r="LW175" s="1821"/>
      <c r="LX175" s="1821"/>
      <c r="LY175" s="1821"/>
      <c r="LZ175" s="1821"/>
      <c r="MA175" s="1821"/>
      <c r="MB175" s="1821"/>
      <c r="MC175" s="1821"/>
      <c r="MD175" s="1821"/>
      <c r="ME175" s="1821"/>
      <c r="MF175" s="1821"/>
      <c r="MG175" s="1821"/>
      <c r="MH175" s="1821"/>
      <c r="MI175" s="1821"/>
      <c r="MJ175" s="1821"/>
      <c r="MK175" s="1821"/>
      <c r="ML175" s="1821"/>
      <c r="MM175" s="1821"/>
      <c r="MN175" s="1821"/>
      <c r="MO175" s="1821"/>
      <c r="MP175" s="1821"/>
      <c r="MQ175" s="1821"/>
      <c r="MR175" s="1821"/>
      <c r="MS175" s="1821"/>
      <c r="MT175" s="1821"/>
      <c r="NO175" s="1821"/>
      <c r="NP175" s="1821"/>
      <c r="NQ175" s="1821"/>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901"/>
      <c r="JX176" s="359"/>
      <c r="JY176" s="359"/>
      <c r="JZ176" s="359"/>
      <c r="KA176" s="359"/>
      <c r="KB176" s="1901"/>
      <c r="KC176" s="359"/>
      <c r="KD176" s="359"/>
      <c r="KE176" s="359"/>
      <c r="KF176" s="359"/>
      <c r="KG176" s="1901"/>
      <c r="KH176" s="359"/>
      <c r="KI176" s="359"/>
      <c r="KJ176" s="359"/>
      <c r="KK176" s="359"/>
      <c r="KL176" s="1901"/>
      <c r="KM176" s="1901"/>
      <c r="KN176" s="1901"/>
      <c r="KO176" s="1901"/>
      <c r="KP176" s="1901"/>
      <c r="KQ176" s="1901"/>
      <c r="KR176" s="1901"/>
      <c r="KS176" s="1901"/>
      <c r="KT176" s="1901"/>
      <c r="KU176" s="1901"/>
      <c r="KV176" s="1901"/>
      <c r="KW176" s="1901"/>
      <c r="KX176" s="1901"/>
      <c r="KY176" s="1901"/>
      <c r="KZ176" s="1901"/>
      <c r="LA176" s="1901"/>
      <c r="LB176" s="1901"/>
      <c r="LC176" s="1901"/>
      <c r="LD176" s="1901"/>
      <c r="LE176" s="1901"/>
      <c r="LF176" s="1901"/>
      <c r="LG176" s="1901"/>
      <c r="LH176" s="359"/>
      <c r="LI176" s="359"/>
      <c r="LJ176" s="359"/>
      <c r="LK176" s="359"/>
      <c r="LL176" s="359"/>
      <c r="LM176" s="359"/>
      <c r="LN176" s="1749"/>
      <c r="LO176" s="359"/>
      <c r="LP176" s="359"/>
      <c r="LQ176" s="359"/>
      <c r="LR176" s="359"/>
      <c r="LS176" s="359"/>
      <c r="LT176" s="359"/>
      <c r="LU176" s="359"/>
      <c r="LV176" s="359"/>
      <c r="LW176" s="359"/>
      <c r="LX176" s="359"/>
      <c r="LY176" s="359"/>
      <c r="LZ176" s="359"/>
      <c r="MA176" s="359"/>
      <c r="MB176" s="359"/>
      <c r="MC176" s="359"/>
      <c r="MD176" s="1749"/>
      <c r="ME176" s="1749"/>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21"/>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1667</v>
      </c>
      <c r="B177" s="10" t="s">
        <v>217</v>
      </c>
      <c r="Q177" s="6"/>
      <c r="R177" s="6"/>
      <c r="S177" s="10" t="s">
        <v>1711</v>
      </c>
      <c r="U177" s="69"/>
      <c r="JW177" s="357"/>
      <c r="KB177" s="357"/>
      <c r="KG177" s="357"/>
      <c r="KL177" s="357"/>
      <c r="LH177" s="1750"/>
      <c r="LN177" s="357"/>
      <c r="LO177" s="361"/>
      <c r="MD177" s="357"/>
      <c r="MF177" s="361"/>
    </row>
    <row r="178" spans="1:493" ht="2.25" customHeight="1">
      <c r="Q178" s="69"/>
      <c r="R178" s="69"/>
    </row>
    <row r="179" spans="1:493" s="69" customFormat="1" ht="15.6" customHeight="1">
      <c r="A179" s="1"/>
      <c r="B179" s="141" t="s">
        <v>953</v>
      </c>
      <c r="C179" s="81"/>
      <c r="D179" s="81"/>
      <c r="E179" s="81"/>
      <c r="F179" s="81"/>
      <c r="G179" s="81"/>
      <c r="H179" s="3172">
        <f>'Part VI-Pro Forma'!B10*M50</f>
        <v>37533.840000000004</v>
      </c>
      <c r="I179" s="3173"/>
      <c r="J179" s="3174"/>
      <c r="K179" s="81"/>
      <c r="L179" s="1408" t="s">
        <v>2480</v>
      </c>
      <c r="M179" s="81"/>
      <c r="N179" s="81"/>
      <c r="O179" s="81"/>
      <c r="P179" s="1449">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901"/>
      <c r="JX179" s="359"/>
      <c r="JY179" s="359"/>
      <c r="JZ179" s="359"/>
      <c r="KA179" s="359"/>
      <c r="KB179" s="1901"/>
      <c r="KC179" s="359"/>
      <c r="KD179" s="359"/>
      <c r="KE179" s="359"/>
      <c r="KF179" s="359"/>
      <c r="KG179" s="1901"/>
      <c r="KH179" s="359"/>
      <c r="KI179" s="359"/>
      <c r="KJ179" s="359"/>
      <c r="KK179" s="359"/>
      <c r="KL179" s="1901"/>
      <c r="KM179" s="1901"/>
      <c r="KN179" s="1901"/>
      <c r="KO179" s="1901"/>
      <c r="KP179" s="1901"/>
      <c r="KQ179" s="1901"/>
      <c r="KR179" s="1901"/>
      <c r="KS179" s="1901"/>
      <c r="KT179" s="1901"/>
      <c r="KU179" s="1901"/>
      <c r="KV179" s="1901"/>
      <c r="KW179" s="1901"/>
      <c r="KX179" s="1901"/>
      <c r="KY179" s="1901"/>
      <c r="KZ179" s="1901"/>
      <c r="LA179" s="1901"/>
      <c r="LB179" s="1901"/>
      <c r="LC179" s="1901"/>
      <c r="LD179" s="1901"/>
      <c r="LE179" s="1901"/>
      <c r="LF179" s="1901"/>
      <c r="LG179" s="1901"/>
      <c r="LH179" s="359"/>
      <c r="LI179" s="359"/>
      <c r="LJ179" s="359"/>
      <c r="LK179" s="359"/>
      <c r="LL179" s="359"/>
      <c r="LM179" s="359"/>
      <c r="LN179" s="1749"/>
      <c r="LO179" s="359"/>
      <c r="LP179" s="359"/>
      <c r="LQ179" s="359"/>
      <c r="LR179" s="359"/>
      <c r="LS179" s="359"/>
      <c r="LT179" s="359"/>
      <c r="LU179" s="359"/>
      <c r="LV179" s="359"/>
      <c r="LW179" s="359"/>
      <c r="LX179" s="359"/>
      <c r="LY179" s="359"/>
      <c r="LZ179" s="359"/>
      <c r="MA179" s="359"/>
      <c r="MB179" s="359"/>
      <c r="MC179" s="359"/>
      <c r="MD179" s="1749"/>
      <c r="ME179" s="1749"/>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2"/>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2"/>
    </row>
    <row r="181" spans="1:493" ht="15.6" customHeight="1">
      <c r="B181" s="400" t="s">
        <v>1357</v>
      </c>
      <c r="C181" s="68"/>
      <c r="D181" s="68"/>
      <c r="E181" s="68"/>
      <c r="F181" s="68"/>
      <c r="G181" s="68"/>
      <c r="H181" s="68"/>
      <c r="I181" s="68"/>
      <c r="J181" s="400"/>
      <c r="K181" s="68"/>
      <c r="L181" s="700"/>
      <c r="M181" s="68"/>
      <c r="N181" s="68"/>
      <c r="O181" s="68"/>
      <c r="P181" s="68"/>
      <c r="Q181" s="87"/>
      <c r="S181" s="119" t="str">
        <f>B181</f>
        <v>Other Income (OI) by Year:</v>
      </c>
      <c r="NP181" s="1722"/>
    </row>
    <row r="182" spans="1:493" ht="15.6" customHeight="1">
      <c r="B182" s="701" t="s">
        <v>2112</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2"/>
    </row>
    <row r="183" spans="1:493" ht="15.6" customHeight="1">
      <c r="B183" s="81" t="s">
        <v>954</v>
      </c>
      <c r="C183" s="81"/>
      <c r="D183" s="81"/>
      <c r="E183" s="81"/>
      <c r="F183" s="81"/>
      <c r="H183" s="704"/>
      <c r="I183" s="704"/>
      <c r="J183" s="704"/>
      <c r="K183" s="704"/>
      <c r="L183" s="704"/>
      <c r="M183" s="704"/>
      <c r="N183" s="704"/>
      <c r="O183" s="704"/>
      <c r="P183" s="704"/>
      <c r="Q183" s="704"/>
      <c r="R183" s="674"/>
      <c r="S183" s="3113"/>
      <c r="T183" s="3114"/>
      <c r="U183" s="3114"/>
      <c r="V183" s="3114"/>
      <c r="W183" s="3115"/>
    </row>
    <row r="184" spans="1:493" ht="15.6" customHeight="1">
      <c r="B184" s="81" t="s">
        <v>690</v>
      </c>
      <c r="C184" s="3118"/>
      <c r="D184" s="3119"/>
      <c r="E184" s="3119"/>
      <c r="F184" s="3120"/>
      <c r="H184" s="706"/>
      <c r="I184" s="706"/>
      <c r="J184" s="706"/>
      <c r="K184" s="706"/>
      <c r="L184" s="707"/>
      <c r="M184" s="706"/>
      <c r="N184" s="706"/>
      <c r="O184" s="706"/>
      <c r="P184" s="706"/>
      <c r="Q184" s="706"/>
      <c r="R184" s="674"/>
      <c r="S184" s="3087"/>
      <c r="T184" s="3088"/>
      <c r="U184" s="3088"/>
      <c r="V184" s="3088"/>
      <c r="W184" s="3089"/>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093"/>
      <c r="T185" s="3094"/>
      <c r="U185" s="3094"/>
      <c r="V185" s="3094"/>
      <c r="W185" s="3095"/>
      <c r="NP185" s="1722"/>
    </row>
    <row r="186" spans="1:493" ht="15.6" customHeight="1">
      <c r="B186" s="709" t="s">
        <v>3190</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113"/>
      <c r="T187" s="3114"/>
      <c r="U187" s="3114"/>
      <c r="V187" s="3114"/>
      <c r="W187" s="3115"/>
    </row>
    <row r="188" spans="1:493" ht="15.6" customHeight="1">
      <c r="B188" s="81" t="s">
        <v>690</v>
      </c>
      <c r="C188" s="3118"/>
      <c r="D188" s="3119"/>
      <c r="E188" s="3119"/>
      <c r="F188" s="3120"/>
      <c r="H188" s="706"/>
      <c r="I188" s="706"/>
      <c r="J188" s="706"/>
      <c r="K188" s="706"/>
      <c r="L188" s="707"/>
      <c r="M188" s="706"/>
      <c r="N188" s="706"/>
      <c r="O188" s="706"/>
      <c r="P188" s="706"/>
      <c r="Q188" s="706"/>
      <c r="R188" s="674"/>
      <c r="S188" s="3087"/>
      <c r="T188" s="3088"/>
      <c r="U188" s="3088"/>
      <c r="V188" s="3088"/>
      <c r="W188" s="3089"/>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093"/>
      <c r="T189" s="3094"/>
      <c r="U189" s="3094"/>
      <c r="V189" s="3094"/>
      <c r="W189" s="3095"/>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2112</v>
      </c>
      <c r="C191" s="68"/>
      <c r="D191" s="68"/>
      <c r="E191" s="68"/>
      <c r="F191" s="68"/>
      <c r="H191" s="702">
        <v>11</v>
      </c>
      <c r="I191" s="702">
        <v>12</v>
      </c>
      <c r="J191" s="702">
        <v>13</v>
      </c>
      <c r="K191" s="702">
        <v>14</v>
      </c>
      <c r="L191" s="702">
        <v>15</v>
      </c>
      <c r="M191" s="702">
        <v>16</v>
      </c>
      <c r="N191" s="702">
        <v>17</v>
      </c>
      <c r="O191" s="702">
        <v>18</v>
      </c>
      <c r="P191" s="702">
        <v>19</v>
      </c>
      <c r="Q191" s="702">
        <v>20</v>
      </c>
      <c r="S191" s="107" t="s">
        <v>2410</v>
      </c>
      <c r="T191" s="72" t="str">
        <f>B191</f>
        <v>Included in Mgt Fee:</v>
      </c>
    </row>
    <row r="192" spans="1:493" ht="15.6" customHeight="1">
      <c r="A192" s="62"/>
      <c r="B192" s="81" t="s">
        <v>954</v>
      </c>
      <c r="C192" s="81"/>
      <c r="D192" s="81"/>
      <c r="E192" s="81"/>
      <c r="F192" s="81"/>
      <c r="H192" s="704"/>
      <c r="I192" s="704"/>
      <c r="J192" s="704"/>
      <c r="K192" s="704"/>
      <c r="L192" s="705"/>
      <c r="M192" s="704"/>
      <c r="N192" s="704"/>
      <c r="O192" s="704"/>
      <c r="P192" s="704"/>
      <c r="Q192" s="704"/>
      <c r="R192" s="674"/>
      <c r="S192" s="3113"/>
      <c r="T192" s="3114"/>
      <c r="U192" s="3114"/>
      <c r="V192" s="3114"/>
      <c r="W192" s="3115"/>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118"/>
      <c r="D193" s="3119"/>
      <c r="E193" s="3119"/>
      <c r="F193" s="3120"/>
      <c r="H193" s="706"/>
      <c r="I193" s="706"/>
      <c r="J193" s="706"/>
      <c r="K193" s="706"/>
      <c r="L193" s="707"/>
      <c r="M193" s="706"/>
      <c r="N193" s="706"/>
      <c r="O193" s="706"/>
      <c r="P193" s="706"/>
      <c r="Q193" s="706"/>
      <c r="R193" s="674"/>
      <c r="S193" s="3087"/>
      <c r="T193" s="3088"/>
      <c r="U193" s="3088"/>
      <c r="V193" s="3088"/>
      <c r="W193" s="3089"/>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093"/>
      <c r="T194" s="3094"/>
      <c r="U194" s="3094"/>
      <c r="V194" s="3094"/>
      <c r="W194" s="3095"/>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3190</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113"/>
      <c r="T196" s="3114"/>
      <c r="U196" s="3114"/>
      <c r="V196" s="3114"/>
      <c r="W196" s="3115"/>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118"/>
      <c r="D197" s="3119"/>
      <c r="E197" s="3119"/>
      <c r="F197" s="3120"/>
      <c r="H197" s="706"/>
      <c r="I197" s="706"/>
      <c r="J197" s="706"/>
      <c r="K197" s="706"/>
      <c r="L197" s="707"/>
      <c r="M197" s="706"/>
      <c r="N197" s="706"/>
      <c r="O197" s="706"/>
      <c r="P197" s="706"/>
      <c r="Q197" s="706"/>
      <c r="R197" s="674"/>
      <c r="S197" s="3087"/>
      <c r="T197" s="3088"/>
      <c r="U197" s="3088"/>
      <c r="V197" s="3088"/>
      <c r="W197" s="3089"/>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093"/>
      <c r="T198" s="3094"/>
      <c r="U198" s="3094"/>
      <c r="V198" s="3094"/>
      <c r="W198" s="3095"/>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2112</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2411</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954</v>
      </c>
      <c r="C201" s="81"/>
      <c r="D201" s="81"/>
      <c r="E201" s="81"/>
      <c r="F201" s="81"/>
      <c r="H201" s="704"/>
      <c r="I201" s="704"/>
      <c r="J201" s="704"/>
      <c r="K201" s="704"/>
      <c r="L201" s="705"/>
      <c r="M201" s="704"/>
      <c r="N201" s="704"/>
      <c r="O201" s="704"/>
      <c r="P201" s="704"/>
      <c r="Q201" s="704"/>
      <c r="R201" s="674"/>
      <c r="S201" s="3113"/>
      <c r="T201" s="3114"/>
      <c r="U201" s="3114"/>
      <c r="V201" s="3114"/>
      <c r="W201" s="3115"/>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118"/>
      <c r="D202" s="3119"/>
      <c r="E202" s="3119"/>
      <c r="F202" s="3120"/>
      <c r="H202" s="706"/>
      <c r="I202" s="706"/>
      <c r="J202" s="706"/>
      <c r="K202" s="706"/>
      <c r="L202" s="707"/>
      <c r="M202" s="706"/>
      <c r="N202" s="706"/>
      <c r="O202" s="706"/>
      <c r="P202" s="706"/>
      <c r="Q202" s="706"/>
      <c r="R202" s="674"/>
      <c r="S202" s="3087"/>
      <c r="T202" s="3088"/>
      <c r="U202" s="3088"/>
      <c r="V202" s="3088"/>
      <c r="W202" s="3089"/>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093"/>
      <c r="T203" s="3094"/>
      <c r="U203" s="3094"/>
      <c r="V203" s="3094"/>
      <c r="W203" s="3095"/>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3190</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113"/>
      <c r="T205" s="3114"/>
      <c r="U205" s="3114"/>
      <c r="V205" s="3114"/>
      <c r="W205" s="3115"/>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118"/>
      <c r="D206" s="3119"/>
      <c r="E206" s="3119"/>
      <c r="F206" s="3120"/>
      <c r="H206" s="706"/>
      <c r="I206" s="706"/>
      <c r="J206" s="706"/>
      <c r="K206" s="706"/>
      <c r="L206" s="707"/>
      <c r="M206" s="706"/>
      <c r="N206" s="706"/>
      <c r="O206" s="706"/>
      <c r="P206" s="706"/>
      <c r="Q206" s="706"/>
      <c r="R206" s="674"/>
      <c r="S206" s="3087"/>
      <c r="T206" s="3088"/>
      <c r="U206" s="3088"/>
      <c r="V206" s="3088"/>
      <c r="W206" s="3089"/>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093"/>
      <c r="T207" s="3094"/>
      <c r="U207" s="3094"/>
      <c r="V207" s="3094"/>
      <c r="W207" s="3095"/>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2112</v>
      </c>
      <c r="C209" s="68"/>
      <c r="D209" s="68"/>
      <c r="E209" s="68"/>
      <c r="F209" s="68"/>
      <c r="H209" s="702">
        <v>31</v>
      </c>
      <c r="I209" s="702">
        <v>32</v>
      </c>
      <c r="J209" s="702">
        <v>33</v>
      </c>
      <c r="K209" s="702">
        <v>34</v>
      </c>
      <c r="L209" s="702">
        <v>35</v>
      </c>
      <c r="M209" s="68"/>
      <c r="N209" s="68"/>
      <c r="O209" s="68"/>
      <c r="P209" s="68"/>
      <c r="Q209" s="68"/>
      <c r="S209" s="107" t="s">
        <v>2411</v>
      </c>
      <c r="T209" s="72" t="str">
        <f>B209</f>
        <v>Included in Mgt Fee:</v>
      </c>
    </row>
    <row r="210" spans="1:493" ht="15.6" customHeight="1">
      <c r="B210" s="81" t="s">
        <v>954</v>
      </c>
      <c r="C210" s="81"/>
      <c r="D210" s="81"/>
      <c r="E210" s="81"/>
      <c r="F210" s="81"/>
      <c r="H210" s="704"/>
      <c r="I210" s="704"/>
      <c r="J210" s="704"/>
      <c r="K210" s="704"/>
      <c r="L210" s="705"/>
      <c r="M210" s="68"/>
      <c r="N210" s="68"/>
      <c r="O210" s="68"/>
      <c r="P210" s="68"/>
      <c r="Q210" s="68"/>
      <c r="R210" s="6"/>
      <c r="S210" s="3113"/>
      <c r="T210" s="3114"/>
      <c r="U210" s="3114"/>
      <c r="V210" s="3114"/>
      <c r="W210" s="3115"/>
    </row>
    <row r="211" spans="1:493" ht="15.6" customHeight="1">
      <c r="B211" s="81" t="s">
        <v>690</v>
      </c>
      <c r="C211" s="3118"/>
      <c r="D211" s="3119"/>
      <c r="E211" s="3119"/>
      <c r="F211" s="3120"/>
      <c r="H211" s="706"/>
      <c r="I211" s="706"/>
      <c r="J211" s="706"/>
      <c r="K211" s="706"/>
      <c r="L211" s="707"/>
      <c r="M211" s="68"/>
      <c r="N211" s="68"/>
      <c r="O211" s="68"/>
      <c r="P211" s="68"/>
      <c r="Q211" s="68"/>
      <c r="R211" s="6"/>
      <c r="S211" s="3087"/>
      <c r="T211" s="3088"/>
      <c r="U211" s="3088"/>
      <c r="V211" s="3088"/>
      <c r="W211" s="3089"/>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093"/>
      <c r="T212" s="3094"/>
      <c r="U212" s="3094"/>
      <c r="V212" s="3094"/>
      <c r="W212" s="3095"/>
    </row>
    <row r="213" spans="1:493" ht="15.6" customHeight="1">
      <c r="B213" s="709" t="s">
        <v>3190</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113"/>
      <c r="T214" s="3114"/>
      <c r="U214" s="3114"/>
      <c r="V214" s="3114"/>
      <c r="W214" s="3115"/>
    </row>
    <row r="215" spans="1:493" ht="15.6" customHeight="1">
      <c r="B215" s="81" t="s">
        <v>690</v>
      </c>
      <c r="C215" s="3118"/>
      <c r="D215" s="3119"/>
      <c r="E215" s="3119"/>
      <c r="F215" s="3120"/>
      <c r="H215" s="706"/>
      <c r="I215" s="706"/>
      <c r="J215" s="706"/>
      <c r="K215" s="706"/>
      <c r="L215" s="707"/>
      <c r="M215" s="68"/>
      <c r="N215" s="68"/>
      <c r="O215" s="68"/>
      <c r="P215" s="68"/>
      <c r="Q215" s="68"/>
      <c r="R215" s="6"/>
      <c r="S215" s="3087"/>
      <c r="T215" s="3088"/>
      <c r="U215" s="3088"/>
      <c r="V215" s="3088"/>
      <c r="W215" s="3089"/>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093"/>
      <c r="T216" s="3094"/>
      <c r="U216" s="3094"/>
      <c r="V216" s="3094"/>
      <c r="W216" s="3095"/>
    </row>
    <row r="217" spans="1:493" ht="2.25" customHeight="1">
      <c r="B217" s="10"/>
      <c r="F217" s="27"/>
      <c r="G217" s="27"/>
      <c r="Q217" s="6"/>
      <c r="R217" s="6"/>
    </row>
    <row r="218" spans="1:493" s="69" customFormat="1" ht="11.25" customHeight="1">
      <c r="A218" s="4" t="s">
        <v>1669</v>
      </c>
      <c r="B218" s="2" t="s">
        <v>956</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901"/>
      <c r="JX218" s="359"/>
      <c r="JY218" s="359"/>
      <c r="JZ218" s="359"/>
      <c r="KA218" s="359"/>
      <c r="KB218" s="1901"/>
      <c r="KC218" s="359"/>
      <c r="KD218" s="359"/>
      <c r="KE218" s="359"/>
      <c r="KF218" s="359"/>
      <c r="KG218" s="1901"/>
      <c r="KH218" s="359"/>
      <c r="KI218" s="359"/>
      <c r="KJ218" s="359"/>
      <c r="KK218" s="359"/>
      <c r="KL218" s="1901"/>
      <c r="KM218" s="1901"/>
      <c r="KN218" s="1901"/>
      <c r="KO218" s="1901"/>
      <c r="KP218" s="1901"/>
      <c r="KQ218" s="1901"/>
      <c r="KR218" s="1901"/>
      <c r="KS218" s="1901"/>
      <c r="KT218" s="1901"/>
      <c r="KU218" s="1901"/>
      <c r="KV218" s="1901"/>
      <c r="KW218" s="1901"/>
      <c r="KX218" s="1901"/>
      <c r="KY218" s="1901"/>
      <c r="KZ218" s="1901"/>
      <c r="LA218" s="1901"/>
      <c r="LB218" s="1901"/>
      <c r="LC218" s="1901"/>
      <c r="LD218" s="1901"/>
      <c r="LE218" s="1901"/>
      <c r="LF218" s="1901"/>
      <c r="LG218" s="1901"/>
      <c r="LH218" s="359"/>
      <c r="LI218" s="359"/>
      <c r="LJ218" s="359"/>
      <c r="LK218" s="359"/>
      <c r="LL218" s="359"/>
      <c r="LM218" s="359"/>
      <c r="LN218" s="1749"/>
      <c r="LO218" s="359"/>
      <c r="LP218" s="359"/>
      <c r="LQ218" s="359"/>
      <c r="LR218" s="359"/>
      <c r="LS218" s="359"/>
      <c r="LT218" s="359"/>
      <c r="LU218" s="359"/>
      <c r="LV218" s="359"/>
      <c r="LW218" s="359"/>
      <c r="LX218" s="359"/>
      <c r="LY218" s="359"/>
      <c r="LZ218" s="359"/>
      <c r="MA218" s="359"/>
      <c r="MB218" s="359"/>
      <c r="MC218" s="359"/>
      <c r="MD218" s="1749"/>
      <c r="ME218" s="1749"/>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21"/>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901"/>
      <c r="JX219" s="359"/>
      <c r="JY219" s="359"/>
      <c r="JZ219" s="359"/>
      <c r="KA219" s="359"/>
      <c r="KB219" s="1901"/>
      <c r="KC219" s="359"/>
      <c r="KD219" s="359"/>
      <c r="KE219" s="359"/>
      <c r="KF219" s="359"/>
      <c r="KG219" s="1901"/>
      <c r="KH219" s="359"/>
      <c r="KI219" s="359"/>
      <c r="KJ219" s="359"/>
      <c r="KK219" s="359"/>
      <c r="KL219" s="1901"/>
      <c r="KM219" s="1901"/>
      <c r="KN219" s="1901"/>
      <c r="KO219" s="1901"/>
      <c r="KP219" s="1901"/>
      <c r="KQ219" s="1901"/>
      <c r="KR219" s="1901"/>
      <c r="KS219" s="1901"/>
      <c r="KT219" s="1901"/>
      <c r="KU219" s="1901"/>
      <c r="KV219" s="1901"/>
      <c r="KW219" s="1901"/>
      <c r="KX219" s="1901"/>
      <c r="KY219" s="1901"/>
      <c r="KZ219" s="1901"/>
      <c r="LA219" s="1901"/>
      <c r="LB219" s="1901"/>
      <c r="LC219" s="1901"/>
      <c r="LD219" s="1901"/>
      <c r="LE219" s="1901"/>
      <c r="LF219" s="1901"/>
      <c r="LG219" s="1901"/>
      <c r="LH219" s="359"/>
      <c r="LI219" s="359"/>
      <c r="LJ219" s="359"/>
      <c r="LK219" s="359"/>
      <c r="LL219" s="359"/>
      <c r="LM219" s="359"/>
      <c r="LN219" s="1749"/>
      <c r="LO219" s="359"/>
      <c r="LP219" s="359"/>
      <c r="LQ219" s="359"/>
      <c r="LR219" s="359"/>
      <c r="LS219" s="359"/>
      <c r="LT219" s="359"/>
      <c r="LU219" s="359"/>
      <c r="LV219" s="359"/>
      <c r="LW219" s="359"/>
      <c r="LX219" s="359"/>
      <c r="LY219" s="359"/>
      <c r="LZ219" s="359"/>
      <c r="MA219" s="359"/>
      <c r="MB219" s="359"/>
      <c r="MC219" s="359"/>
      <c r="MD219" s="1749"/>
      <c r="ME219" s="1749"/>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21"/>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1214</v>
      </c>
      <c r="C220" s="1"/>
      <c r="D220" s="1"/>
      <c r="E220" s="1"/>
      <c r="F220"/>
      <c r="G220"/>
      <c r="H220" s="1"/>
      <c r="I220" s="4" t="s">
        <v>1300</v>
      </c>
      <c r="K220" s="1"/>
      <c r="L220" s="1"/>
      <c r="M220" s="1"/>
      <c r="N220" s="1"/>
      <c r="O220" s="4" t="s">
        <v>1303</v>
      </c>
      <c r="P220" s="1"/>
      <c r="Q220" s="327">
        <f>IF(OR('Part VI-Pro Forma'!$B$22 = "Choose Mgt Fee",'Part VI-Pro Forma'!$B$22 = "Choose One!"), 0,- 'Part VI-Pro Forma'!$B$22)</f>
        <v>115715</v>
      </c>
      <c r="R220" s="1"/>
      <c r="S220" s="3113"/>
      <c r="T220" s="3114"/>
      <c r="U220" s="3114"/>
      <c r="V220" s="3114"/>
      <c r="W220" s="3115"/>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901"/>
      <c r="JX220" s="359"/>
      <c r="JY220" s="359"/>
      <c r="JZ220" s="359"/>
      <c r="KA220" s="359"/>
      <c r="KB220" s="1901"/>
      <c r="KC220" s="359"/>
      <c r="KD220" s="359"/>
      <c r="KE220" s="359"/>
      <c r="KF220" s="359"/>
      <c r="KG220" s="1901"/>
      <c r="KH220" s="359"/>
      <c r="KI220" s="359"/>
      <c r="KJ220" s="359"/>
      <c r="KK220" s="359"/>
      <c r="KL220" s="1901"/>
      <c r="KM220" s="1901"/>
      <c r="KN220" s="1901"/>
      <c r="KO220" s="1901"/>
      <c r="KP220" s="1901"/>
      <c r="KQ220" s="1901"/>
      <c r="KR220" s="1901"/>
      <c r="KS220" s="1901"/>
      <c r="KT220" s="1901"/>
      <c r="KU220" s="1901"/>
      <c r="KV220" s="1901"/>
      <c r="KW220" s="1901"/>
      <c r="KX220" s="1901"/>
      <c r="KY220" s="1901"/>
      <c r="KZ220" s="1901"/>
      <c r="LA220" s="1901"/>
      <c r="LB220" s="1901"/>
      <c r="LC220" s="1901"/>
      <c r="LD220" s="1901"/>
      <c r="LE220" s="1901"/>
      <c r="LF220" s="1901"/>
      <c r="LG220" s="1901"/>
      <c r="LH220" s="359"/>
      <c r="LI220" s="359"/>
      <c r="LJ220" s="359"/>
      <c r="LK220" s="359"/>
      <c r="LL220" s="359"/>
      <c r="LM220" s="359"/>
      <c r="LN220" s="1749"/>
      <c r="LO220" s="359"/>
      <c r="LP220" s="359"/>
      <c r="LQ220" s="359"/>
      <c r="LR220" s="359"/>
      <c r="LS220" s="359"/>
      <c r="LT220" s="359"/>
      <c r="LU220" s="359"/>
      <c r="LV220" s="359"/>
      <c r="LW220" s="359"/>
      <c r="LX220" s="359"/>
      <c r="LY220" s="359"/>
      <c r="LZ220" s="359"/>
      <c r="MA220" s="359"/>
      <c r="MB220" s="359"/>
      <c r="MC220" s="359"/>
      <c r="MD220" s="1749"/>
      <c r="ME220" s="1749"/>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21"/>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2037</v>
      </c>
      <c r="C221" s="1"/>
      <c r="D221" s="1"/>
      <c r="E221" s="1"/>
      <c r="F221" s="3121">
        <v>148960</v>
      </c>
      <c r="G221" s="3122"/>
      <c r="H221" s="1"/>
      <c r="I221" s="1" t="s">
        <v>1301</v>
      </c>
      <c r="K221" s="1"/>
      <c r="L221" s="3121"/>
      <c r="M221" s="3122"/>
      <c r="N221" s="1"/>
      <c r="O221" s="319">
        <f>+Q220/(P67*0.93)</f>
        <v>1036.8727598566306</v>
      </c>
      <c r="P221" s="42" t="s">
        <v>2487</v>
      </c>
      <c r="Q221" s="1"/>
      <c r="R221" s="674"/>
      <c r="S221" s="3087"/>
      <c r="T221" s="3088"/>
      <c r="U221" s="3088"/>
      <c r="V221" s="3088"/>
      <c r="W221" s="3089"/>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901"/>
      <c r="JX221" s="359"/>
      <c r="JY221" s="359"/>
      <c r="JZ221" s="359"/>
      <c r="KA221" s="359"/>
      <c r="KB221" s="1901"/>
      <c r="KC221" s="359"/>
      <c r="KD221" s="359"/>
      <c r="KE221" s="359"/>
      <c r="KF221" s="359"/>
      <c r="KG221" s="1901"/>
      <c r="KH221" s="359"/>
      <c r="KI221" s="359"/>
      <c r="KJ221" s="359"/>
      <c r="KK221" s="359"/>
      <c r="KL221" s="1901"/>
      <c r="KM221" s="1901"/>
      <c r="KN221" s="1901"/>
      <c r="KO221" s="1901"/>
      <c r="KP221" s="1901"/>
      <c r="KQ221" s="1901"/>
      <c r="KR221" s="1901"/>
      <c r="KS221" s="1901"/>
      <c r="KT221" s="1901"/>
      <c r="KU221" s="1901"/>
      <c r="KV221" s="1901"/>
      <c r="KW221" s="1901"/>
      <c r="KX221" s="1901"/>
      <c r="KY221" s="1901"/>
      <c r="KZ221" s="1901"/>
      <c r="LA221" s="1901"/>
      <c r="LB221" s="1901"/>
      <c r="LC221" s="1901"/>
      <c r="LD221" s="1901"/>
      <c r="LE221" s="1901"/>
      <c r="LF221" s="1901"/>
      <c r="LG221" s="1901"/>
      <c r="LH221" s="359"/>
      <c r="LI221" s="359"/>
      <c r="LJ221" s="359"/>
      <c r="LK221" s="359"/>
      <c r="LL221" s="359"/>
      <c r="LM221" s="359"/>
      <c r="LN221" s="1749"/>
      <c r="LO221" s="359"/>
      <c r="LP221" s="359"/>
      <c r="LQ221" s="359"/>
      <c r="LR221" s="359"/>
      <c r="LS221" s="359"/>
      <c r="LT221" s="359"/>
      <c r="LU221" s="359"/>
      <c r="LV221" s="359"/>
      <c r="LW221" s="359"/>
      <c r="LX221" s="359"/>
      <c r="LY221" s="359"/>
      <c r="LZ221" s="359"/>
      <c r="MA221" s="359"/>
      <c r="MB221" s="359"/>
      <c r="MC221" s="359"/>
      <c r="MD221" s="1749"/>
      <c r="ME221" s="1749"/>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21"/>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1290</v>
      </c>
      <c r="C222" s="1"/>
      <c r="D222" s="1"/>
      <c r="E222" s="1"/>
      <c r="F222" s="3144">
        <v>140980</v>
      </c>
      <c r="G222" s="3145"/>
      <c r="H222" s="1"/>
      <c r="I222" s="1" t="s">
        <v>1302</v>
      </c>
      <c r="K222" s="1"/>
      <c r="L222" s="3116">
        <v>9600</v>
      </c>
      <c r="M222" s="3117"/>
      <c r="N222" s="1"/>
      <c r="O222" s="319">
        <f>+Q220/(P67*0.93)/12</f>
        <v>86.406063321385886</v>
      </c>
      <c r="P222" s="42" t="s">
        <v>2488</v>
      </c>
      <c r="Q222" s="1"/>
      <c r="R222" s="674"/>
      <c r="S222" s="3087"/>
      <c r="T222" s="3088"/>
      <c r="U222" s="3088"/>
      <c r="V222" s="3088"/>
      <c r="W222" s="3089"/>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901"/>
      <c r="JX222" s="359"/>
      <c r="JY222" s="359"/>
      <c r="JZ222" s="359"/>
      <c r="KA222" s="359"/>
      <c r="KB222" s="1901"/>
      <c r="KC222" s="359"/>
      <c r="KD222" s="359"/>
      <c r="KE222" s="359"/>
      <c r="KF222" s="359"/>
      <c r="KG222" s="1901"/>
      <c r="KH222" s="359"/>
      <c r="KI222" s="359"/>
      <c r="KJ222" s="359"/>
      <c r="KK222" s="359"/>
      <c r="KL222" s="1901"/>
      <c r="KM222" s="1901"/>
      <c r="KN222" s="1901"/>
      <c r="KO222" s="1901"/>
      <c r="KP222" s="1901"/>
      <c r="KQ222" s="1901"/>
      <c r="KR222" s="1901"/>
      <c r="KS222" s="1901"/>
      <c r="KT222" s="1901"/>
      <c r="KU222" s="1901"/>
      <c r="KV222" s="1901"/>
      <c r="KW222" s="1901"/>
      <c r="KX222" s="1901"/>
      <c r="KY222" s="1901"/>
      <c r="KZ222" s="1901"/>
      <c r="LA222" s="1901"/>
      <c r="LB222" s="1901"/>
      <c r="LC222" s="1901"/>
      <c r="LD222" s="1901"/>
      <c r="LE222" s="1901"/>
      <c r="LF222" s="1901"/>
      <c r="LG222" s="1901"/>
      <c r="LH222" s="359"/>
      <c r="LI222" s="359"/>
      <c r="LJ222" s="359"/>
      <c r="LK222" s="359"/>
      <c r="LL222" s="359"/>
      <c r="LM222" s="359"/>
      <c r="LN222" s="1749"/>
      <c r="LO222" s="359"/>
      <c r="LP222" s="359"/>
      <c r="LQ222" s="359"/>
      <c r="LR222" s="359"/>
      <c r="LS222" s="359"/>
      <c r="LT222" s="359"/>
      <c r="LU222" s="359"/>
      <c r="LV222" s="359"/>
      <c r="LW222" s="359"/>
      <c r="LX222" s="359"/>
      <c r="LY222" s="359"/>
      <c r="LZ222" s="359"/>
      <c r="MA222" s="359"/>
      <c r="MB222" s="359"/>
      <c r="MC222" s="359"/>
      <c r="MD222" s="1749"/>
      <c r="ME222" s="1749"/>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21"/>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1166</v>
      </c>
      <c r="C223" s="1"/>
      <c r="D223" s="1"/>
      <c r="E223" s="1"/>
      <c r="F223" s="3144"/>
      <c r="G223" s="3145"/>
      <c r="H223" s="1"/>
      <c r="I223" s="1"/>
      <c r="K223" s="8" t="s">
        <v>184</v>
      </c>
      <c r="L223" s="3134">
        <f>SUM(L221:M222)</f>
        <v>9600</v>
      </c>
      <c r="M223" s="3135"/>
      <c r="N223" s="1"/>
      <c r="O223" s="29" t="s">
        <v>3226</v>
      </c>
      <c r="P223" s="103"/>
      <c r="Q223" s="103"/>
      <c r="R223" s="674"/>
      <c r="S223" s="3087"/>
      <c r="T223" s="3088"/>
      <c r="U223" s="3088"/>
      <c r="V223" s="3088"/>
      <c r="W223" s="3089"/>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901"/>
      <c r="JX223" s="359"/>
      <c r="JY223" s="359"/>
      <c r="JZ223" s="359"/>
      <c r="KA223" s="359"/>
      <c r="KB223" s="1901"/>
      <c r="KC223" s="359"/>
      <c r="KD223" s="359"/>
      <c r="KE223" s="359"/>
      <c r="KF223" s="359"/>
      <c r="KG223" s="1901"/>
      <c r="KH223" s="359"/>
      <c r="KI223" s="359"/>
      <c r="KJ223" s="359"/>
      <c r="KK223" s="359"/>
      <c r="KL223" s="1901"/>
      <c r="KM223" s="1901"/>
      <c r="KN223" s="1901"/>
      <c r="KO223" s="1901"/>
      <c r="KP223" s="1901"/>
      <c r="KQ223" s="1901"/>
      <c r="KR223" s="1901"/>
      <c r="KS223" s="1901"/>
      <c r="KT223" s="1901"/>
      <c r="KU223" s="1901"/>
      <c r="KV223" s="1901"/>
      <c r="KW223" s="1901"/>
      <c r="KX223" s="1901"/>
      <c r="KY223" s="1901"/>
      <c r="KZ223" s="1901"/>
      <c r="LA223" s="1901"/>
      <c r="LB223" s="1901"/>
      <c r="LC223" s="1901"/>
      <c r="LD223" s="1901"/>
      <c r="LE223" s="1901"/>
      <c r="LF223" s="1901"/>
      <c r="LG223" s="1901"/>
      <c r="LH223" s="359"/>
      <c r="LI223" s="359"/>
      <c r="LJ223" s="359"/>
      <c r="LK223" s="359"/>
      <c r="LL223" s="359"/>
      <c r="LM223" s="359"/>
      <c r="LN223" s="1749"/>
      <c r="LO223" s="359"/>
      <c r="LP223" s="359"/>
      <c r="LQ223" s="359"/>
      <c r="LR223" s="359"/>
      <c r="LS223" s="359"/>
      <c r="LT223" s="359"/>
      <c r="LU223" s="359"/>
      <c r="LV223" s="359"/>
      <c r="LW223" s="359"/>
      <c r="LX223" s="359"/>
      <c r="LY223" s="359"/>
      <c r="LZ223" s="359"/>
      <c r="MA223" s="359"/>
      <c r="MB223" s="359"/>
      <c r="MC223" s="359"/>
      <c r="MD223" s="1749"/>
      <c r="ME223" s="1749"/>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21"/>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6" t="s">
        <v>6643</v>
      </c>
      <c r="F224" s="3144"/>
      <c r="G224" s="3145"/>
      <c r="H224" s="1"/>
      <c r="I224" s="1"/>
      <c r="K224" s="1"/>
      <c r="L224" s="1"/>
      <c r="M224" s="1"/>
      <c r="N224" s="1"/>
      <c r="R224" s="671"/>
      <c r="S224" s="3087"/>
      <c r="T224" s="3088"/>
      <c r="U224" s="3088"/>
      <c r="V224" s="3088"/>
      <c r="W224" s="3089"/>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901"/>
      <c r="JX224" s="359"/>
      <c r="JY224" s="359"/>
      <c r="JZ224" s="359"/>
      <c r="KA224" s="359"/>
      <c r="KB224" s="1901"/>
      <c r="KC224" s="359"/>
      <c r="KD224" s="359"/>
      <c r="KE224" s="359"/>
      <c r="KF224" s="359"/>
      <c r="KG224" s="1901"/>
      <c r="KH224" s="359"/>
      <c r="KI224" s="359"/>
      <c r="KJ224" s="359"/>
      <c r="KK224" s="359"/>
      <c r="KL224" s="1901"/>
      <c r="KM224" s="1901"/>
      <c r="KN224" s="1901"/>
      <c r="KO224" s="1901"/>
      <c r="KP224" s="1901"/>
      <c r="KQ224" s="1901"/>
      <c r="KR224" s="1901"/>
      <c r="KS224" s="1901"/>
      <c r="KT224" s="1901"/>
      <c r="KU224" s="1901"/>
      <c r="KV224" s="1901"/>
      <c r="KW224" s="1901"/>
      <c r="KX224" s="1901"/>
      <c r="KY224" s="1901"/>
      <c r="KZ224" s="1901"/>
      <c r="LA224" s="1901"/>
      <c r="LB224" s="1901"/>
      <c r="LC224" s="1901"/>
      <c r="LD224" s="1901"/>
      <c r="LE224" s="1901"/>
      <c r="LF224" s="1901"/>
      <c r="LG224" s="1901"/>
      <c r="LH224" s="359"/>
      <c r="LI224" s="359"/>
      <c r="LJ224" s="359"/>
      <c r="LK224" s="359"/>
      <c r="LL224" s="359"/>
      <c r="LM224" s="359"/>
      <c r="LN224" s="1749"/>
      <c r="LO224" s="359"/>
      <c r="LP224" s="359"/>
      <c r="LQ224" s="359"/>
      <c r="LR224" s="359"/>
      <c r="LS224" s="359"/>
      <c r="LT224" s="359"/>
      <c r="LU224" s="359"/>
      <c r="LV224" s="359"/>
      <c r="LW224" s="359"/>
      <c r="LX224" s="359"/>
      <c r="LY224" s="359"/>
      <c r="LZ224" s="359"/>
      <c r="MA224" s="359"/>
      <c r="MB224" s="359"/>
      <c r="MC224" s="359"/>
      <c r="MD224" s="1749"/>
      <c r="ME224" s="1749"/>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2"/>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6" t="s">
        <v>4025</v>
      </c>
      <c r="F225" s="3144">
        <v>10500</v>
      </c>
      <c r="G225" s="3145"/>
      <c r="H225" s="1"/>
      <c r="I225" s="1"/>
      <c r="K225" s="1"/>
      <c r="L225" s="1"/>
      <c r="M225" s="1"/>
      <c r="N225" s="1"/>
      <c r="R225" s="671"/>
      <c r="S225" s="3087"/>
      <c r="T225" s="3088"/>
      <c r="U225" s="3088"/>
      <c r="V225" s="3088"/>
      <c r="W225" s="3089"/>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901"/>
      <c r="JX225" s="359"/>
      <c r="JY225" s="359"/>
      <c r="JZ225" s="359"/>
      <c r="KA225" s="359"/>
      <c r="KB225" s="1901"/>
      <c r="KC225" s="359"/>
      <c r="KD225" s="359"/>
      <c r="KE225" s="359"/>
      <c r="KF225" s="359"/>
      <c r="KG225" s="1901"/>
      <c r="KH225" s="359"/>
      <c r="KI225" s="359"/>
      <c r="KJ225" s="359"/>
      <c r="KK225" s="359"/>
      <c r="KL225" s="1901"/>
      <c r="KM225" s="1901"/>
      <c r="KN225" s="1901"/>
      <c r="KO225" s="1901"/>
      <c r="KP225" s="1901"/>
      <c r="KQ225" s="1901"/>
      <c r="KR225" s="1901"/>
      <c r="KS225" s="1901"/>
      <c r="KT225" s="1901"/>
      <c r="KU225" s="1901"/>
      <c r="KV225" s="1901"/>
      <c r="KW225" s="1901"/>
      <c r="KX225" s="1901"/>
      <c r="KY225" s="1901"/>
      <c r="KZ225" s="1901"/>
      <c r="LA225" s="1901"/>
      <c r="LB225" s="1901"/>
      <c r="LC225" s="1901"/>
      <c r="LD225" s="1901"/>
      <c r="LE225" s="1901"/>
      <c r="LF225" s="1901"/>
      <c r="LG225" s="1901"/>
      <c r="LH225" s="359"/>
      <c r="LI225" s="359"/>
      <c r="LJ225" s="359"/>
      <c r="LK225" s="359"/>
      <c r="LL225" s="359"/>
      <c r="LM225" s="359"/>
      <c r="LN225" s="1749"/>
      <c r="LO225" s="359"/>
      <c r="LP225" s="359"/>
      <c r="LQ225" s="359"/>
      <c r="LR225" s="359"/>
      <c r="LS225" s="359"/>
      <c r="LT225" s="359"/>
      <c r="LU225" s="359"/>
      <c r="LV225" s="359"/>
      <c r="LW225" s="359"/>
      <c r="LX225" s="359"/>
      <c r="LY225" s="359"/>
      <c r="LZ225" s="359"/>
      <c r="MA225" s="359"/>
      <c r="MB225" s="359"/>
      <c r="MC225" s="359"/>
      <c r="MD225" s="1749"/>
      <c r="ME225" s="1749"/>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2"/>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148" t="s">
        <v>6996</v>
      </c>
      <c r="C226" s="3149"/>
      <c r="D226" s="3149"/>
      <c r="E226" s="3150"/>
      <c r="F226" s="3116">
        <v>5000</v>
      </c>
      <c r="G226" s="3117"/>
      <c r="H226" s="1"/>
      <c r="I226" s="4" t="s">
        <v>1216</v>
      </c>
      <c r="K226" s="1"/>
      <c r="L226" s="1"/>
      <c r="M226" s="1"/>
      <c r="N226" s="1"/>
      <c r="R226" s="671"/>
      <c r="S226" s="3087"/>
      <c r="T226" s="3088"/>
      <c r="U226" s="3088"/>
      <c r="V226" s="3088"/>
      <c r="W226" s="3089"/>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901"/>
      <c r="JX226" s="359"/>
      <c r="JY226" s="359"/>
      <c r="JZ226" s="359"/>
      <c r="KA226" s="359"/>
      <c r="KB226" s="1901"/>
      <c r="KC226" s="359"/>
      <c r="KD226" s="359"/>
      <c r="KE226" s="359"/>
      <c r="KF226" s="359"/>
      <c r="KG226" s="1901"/>
      <c r="KH226" s="359"/>
      <c r="KI226" s="359"/>
      <c r="KJ226" s="359"/>
      <c r="KK226" s="359"/>
      <c r="KL226" s="1901"/>
      <c r="KM226" s="1901"/>
      <c r="KN226" s="1901"/>
      <c r="KO226" s="1901"/>
      <c r="KP226" s="1901"/>
      <c r="KQ226" s="1901"/>
      <c r="KR226" s="1901"/>
      <c r="KS226" s="1901"/>
      <c r="KT226" s="1901"/>
      <c r="KU226" s="1901"/>
      <c r="KV226" s="1901"/>
      <c r="KW226" s="1901"/>
      <c r="KX226" s="1901"/>
      <c r="KY226" s="1901"/>
      <c r="KZ226" s="1901"/>
      <c r="LA226" s="1901"/>
      <c r="LB226" s="1901"/>
      <c r="LC226" s="1901"/>
      <c r="LD226" s="1901"/>
      <c r="LE226" s="1901"/>
      <c r="LF226" s="1901"/>
      <c r="LG226" s="1901"/>
      <c r="LH226" s="359"/>
      <c r="LI226" s="359"/>
      <c r="LJ226" s="359"/>
      <c r="LK226" s="359"/>
      <c r="LL226" s="359"/>
      <c r="LM226" s="359"/>
      <c r="LN226" s="1749"/>
      <c r="LO226" s="359"/>
      <c r="LP226" s="359"/>
      <c r="LQ226" s="359"/>
      <c r="LR226" s="359"/>
      <c r="LS226" s="359"/>
      <c r="LT226" s="359"/>
      <c r="LU226" s="359"/>
      <c r="LV226" s="359"/>
      <c r="LW226" s="359"/>
      <c r="LX226" s="359"/>
      <c r="LY226" s="359"/>
      <c r="LZ226" s="359"/>
      <c r="MA226" s="359"/>
      <c r="MB226" s="359"/>
      <c r="MC226" s="359"/>
      <c r="MD226" s="1749"/>
      <c r="ME226" s="1749"/>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2"/>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134">
        <f>SUM(F221:G226)</f>
        <v>305440</v>
      </c>
      <c r="G227" s="3135"/>
      <c r="H227" s="1"/>
      <c r="I227" s="1" t="s">
        <v>1498</v>
      </c>
      <c r="K227" s="1"/>
      <c r="L227" s="3138">
        <v>5760</v>
      </c>
      <c r="M227" s="3139"/>
      <c r="N227" s="1"/>
      <c r="R227" s="1"/>
      <c r="S227" s="3087"/>
      <c r="T227" s="3088"/>
      <c r="U227" s="3088"/>
      <c r="V227" s="3088"/>
      <c r="W227" s="3089"/>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901"/>
      <c r="JX227" s="359"/>
      <c r="JY227" s="359"/>
      <c r="JZ227" s="359"/>
      <c r="KA227" s="359"/>
      <c r="KB227" s="1901"/>
      <c r="KC227" s="359"/>
      <c r="KD227" s="359"/>
      <c r="KE227" s="359"/>
      <c r="KF227" s="359"/>
      <c r="KG227" s="1901"/>
      <c r="KH227" s="359"/>
      <c r="KI227" s="359"/>
      <c r="KJ227" s="359"/>
      <c r="KK227" s="359"/>
      <c r="KL227" s="1901"/>
      <c r="KM227" s="1901"/>
      <c r="KN227" s="1901"/>
      <c r="KO227" s="1901"/>
      <c r="KP227" s="1901"/>
      <c r="KQ227" s="1901"/>
      <c r="KR227" s="1901"/>
      <c r="KS227" s="1901"/>
      <c r="KT227" s="1901"/>
      <c r="KU227" s="1901"/>
      <c r="KV227" s="1901"/>
      <c r="KW227" s="1901"/>
      <c r="KX227" s="1901"/>
      <c r="KY227" s="1901"/>
      <c r="KZ227" s="1901"/>
      <c r="LA227" s="1901"/>
      <c r="LB227" s="1901"/>
      <c r="LC227" s="1901"/>
      <c r="LD227" s="1901"/>
      <c r="LE227" s="1901"/>
      <c r="LF227" s="1901"/>
      <c r="LG227" s="1901"/>
      <c r="LH227" s="359"/>
      <c r="LI227" s="359"/>
      <c r="LJ227" s="359"/>
      <c r="LK227" s="359"/>
      <c r="LL227" s="359"/>
      <c r="LM227" s="359"/>
      <c r="LN227" s="1749"/>
      <c r="LO227" s="359"/>
      <c r="LP227" s="359"/>
      <c r="LQ227" s="359"/>
      <c r="LR227" s="359"/>
      <c r="LS227" s="359"/>
      <c r="LT227" s="359"/>
      <c r="LU227" s="359"/>
      <c r="LV227" s="359"/>
      <c r="LW227" s="359"/>
      <c r="LX227" s="359"/>
      <c r="LY227" s="359"/>
      <c r="LZ227" s="359"/>
      <c r="MA227" s="359"/>
      <c r="MB227" s="359"/>
      <c r="MC227" s="359"/>
      <c r="MD227" s="1749"/>
      <c r="ME227" s="1749"/>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2"/>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1900</v>
      </c>
      <c r="K228" s="1"/>
      <c r="L228" s="3142">
        <v>9000</v>
      </c>
      <c r="M228" s="3143"/>
      <c r="N228" s="3129" t="str">
        <f>IF(Q230="","",IF(Q228&lt;Q230, "WARNING! OE below required minimum.",""))</f>
        <v/>
      </c>
      <c r="O228" s="4" t="s">
        <v>2030</v>
      </c>
      <c r="P228" s="1"/>
      <c r="Q228" s="326">
        <f>F227+F236+F247+L223+L231+L241+L247+Q220</f>
        <v>864075</v>
      </c>
      <c r="R228" s="1"/>
      <c r="S228" s="3087"/>
      <c r="T228" s="3088"/>
      <c r="U228" s="3088"/>
      <c r="V228" s="3088"/>
      <c r="W228" s="3089"/>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901"/>
      <c r="JX228" s="359"/>
      <c r="JY228" s="359"/>
      <c r="JZ228" s="359"/>
      <c r="KA228" s="359"/>
      <c r="KB228" s="1901"/>
      <c r="KC228" s="359"/>
      <c r="KD228" s="359"/>
      <c r="KE228" s="359"/>
      <c r="KF228" s="359"/>
      <c r="KG228" s="1901"/>
      <c r="KH228" s="359"/>
      <c r="KI228" s="359"/>
      <c r="KJ228" s="359"/>
      <c r="KK228" s="359"/>
      <c r="KL228" s="1901"/>
      <c r="KM228" s="1901"/>
      <c r="KN228" s="1901"/>
      <c r="KO228" s="1901"/>
      <c r="KP228" s="1901"/>
      <c r="KQ228" s="1901"/>
      <c r="KR228" s="1901"/>
      <c r="KS228" s="1901"/>
      <c r="KT228" s="1901"/>
      <c r="KU228" s="1901"/>
      <c r="KV228" s="1901"/>
      <c r="KW228" s="1901"/>
      <c r="KX228" s="1901"/>
      <c r="KY228" s="1901"/>
      <c r="KZ228" s="1901"/>
      <c r="LA228" s="1901"/>
      <c r="LB228" s="1901"/>
      <c r="LC228" s="1901"/>
      <c r="LD228" s="1901"/>
      <c r="LE228" s="1901"/>
      <c r="LF228" s="1901"/>
      <c r="LG228" s="1901"/>
      <c r="LH228" s="359"/>
      <c r="LI228" s="359"/>
      <c r="LJ228" s="359"/>
      <c r="LK228" s="359"/>
      <c r="LL228" s="359"/>
      <c r="LM228" s="359"/>
      <c r="LN228" s="1749"/>
      <c r="LO228" s="359"/>
      <c r="LP228" s="359"/>
      <c r="LQ228" s="359"/>
      <c r="LR228" s="359"/>
      <c r="LS228" s="359"/>
      <c r="LT228" s="359"/>
      <c r="LU228" s="359"/>
      <c r="LV228" s="359"/>
      <c r="LW228" s="359"/>
      <c r="LX228" s="359"/>
      <c r="LY228" s="359"/>
      <c r="LZ228" s="359"/>
      <c r="MA228" s="359"/>
      <c r="MB228" s="359"/>
      <c r="MC228" s="359"/>
      <c r="MD228" s="1749"/>
      <c r="ME228" s="1749"/>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2"/>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1215</v>
      </c>
      <c r="C229" s="1"/>
      <c r="D229" s="7"/>
      <c r="E229" s="1"/>
      <c r="F229" s="1"/>
      <c r="G229" s="1"/>
      <c r="H229" s="1"/>
      <c r="I229" s="1" t="s">
        <v>1499</v>
      </c>
      <c r="K229" s="1"/>
      <c r="L229" s="3142">
        <v>3600</v>
      </c>
      <c r="M229" s="3143"/>
      <c r="N229" s="3129"/>
      <c r="O229" s="42" t="s">
        <v>2489</v>
      </c>
      <c r="P229" s="319">
        <f>+Q228/P67</f>
        <v>7200.625</v>
      </c>
      <c r="R229" s="672"/>
      <c r="S229" s="3087"/>
      <c r="T229" s="3088"/>
      <c r="U229" s="3088"/>
      <c r="V229" s="3088"/>
      <c r="W229" s="3089"/>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901"/>
      <c r="JX229" s="359"/>
      <c r="JY229" s="359"/>
      <c r="JZ229" s="359"/>
      <c r="KA229" s="359"/>
      <c r="KB229" s="1901"/>
      <c r="KC229" s="359"/>
      <c r="KD229" s="359"/>
      <c r="KE229" s="359"/>
      <c r="KF229" s="359"/>
      <c r="KG229" s="1901"/>
      <c r="KH229" s="359"/>
      <c r="KI229" s="359"/>
      <c r="KJ229" s="359"/>
      <c r="KK229" s="359"/>
      <c r="KL229" s="1901"/>
      <c r="KM229" s="1901"/>
      <c r="KN229" s="1901"/>
      <c r="KO229" s="1901"/>
      <c r="KP229" s="1901"/>
      <c r="KQ229" s="1901"/>
      <c r="KR229" s="1901"/>
      <c r="KS229" s="1901"/>
      <c r="KT229" s="1901"/>
      <c r="KU229" s="1901"/>
      <c r="KV229" s="1901"/>
      <c r="KW229" s="1901"/>
      <c r="KX229" s="1901"/>
      <c r="KY229" s="1901"/>
      <c r="KZ229" s="1901"/>
      <c r="LA229" s="1901"/>
      <c r="LB229" s="1901"/>
      <c r="LC229" s="1901"/>
      <c r="LD229" s="1901"/>
      <c r="LE229" s="1901"/>
      <c r="LF229" s="1901"/>
      <c r="LG229" s="1901"/>
      <c r="LH229" s="359"/>
      <c r="LI229" s="359"/>
      <c r="LJ229" s="359"/>
      <c r="LK229" s="359"/>
      <c r="LL229" s="359"/>
      <c r="LM229" s="359"/>
      <c r="LN229" s="1749"/>
      <c r="LO229" s="359"/>
      <c r="LP229" s="359"/>
      <c r="LQ229" s="359"/>
      <c r="LR229" s="359"/>
      <c r="LS229" s="359"/>
      <c r="LT229" s="359"/>
      <c r="LU229" s="359"/>
      <c r="LV229" s="359"/>
      <c r="LW229" s="359"/>
      <c r="LX229" s="359"/>
      <c r="LY229" s="359"/>
      <c r="LZ229" s="359"/>
      <c r="MA229" s="359"/>
      <c r="MB229" s="359"/>
      <c r="MC229" s="359"/>
      <c r="MD229" s="1749"/>
      <c r="ME229" s="1749"/>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2" t="s">
        <v>6454</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1295</v>
      </c>
      <c r="C230" s="1"/>
      <c r="D230" s="7"/>
      <c r="E230" s="1"/>
      <c r="F230" s="3121">
        <v>9960</v>
      </c>
      <c r="G230" s="3122"/>
      <c r="H230" s="1"/>
      <c r="I230" s="3152" t="s">
        <v>46</v>
      </c>
      <c r="J230" s="3153"/>
      <c r="K230" s="3154"/>
      <c r="L230" s="3146"/>
      <c r="M230" s="3147"/>
      <c r="N230" s="3129"/>
      <c r="P230" s="758" t="s">
        <v>3227</v>
      </c>
      <c r="Q230" s="75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540000</v>
      </c>
      <c r="R230" s="1"/>
      <c r="S230" s="3087"/>
      <c r="T230" s="3088"/>
      <c r="U230" s="3088"/>
      <c r="V230" s="3088"/>
      <c r="W230" s="3089"/>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901"/>
      <c r="JX230" s="359"/>
      <c r="JY230" s="359"/>
      <c r="JZ230" s="359"/>
      <c r="KA230" s="359"/>
      <c r="KB230" s="1901"/>
      <c r="KC230" s="359"/>
      <c r="KD230" s="359"/>
      <c r="KE230" s="359"/>
      <c r="KF230" s="359"/>
      <c r="KG230" s="1901"/>
      <c r="KH230" s="359"/>
      <c r="KI230" s="359"/>
      <c r="KJ230" s="359"/>
      <c r="KK230" s="359"/>
      <c r="KL230" s="1901"/>
      <c r="KM230" s="1901"/>
      <c r="KN230" s="1901"/>
      <c r="KO230" s="1901"/>
      <c r="KP230" s="1901"/>
      <c r="KQ230" s="1901"/>
      <c r="KR230" s="1901"/>
      <c r="KS230" s="1901"/>
      <c r="KT230" s="1901"/>
      <c r="KU230" s="1901"/>
      <c r="KV230" s="1901"/>
      <c r="KW230" s="1901"/>
      <c r="KX230" s="1901"/>
      <c r="KY230" s="1901"/>
      <c r="KZ230" s="1901"/>
      <c r="LA230" s="1901"/>
      <c r="LB230" s="1901"/>
      <c r="LC230" s="1901"/>
      <c r="LD230" s="1901"/>
      <c r="LE230" s="1901"/>
      <c r="LF230" s="1901"/>
      <c r="LG230" s="1901"/>
      <c r="LH230" s="359"/>
      <c r="LI230" s="359"/>
      <c r="LJ230" s="359"/>
      <c r="LK230" s="359"/>
      <c r="LL230" s="359"/>
      <c r="LM230" s="359"/>
      <c r="LN230" s="1749"/>
      <c r="LO230" s="359"/>
      <c r="LP230" s="359"/>
      <c r="LQ230" s="359"/>
      <c r="LR230" s="359"/>
      <c r="LS230" s="359"/>
      <c r="LT230" s="359"/>
      <c r="LU230" s="359"/>
      <c r="LV230" s="359"/>
      <c r="LW230" s="359"/>
      <c r="LX230" s="359"/>
      <c r="LY230" s="359"/>
      <c r="LZ230" s="359"/>
      <c r="MA230" s="359"/>
      <c r="MB230" s="359"/>
      <c r="MC230" s="359"/>
      <c r="MD230" s="1749"/>
      <c r="ME230" s="1749"/>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2"/>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1296</v>
      </c>
      <c r="C231" s="1"/>
      <c r="D231" s="7"/>
      <c r="E231" s="1"/>
      <c r="F231" s="3144">
        <v>8160</v>
      </c>
      <c r="G231" s="3145"/>
      <c r="H231" s="1"/>
      <c r="I231" s="4"/>
      <c r="K231" s="8" t="s">
        <v>184</v>
      </c>
      <c r="L231" s="3125">
        <f>SUM(L227:L230)</f>
        <v>18360</v>
      </c>
      <c r="M231" s="3151"/>
      <c r="N231" s="3129"/>
      <c r="O231" s="3124" t="s">
        <v>6728</v>
      </c>
      <c r="P231" s="3124"/>
      <c r="Q231" s="3124"/>
      <c r="R231" s="1"/>
      <c r="S231" s="3087"/>
      <c r="T231" s="3088"/>
      <c r="U231" s="3088"/>
      <c r="V231" s="3088"/>
      <c r="W231" s="3089"/>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901"/>
      <c r="JX231" s="359"/>
      <c r="JY231" s="359"/>
      <c r="JZ231" s="359"/>
      <c r="KA231" s="359"/>
      <c r="KB231" s="1901"/>
      <c r="KC231" s="359"/>
      <c r="KD231" s="359"/>
      <c r="KE231" s="359"/>
      <c r="KF231" s="359"/>
      <c r="KG231" s="1901"/>
      <c r="KH231" s="359"/>
      <c r="KI231" s="359"/>
      <c r="KJ231" s="359"/>
      <c r="KK231" s="359"/>
      <c r="KL231" s="1901"/>
      <c r="KM231" s="1901"/>
      <c r="KN231" s="1901"/>
      <c r="KO231" s="1901"/>
      <c r="KP231" s="1901"/>
      <c r="KQ231" s="1901"/>
      <c r="KR231" s="1901"/>
      <c r="KS231" s="1901"/>
      <c r="KT231" s="1901"/>
      <c r="KU231" s="1901"/>
      <c r="KV231" s="1901"/>
      <c r="KW231" s="1901"/>
      <c r="KX231" s="1901"/>
      <c r="KY231" s="1901"/>
      <c r="KZ231" s="1901"/>
      <c r="LA231" s="1901"/>
      <c r="LB231" s="1901"/>
      <c r="LC231" s="1901"/>
      <c r="LD231" s="1901"/>
      <c r="LE231" s="1901"/>
      <c r="LF231" s="1901"/>
      <c r="LG231" s="1901"/>
      <c r="LH231" s="359"/>
      <c r="LI231" s="359"/>
      <c r="LJ231" s="359"/>
      <c r="LK231" s="359"/>
      <c r="LL231" s="359"/>
      <c r="LM231" s="359"/>
      <c r="LN231" s="1749"/>
      <c r="LO231" s="359"/>
      <c r="LP231" s="359"/>
      <c r="LQ231" s="359"/>
      <c r="LR231" s="359"/>
      <c r="LS231" s="359"/>
      <c r="LT231" s="359"/>
      <c r="LU231" s="359"/>
      <c r="LV231" s="359"/>
      <c r="LW231" s="359"/>
      <c r="LX231" s="359"/>
      <c r="LY231" s="359"/>
      <c r="LZ231" s="359"/>
      <c r="MA231" s="359"/>
      <c r="MB231" s="359"/>
      <c r="MC231" s="359"/>
      <c r="MD231" s="1749"/>
      <c r="ME231" s="1749"/>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2"/>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1297</v>
      </c>
      <c r="C232" s="1"/>
      <c r="D232" s="7"/>
      <c r="E232" s="1"/>
      <c r="F232" s="3144">
        <v>3600</v>
      </c>
      <c r="G232" s="3145"/>
      <c r="H232" s="1"/>
      <c r="N232" s="1"/>
      <c r="O232" s="3124"/>
      <c r="P232" s="3124"/>
      <c r="Q232" s="3124"/>
      <c r="R232" s="891"/>
      <c r="S232" s="3087"/>
      <c r="T232" s="3088"/>
      <c r="U232" s="3088"/>
      <c r="V232" s="3088"/>
      <c r="W232" s="3089"/>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901"/>
      <c r="JX232" s="359"/>
      <c r="JY232" s="359"/>
      <c r="JZ232" s="359"/>
      <c r="KA232" s="359"/>
      <c r="KB232" s="1901"/>
      <c r="KC232" s="359"/>
      <c r="KD232" s="359"/>
      <c r="KE232" s="359"/>
      <c r="KF232" s="359"/>
      <c r="KG232" s="1901"/>
      <c r="KH232" s="359"/>
      <c r="KI232" s="359"/>
      <c r="KJ232" s="359"/>
      <c r="KK232" s="359"/>
      <c r="KL232" s="1901"/>
      <c r="KM232" s="1901"/>
      <c r="KN232" s="1901"/>
      <c r="KO232" s="1901"/>
      <c r="KP232" s="1901"/>
      <c r="KQ232" s="1901"/>
      <c r="KR232" s="1901"/>
      <c r="KS232" s="1901"/>
      <c r="KT232" s="1901"/>
      <c r="KU232" s="1901"/>
      <c r="KV232" s="1901"/>
      <c r="KW232" s="1901"/>
      <c r="KX232" s="1901"/>
      <c r="KY232" s="1901"/>
      <c r="KZ232" s="1901"/>
      <c r="LA232" s="1901"/>
      <c r="LB232" s="1901"/>
      <c r="LC232" s="1901"/>
      <c r="LD232" s="1901"/>
      <c r="LE232" s="1901"/>
      <c r="LF232" s="1901"/>
      <c r="LG232" s="1901"/>
      <c r="LH232" s="359"/>
      <c r="LI232" s="359"/>
      <c r="LJ232" s="359"/>
      <c r="LK232" s="359"/>
      <c r="LL232" s="359"/>
      <c r="LM232" s="359"/>
      <c r="LN232" s="1749"/>
      <c r="LO232" s="359"/>
      <c r="LP232" s="359"/>
      <c r="LQ232" s="359"/>
      <c r="LR232" s="359"/>
      <c r="LS232" s="359"/>
      <c r="LT232" s="359"/>
      <c r="LU232" s="359"/>
      <c r="LV232" s="359"/>
      <c r="LW232" s="359"/>
      <c r="LX232" s="359"/>
      <c r="LY232" s="359"/>
      <c r="LZ232" s="359"/>
      <c r="MA232" s="359"/>
      <c r="MB232" s="359"/>
      <c r="MC232" s="359"/>
      <c r="MD232" s="1749"/>
      <c r="ME232" s="1749"/>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2"/>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2162</v>
      </c>
      <c r="C233" s="1"/>
      <c r="D233" s="7"/>
      <c r="E233" s="1"/>
      <c r="F233" s="3144">
        <v>19200</v>
      </c>
      <c r="G233" s="3145"/>
      <c r="H233" s="1"/>
      <c r="L233" s="1"/>
      <c r="M233" s="1"/>
      <c r="N233" s="1"/>
      <c r="R233" s="891"/>
      <c r="S233" s="3087"/>
      <c r="T233" s="3088"/>
      <c r="U233" s="3088"/>
      <c r="V233" s="3088"/>
      <c r="W233" s="3089"/>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901"/>
      <c r="JX233" s="359"/>
      <c r="JY233" s="359"/>
      <c r="JZ233" s="359"/>
      <c r="KA233" s="359"/>
      <c r="KB233" s="1901"/>
      <c r="KC233" s="359"/>
      <c r="KD233" s="359"/>
      <c r="KE233" s="359"/>
      <c r="KF233" s="359"/>
      <c r="KG233" s="1901"/>
      <c r="KH233" s="359"/>
      <c r="KI233" s="359"/>
      <c r="KJ233" s="359"/>
      <c r="KK233" s="359"/>
      <c r="KL233" s="1901"/>
      <c r="KM233" s="1901"/>
      <c r="KN233" s="1901"/>
      <c r="KO233" s="1901"/>
      <c r="KP233" s="1901"/>
      <c r="KQ233" s="1901"/>
      <c r="KR233" s="1901"/>
      <c r="KS233" s="1901"/>
      <c r="KT233" s="1901"/>
      <c r="KU233" s="1901"/>
      <c r="KV233" s="1901"/>
      <c r="KW233" s="1901"/>
      <c r="KX233" s="1901"/>
      <c r="KY233" s="1901"/>
      <c r="KZ233" s="1901"/>
      <c r="LA233" s="1901"/>
      <c r="LB233" s="1901"/>
      <c r="LC233" s="1901"/>
      <c r="LD233" s="1901"/>
      <c r="LE233" s="1901"/>
      <c r="LF233" s="1901"/>
      <c r="LG233" s="1901"/>
      <c r="LH233" s="359"/>
      <c r="LI233" s="359"/>
      <c r="LJ233" s="359"/>
      <c r="LK233" s="359"/>
      <c r="LL233" s="359"/>
      <c r="LM233" s="359"/>
      <c r="LN233" s="1749"/>
      <c r="LO233" s="359"/>
      <c r="LP233" s="359"/>
      <c r="LQ233" s="359"/>
      <c r="LR233" s="359"/>
      <c r="LS233" s="359"/>
      <c r="LT233" s="359"/>
      <c r="LU233" s="359"/>
      <c r="LV233" s="359"/>
      <c r="LW233" s="359"/>
      <c r="LX233" s="359"/>
      <c r="LY233" s="359"/>
      <c r="LZ233" s="359"/>
      <c r="MA233" s="359"/>
      <c r="MB233" s="359"/>
      <c r="MC233" s="359"/>
      <c r="MD233" s="1749"/>
      <c r="ME233" s="1749"/>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2" t="s">
        <v>6455</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1496</v>
      </c>
      <c r="C234" s="1"/>
      <c r="D234" s="7"/>
      <c r="E234" s="1"/>
      <c r="F234" s="3144">
        <v>10200</v>
      </c>
      <c r="G234" s="3145"/>
      <c r="H234" s="1"/>
      <c r="I234" s="4" t="s">
        <v>1298</v>
      </c>
      <c r="K234" s="248" t="s">
        <v>3889</v>
      </c>
      <c r="O234" s="1314" t="s">
        <v>3089</v>
      </c>
      <c r="P234" s="4"/>
      <c r="Q234" s="919">
        <f>Q243</f>
        <v>30000</v>
      </c>
      <c r="S234" s="3087"/>
      <c r="T234" s="3088"/>
      <c r="U234" s="3088"/>
      <c r="V234" s="3088"/>
      <c r="W234" s="3089"/>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901"/>
      <c r="JX234" s="359"/>
      <c r="JY234" s="359"/>
      <c r="JZ234" s="359"/>
      <c r="KA234" s="359"/>
      <c r="KB234" s="1901"/>
      <c r="KC234" s="359"/>
      <c r="KD234" s="359"/>
      <c r="KE234" s="359"/>
      <c r="KF234" s="359"/>
      <c r="KG234" s="1901"/>
      <c r="KH234" s="359"/>
      <c r="KI234" s="359"/>
      <c r="KJ234" s="359"/>
      <c r="KK234" s="359"/>
      <c r="KL234" s="1901"/>
      <c r="KM234" s="1901"/>
      <c r="KN234" s="1901"/>
      <c r="KO234" s="1901"/>
      <c r="KP234" s="1901"/>
      <c r="KQ234" s="1901"/>
      <c r="KR234" s="1901"/>
      <c r="KS234" s="1901"/>
      <c r="KT234" s="1901"/>
      <c r="KU234" s="1901"/>
      <c r="KV234" s="1901"/>
      <c r="KW234" s="1901"/>
      <c r="KX234" s="1901"/>
      <c r="KY234" s="1901"/>
      <c r="KZ234" s="1901"/>
      <c r="LA234" s="1901"/>
      <c r="LB234" s="1901"/>
      <c r="LC234" s="1901"/>
      <c r="LD234" s="1901"/>
      <c r="LE234" s="1901"/>
      <c r="LF234" s="1901"/>
      <c r="LG234" s="1901"/>
      <c r="LH234" s="359"/>
      <c r="LI234" s="359"/>
      <c r="LJ234" s="359"/>
      <c r="LK234" s="359"/>
      <c r="LL234" s="359"/>
      <c r="LM234" s="359"/>
      <c r="LN234" s="1749"/>
      <c r="LO234" s="359"/>
      <c r="LP234" s="359"/>
      <c r="LQ234" s="359"/>
      <c r="LR234" s="359"/>
      <c r="LS234" s="359"/>
      <c r="LT234" s="359"/>
      <c r="LU234" s="359"/>
      <c r="LV234" s="359"/>
      <c r="LW234" s="359"/>
      <c r="LX234" s="359"/>
      <c r="LY234" s="359"/>
      <c r="LZ234" s="359"/>
      <c r="MA234" s="359"/>
      <c r="MB234" s="359"/>
      <c r="MC234" s="359"/>
      <c r="MD234" s="1749"/>
      <c r="ME234" s="1749"/>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2"/>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148" t="s">
        <v>46</v>
      </c>
      <c r="C235" s="3149"/>
      <c r="D235" s="3149"/>
      <c r="E235" s="3150"/>
      <c r="F235" s="3116"/>
      <c r="G235" s="3117"/>
      <c r="H235" s="1"/>
      <c r="I235" s="1" t="s">
        <v>1291</v>
      </c>
      <c r="K235" s="365">
        <f>L235/12/P67</f>
        <v>16.5</v>
      </c>
      <c r="L235" s="3138">
        <v>23760</v>
      </c>
      <c r="M235" s="3139"/>
      <c r="N235" s="3129" t="str">
        <f>IF(Q234&lt;Q243, "WARNING! RR proposed is below the DCA required minimum.","")</f>
        <v/>
      </c>
      <c r="O235" s="772" t="s">
        <v>3888</v>
      </c>
      <c r="P235" s="767"/>
      <c r="Q235" s="773">
        <f>Q234/P243</f>
        <v>250</v>
      </c>
      <c r="R235" s="671"/>
      <c r="S235" s="3087"/>
      <c r="T235" s="3088"/>
      <c r="U235" s="3088"/>
      <c r="V235" s="3088"/>
      <c r="W235" s="3089"/>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901"/>
      <c r="JX235" s="359"/>
      <c r="JY235" s="359"/>
      <c r="JZ235" s="359"/>
      <c r="KA235" s="359"/>
      <c r="KB235" s="1901"/>
      <c r="KC235" s="359"/>
      <c r="KD235" s="359"/>
      <c r="KE235" s="359"/>
      <c r="KF235" s="359"/>
      <c r="KG235" s="1901"/>
      <c r="KH235" s="359"/>
      <c r="KI235" s="359"/>
      <c r="KJ235" s="359"/>
      <c r="KK235" s="359"/>
      <c r="KL235" s="1901"/>
      <c r="KM235" s="1901"/>
      <c r="KN235" s="1901"/>
      <c r="KO235" s="1901"/>
      <c r="KP235" s="1901"/>
      <c r="KQ235" s="1901"/>
      <c r="KR235" s="1901"/>
      <c r="KS235" s="1901"/>
      <c r="KT235" s="1901"/>
      <c r="KU235" s="1901"/>
      <c r="KV235" s="1901"/>
      <c r="KW235" s="1901"/>
      <c r="KX235" s="1901"/>
      <c r="KY235" s="1901"/>
      <c r="KZ235" s="1901"/>
      <c r="LA235" s="1901"/>
      <c r="LB235" s="1901"/>
      <c r="LC235" s="1901"/>
      <c r="LD235" s="1901"/>
      <c r="LE235" s="1901"/>
      <c r="LF235" s="1901"/>
      <c r="LG235" s="1901"/>
      <c r="LH235" s="359"/>
      <c r="LI235" s="359"/>
      <c r="LJ235" s="359"/>
      <c r="LK235" s="359"/>
      <c r="LL235" s="359"/>
      <c r="LM235" s="359"/>
      <c r="LN235" s="1749"/>
      <c r="LO235" s="359"/>
      <c r="LP235" s="359"/>
      <c r="LQ235" s="359"/>
      <c r="LR235" s="359"/>
      <c r="LS235" s="359"/>
      <c r="LT235" s="359"/>
      <c r="LU235" s="359"/>
      <c r="LV235" s="359"/>
      <c r="LW235" s="359"/>
      <c r="LX235" s="359"/>
      <c r="LY235" s="359"/>
      <c r="LZ235" s="359"/>
      <c r="MA235" s="359"/>
      <c r="MB235" s="359"/>
      <c r="MC235" s="359"/>
      <c r="MD235" s="1749"/>
      <c r="ME235" s="1749"/>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2"/>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134">
        <f>SUM(F230:G235)</f>
        <v>51120</v>
      </c>
      <c r="G236" s="3135"/>
      <c r="H236" s="1"/>
      <c r="I236" s="1" t="s">
        <v>1292</v>
      </c>
      <c r="K236" s="365">
        <f>L236/12/P67</f>
        <v>0</v>
      </c>
      <c r="L236" s="3142"/>
      <c r="M236" s="3143"/>
      <c r="N236" s="3130"/>
      <c r="O236" s="3131" t="s">
        <v>3233</v>
      </c>
      <c r="P236" s="3132"/>
      <c r="Q236" s="3133"/>
      <c r="S236" s="3087"/>
      <c r="T236" s="3088"/>
      <c r="U236" s="3088"/>
      <c r="V236" s="3088"/>
      <c r="W236" s="3089"/>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901"/>
      <c r="JX236" s="359"/>
      <c r="JY236" s="359"/>
      <c r="JZ236" s="359"/>
      <c r="KA236" s="359"/>
      <c r="KB236" s="1901"/>
      <c r="KC236" s="359"/>
      <c r="KD236" s="359"/>
      <c r="KE236" s="359"/>
      <c r="KF236" s="359"/>
      <c r="KG236" s="1901"/>
      <c r="KH236" s="359"/>
      <c r="KI236" s="359"/>
      <c r="KJ236" s="359"/>
      <c r="KK236" s="359"/>
      <c r="KL236" s="1901"/>
      <c r="KM236" s="1901"/>
      <c r="KN236" s="1901"/>
      <c r="KO236" s="1901"/>
      <c r="KP236" s="1901"/>
      <c r="KQ236" s="1901"/>
      <c r="KR236" s="1901"/>
      <c r="KS236" s="1901"/>
      <c r="KT236" s="1901"/>
      <c r="KU236" s="1901"/>
      <c r="KV236" s="1901"/>
      <c r="KW236" s="1901"/>
      <c r="KX236" s="1901"/>
      <c r="KY236" s="1901"/>
      <c r="KZ236" s="1901"/>
      <c r="LA236" s="1901"/>
      <c r="LB236" s="1901"/>
      <c r="LC236" s="1901"/>
      <c r="LD236" s="1901"/>
      <c r="LE236" s="1901"/>
      <c r="LF236" s="1901"/>
      <c r="LG236" s="1901"/>
      <c r="LH236" s="359"/>
      <c r="LI236" s="359"/>
      <c r="LJ236" s="359"/>
      <c r="LK236" s="359"/>
      <c r="LL236" s="359"/>
      <c r="LM236" s="359"/>
      <c r="LN236" s="1749"/>
      <c r="LO236" s="359"/>
      <c r="LP236" s="359"/>
      <c r="LQ236" s="359"/>
      <c r="LR236" s="359"/>
      <c r="LS236" s="359"/>
      <c r="LT236" s="359"/>
      <c r="LU236" s="359"/>
      <c r="LV236" s="359"/>
      <c r="LW236" s="359"/>
      <c r="LX236" s="359"/>
      <c r="LY236" s="359"/>
      <c r="LZ236" s="359"/>
      <c r="MA236" s="359"/>
      <c r="MB236" s="359"/>
      <c r="MC236" s="359"/>
      <c r="MD236" s="1749"/>
      <c r="ME236" s="1749"/>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2"/>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3934</v>
      </c>
      <c r="K237" s="365">
        <f>L237/12/P67</f>
        <v>55.416666666666664</v>
      </c>
      <c r="L237" s="3142">
        <v>79800</v>
      </c>
      <c r="M237" s="3143"/>
      <c r="N237" s="3130"/>
      <c r="O237" s="766" t="s">
        <v>2466</v>
      </c>
      <c r="P237" s="669" t="s">
        <v>3287</v>
      </c>
      <c r="Q237" s="768" t="s">
        <v>3057</v>
      </c>
      <c r="R237" s="1"/>
      <c r="S237" s="3087"/>
      <c r="T237" s="3088"/>
      <c r="U237" s="3088"/>
      <c r="V237" s="3088"/>
      <c r="W237" s="3089"/>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901"/>
      <c r="JX237" s="359"/>
      <c r="JY237" s="359"/>
      <c r="JZ237" s="359"/>
      <c r="KA237" s="359"/>
      <c r="KB237" s="1901"/>
      <c r="KC237" s="359"/>
      <c r="KD237" s="359"/>
      <c r="KE237" s="359"/>
      <c r="KF237" s="359"/>
      <c r="KG237" s="1901"/>
      <c r="KH237" s="359"/>
      <c r="KI237" s="359"/>
      <c r="KJ237" s="359"/>
      <c r="KK237" s="359"/>
      <c r="KL237" s="1901"/>
      <c r="KM237" s="1901"/>
      <c r="KN237" s="1901"/>
      <c r="KO237" s="1901"/>
      <c r="KP237" s="1901"/>
      <c r="KQ237" s="1901"/>
      <c r="KR237" s="1901"/>
      <c r="KS237" s="1901"/>
      <c r="KT237" s="1901"/>
      <c r="KU237" s="1901"/>
      <c r="KV237" s="1901"/>
      <c r="KW237" s="1901"/>
      <c r="KX237" s="1901"/>
      <c r="KY237" s="1901"/>
      <c r="KZ237" s="1901"/>
      <c r="LA237" s="1901"/>
      <c r="LB237" s="1901"/>
      <c r="LC237" s="1901"/>
      <c r="LD237" s="1901"/>
      <c r="LE237" s="1901"/>
      <c r="LF237" s="1901"/>
      <c r="LG237" s="1901"/>
      <c r="LH237" s="359"/>
      <c r="LI237" s="359"/>
      <c r="LJ237" s="359"/>
      <c r="LK237" s="359"/>
      <c r="LL237" s="359"/>
      <c r="LM237" s="359"/>
      <c r="LN237" s="1749"/>
      <c r="LO237" s="359"/>
      <c r="LP237" s="359"/>
      <c r="LQ237" s="359"/>
      <c r="LR237" s="359"/>
      <c r="LS237" s="359"/>
      <c r="LT237" s="359"/>
      <c r="LU237" s="359"/>
      <c r="LV237" s="359"/>
      <c r="LW237" s="359"/>
      <c r="LX237" s="359"/>
      <c r="LY237" s="359"/>
      <c r="LZ237" s="359"/>
      <c r="MA237" s="359"/>
      <c r="MB237" s="359"/>
      <c r="MC237" s="359"/>
      <c r="MD237" s="1749"/>
      <c r="ME237" s="1749"/>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2" t="s">
        <v>6388</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1217</v>
      </c>
      <c r="C238" s="1"/>
      <c r="D238" s="7"/>
      <c r="E238" s="1"/>
      <c r="F238" s="1"/>
      <c r="G238" s="1"/>
      <c r="H238" s="1"/>
      <c r="I238" s="1" t="s">
        <v>1294</v>
      </c>
      <c r="K238" s="365">
        <f>L238/12/P67</f>
        <v>8.25</v>
      </c>
      <c r="L238" s="3142">
        <v>11880</v>
      </c>
      <c r="M238" s="3143"/>
      <c r="N238" s="3130"/>
      <c r="O238" s="499" t="s">
        <v>36</v>
      </c>
      <c r="Q238" s="500"/>
      <c r="R238" s="672"/>
      <c r="S238" s="3087"/>
      <c r="T238" s="3088"/>
      <c r="U238" s="3088"/>
      <c r="V238" s="3088"/>
      <c r="W238" s="3089"/>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901"/>
      <c r="JX238" s="359"/>
      <c r="JY238" s="359"/>
      <c r="JZ238" s="359"/>
      <c r="KA238" s="359"/>
      <c r="KB238" s="1901"/>
      <c r="KC238" s="359"/>
      <c r="KD238" s="359"/>
      <c r="KE238" s="359"/>
      <c r="KF238" s="359"/>
      <c r="KG238" s="1901"/>
      <c r="KH238" s="359"/>
      <c r="KI238" s="359"/>
      <c r="KJ238" s="359"/>
      <c r="KK238" s="359"/>
      <c r="KL238" s="1901"/>
      <c r="KM238" s="1901"/>
      <c r="KN238" s="1901"/>
      <c r="KO238" s="1901"/>
      <c r="KP238" s="1901"/>
      <c r="KQ238" s="1901"/>
      <c r="KR238" s="1901"/>
      <c r="KS238" s="1901"/>
      <c r="KT238" s="1901"/>
      <c r="KU238" s="1901"/>
      <c r="KV238" s="1901"/>
      <c r="KW238" s="1901"/>
      <c r="KX238" s="1901"/>
      <c r="KY238" s="1901"/>
      <c r="KZ238" s="1901"/>
      <c r="LA238" s="1901"/>
      <c r="LB238" s="1901"/>
      <c r="LC238" s="1901"/>
      <c r="LD238" s="1901"/>
      <c r="LE238" s="1901"/>
      <c r="LF238" s="1901"/>
      <c r="LG238" s="1901"/>
      <c r="LH238" s="359"/>
      <c r="LI238" s="359"/>
      <c r="LJ238" s="359"/>
      <c r="LK238" s="359"/>
      <c r="LL238" s="359"/>
      <c r="LM238" s="359"/>
      <c r="LN238" s="1749"/>
      <c r="LO238" s="359"/>
      <c r="LP238" s="359"/>
      <c r="LQ238" s="359"/>
      <c r="LR238" s="359"/>
      <c r="LS238" s="359"/>
      <c r="LT238" s="359"/>
      <c r="LU238" s="359"/>
      <c r="LV238" s="359"/>
      <c r="LW238" s="359"/>
      <c r="LX238" s="359"/>
      <c r="LY238" s="359"/>
      <c r="LZ238" s="359"/>
      <c r="MA238" s="359"/>
      <c r="MB238" s="359"/>
      <c r="MC238" s="359"/>
      <c r="MD238" s="1749"/>
      <c r="ME238" s="1749"/>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2"/>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1500</v>
      </c>
      <c r="C239" s="1"/>
      <c r="D239" s="7"/>
      <c r="E239" s="1"/>
      <c r="F239" s="3136">
        <v>15000</v>
      </c>
      <c r="G239" s="3137"/>
      <c r="H239" s="1"/>
      <c r="I239" s="72" t="s">
        <v>6689</v>
      </c>
      <c r="K239" s="365">
        <f>L239/12/P67</f>
        <v>2.3333333333333335</v>
      </c>
      <c r="L239" s="3142">
        <v>3360</v>
      </c>
      <c r="M239" s="3143"/>
      <c r="N239" s="3130"/>
      <c r="O239" s="387" t="s">
        <v>3055</v>
      </c>
      <c r="P239" s="673" t="str">
        <f>CONCATENATE(SUM(MF49:MJ49)," units x $",'DCA Underwriting Assumptions'!$Q$28," =")</f>
        <v>0 units x $350 =</v>
      </c>
      <c r="Q239" s="501">
        <f>SUM(MF49:MJ49)*'DCA Underwriting Assumptions'!$Q$28</f>
        <v>0</v>
      </c>
      <c r="R239" s="675"/>
      <c r="S239" s="3087"/>
      <c r="T239" s="3088"/>
      <c r="U239" s="3088"/>
      <c r="V239" s="3088"/>
      <c r="W239" s="3089"/>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901"/>
      <c r="JX239" s="359"/>
      <c r="JY239" s="359"/>
      <c r="JZ239" s="359"/>
      <c r="KA239" s="359"/>
      <c r="KB239" s="1901"/>
      <c r="KC239" s="359"/>
      <c r="KD239" s="359"/>
      <c r="KE239" s="359"/>
      <c r="KF239" s="359"/>
      <c r="KG239" s="1901"/>
      <c r="KH239" s="359"/>
      <c r="KI239" s="359"/>
      <c r="KJ239" s="359"/>
      <c r="KK239" s="359"/>
      <c r="KL239" s="1901"/>
      <c r="KM239" s="1901"/>
      <c r="KN239" s="1901"/>
      <c r="KO239" s="1901"/>
      <c r="KP239" s="1901"/>
      <c r="KQ239" s="1901"/>
      <c r="KR239" s="1901"/>
      <c r="KS239" s="1901"/>
      <c r="KT239" s="1901"/>
      <c r="KU239" s="1901"/>
      <c r="KV239" s="1901"/>
      <c r="KW239" s="1901"/>
      <c r="KX239" s="1901"/>
      <c r="KY239" s="1901"/>
      <c r="KZ239" s="1901"/>
      <c r="LA239" s="1901"/>
      <c r="LB239" s="1901"/>
      <c r="LC239" s="1901"/>
      <c r="LD239" s="1901"/>
      <c r="LE239" s="1901"/>
      <c r="LF239" s="1901"/>
      <c r="LG239" s="1901"/>
      <c r="LH239" s="359"/>
      <c r="LI239" s="359"/>
      <c r="LJ239" s="359"/>
      <c r="LK239" s="359"/>
      <c r="LL239" s="359"/>
      <c r="LM239" s="359"/>
      <c r="LN239" s="1749"/>
      <c r="LO239" s="359"/>
      <c r="LP239" s="359"/>
      <c r="LQ239" s="359"/>
      <c r="LR239" s="359"/>
      <c r="LS239" s="359"/>
      <c r="LT239" s="359"/>
      <c r="LU239" s="359"/>
      <c r="LV239" s="359"/>
      <c r="LW239" s="359"/>
      <c r="LX239" s="359"/>
      <c r="LY239" s="359"/>
      <c r="LZ239" s="359"/>
      <c r="MA239" s="359"/>
      <c r="MB239" s="359"/>
      <c r="MC239" s="359"/>
      <c r="MD239" s="1749"/>
      <c r="ME239" s="1749"/>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2"/>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1501</v>
      </c>
      <c r="C240" s="1"/>
      <c r="D240" s="7"/>
      <c r="E240" s="1"/>
      <c r="F240" s="3140">
        <v>15000</v>
      </c>
      <c r="G240" s="3141"/>
      <c r="H240" s="1"/>
      <c r="I240" s="3157" t="s">
        <v>46</v>
      </c>
      <c r="J240" s="3158"/>
      <c r="K240" s="365">
        <f>L240/12/P67</f>
        <v>0</v>
      </c>
      <c r="L240" s="3146"/>
      <c r="M240" s="3147"/>
      <c r="N240" s="3130"/>
      <c r="O240" s="387" t="s">
        <v>3054</v>
      </c>
      <c r="P240" s="673" t="str">
        <f>CONCATENATE(SUM(MK49:MO49)," units x $",'DCA Underwriting Assumptions'!$Q$29," =")</f>
        <v>120 units x $250 =</v>
      </c>
      <c r="Q240" s="501">
        <f>SUM(MK49:MO49)*'DCA Underwriting Assumptions'!$Q$29</f>
        <v>30000</v>
      </c>
      <c r="S240" s="3087"/>
      <c r="T240" s="3088"/>
      <c r="U240" s="3088"/>
      <c r="V240" s="3088"/>
      <c r="W240" s="3089"/>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901"/>
      <c r="JX240" s="359"/>
      <c r="JY240" s="359"/>
      <c r="JZ240" s="359"/>
      <c r="KA240" s="359"/>
      <c r="KB240" s="1901"/>
      <c r="KC240" s="359"/>
      <c r="KD240" s="359"/>
      <c r="KE240" s="359"/>
      <c r="KF240" s="359"/>
      <c r="KG240" s="1901"/>
      <c r="KH240" s="359"/>
      <c r="KI240" s="359"/>
      <c r="KJ240" s="359"/>
      <c r="KK240" s="359"/>
      <c r="KL240" s="1901"/>
      <c r="KM240" s="1901"/>
      <c r="KN240" s="1901"/>
      <c r="KO240" s="1901"/>
      <c r="KP240" s="1901"/>
      <c r="KQ240" s="1901"/>
      <c r="KR240" s="1901"/>
      <c r="KS240" s="1901"/>
      <c r="KT240" s="1901"/>
      <c r="KU240" s="1901"/>
      <c r="KV240" s="1901"/>
      <c r="KW240" s="1901"/>
      <c r="KX240" s="1901"/>
      <c r="KY240" s="1901"/>
      <c r="KZ240" s="1901"/>
      <c r="LA240" s="1901"/>
      <c r="LB240" s="1901"/>
      <c r="LC240" s="1901"/>
      <c r="LD240" s="1901"/>
      <c r="LE240" s="1901"/>
      <c r="LF240" s="1901"/>
      <c r="LG240" s="1901"/>
      <c r="LH240" s="359"/>
      <c r="LI240" s="359"/>
      <c r="LJ240" s="359"/>
      <c r="LK240" s="359"/>
      <c r="LL240" s="359"/>
      <c r="LM240" s="359"/>
      <c r="LN240" s="1749"/>
      <c r="LO240" s="359"/>
      <c r="LP240" s="359"/>
      <c r="LQ240" s="359"/>
      <c r="LR240" s="359"/>
      <c r="LS240" s="359"/>
      <c r="LT240" s="359"/>
      <c r="LU240" s="359"/>
      <c r="LV240" s="359"/>
      <c r="LW240" s="359"/>
      <c r="LX240" s="359"/>
      <c r="LY240" s="359"/>
      <c r="LZ240" s="359"/>
      <c r="MA240" s="359"/>
      <c r="MB240" s="359"/>
      <c r="MC240" s="359"/>
      <c r="MD240" s="1749"/>
      <c r="ME240" s="1749"/>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2"/>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1502</v>
      </c>
      <c r="C241" s="1"/>
      <c r="D241" s="7"/>
      <c r="E241" s="1"/>
      <c r="F241" s="3140">
        <v>30000</v>
      </c>
      <c r="G241" s="3141"/>
      <c r="H241" s="1"/>
      <c r="K241" s="8" t="s">
        <v>184</v>
      </c>
      <c r="L241" s="3125">
        <f>SUM(L235:L240)</f>
        <v>118800</v>
      </c>
      <c r="M241" s="3151"/>
      <c r="N241" s="3130"/>
      <c r="O241" s="502" t="s">
        <v>6506</v>
      </c>
      <c r="P241" s="673" t="str">
        <f>CONCATENATE(SUM(MP49:MT49)," units x $",'DCA Underwriting Assumptions'!$Q$30," =")</f>
        <v>0 units x $420 =</v>
      </c>
      <c r="Q241" s="501">
        <f>SUM(MP49:MT49)*'DCA Underwriting Assumptions'!$Q$30</f>
        <v>0</v>
      </c>
      <c r="R241" s="669"/>
      <c r="S241" s="3087"/>
      <c r="T241" s="3088"/>
      <c r="U241" s="3088"/>
      <c r="V241" s="3088"/>
      <c r="W241" s="3089"/>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901"/>
      <c r="JX241" s="359"/>
      <c r="JY241" s="359"/>
      <c r="JZ241" s="359"/>
      <c r="KA241" s="359"/>
      <c r="KB241" s="1901"/>
      <c r="KC241" s="359"/>
      <c r="KD241" s="359"/>
      <c r="KE241" s="359"/>
      <c r="KF241" s="359"/>
      <c r="KG241" s="1901"/>
      <c r="KH241" s="359"/>
      <c r="KI241" s="359"/>
      <c r="KJ241" s="359"/>
      <c r="KK241" s="359"/>
      <c r="KL241" s="1901"/>
      <c r="KM241" s="1901"/>
      <c r="KN241" s="1901"/>
      <c r="KO241" s="1901"/>
      <c r="KP241" s="1901"/>
      <c r="KQ241" s="1901"/>
      <c r="KR241" s="1901"/>
      <c r="KS241" s="1901"/>
      <c r="KT241" s="1901"/>
      <c r="KU241" s="1901"/>
      <c r="KV241" s="1901"/>
      <c r="KW241" s="1901"/>
      <c r="KX241" s="1901"/>
      <c r="KY241" s="1901"/>
      <c r="KZ241" s="1901"/>
      <c r="LA241" s="1901"/>
      <c r="LB241" s="1901"/>
      <c r="LC241" s="1901"/>
      <c r="LD241" s="1901"/>
      <c r="LE241" s="1901"/>
      <c r="LF241" s="1901"/>
      <c r="LG241" s="1901"/>
      <c r="LH241" s="359"/>
      <c r="LI241" s="359"/>
      <c r="LJ241" s="359"/>
      <c r="LK241" s="359"/>
      <c r="LL241" s="359"/>
      <c r="LM241" s="359"/>
      <c r="LN241" s="1749"/>
      <c r="LO241" s="359"/>
      <c r="LP241" s="359"/>
      <c r="LQ241" s="359"/>
      <c r="LR241" s="359"/>
      <c r="LS241" s="359"/>
      <c r="LT241" s="359"/>
      <c r="LU241" s="359"/>
      <c r="LV241" s="359"/>
      <c r="LW241" s="359"/>
      <c r="LX241" s="359"/>
      <c r="LY241" s="359"/>
      <c r="LZ241" s="359"/>
      <c r="MA241" s="359"/>
      <c r="MB241" s="359"/>
      <c r="MC241" s="359"/>
      <c r="MD241" s="1749"/>
      <c r="ME241" s="1749"/>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2"/>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940</v>
      </c>
      <c r="C242" s="1"/>
      <c r="D242" s="7"/>
      <c r="E242" s="1"/>
      <c r="F242" s="3144">
        <v>6720</v>
      </c>
      <c r="G242" s="3145"/>
      <c r="H242" s="1"/>
      <c r="O242" s="502" t="s">
        <v>3053</v>
      </c>
      <c r="P242" s="673" t="str">
        <f>CONCATENATE(P125," units x $",'DCA Underwriting Assumptions'!$Q$31," =")</f>
        <v>0 units x $420 =</v>
      </c>
      <c r="Q242" s="501">
        <f>P125*'DCA Underwriting Assumptions'!$Q$31</f>
        <v>0</v>
      </c>
      <c r="S242" s="3087"/>
      <c r="T242" s="3088"/>
      <c r="U242" s="3088"/>
      <c r="V242" s="3088"/>
      <c r="W242" s="3089"/>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901"/>
      <c r="JX242" s="359"/>
      <c r="JY242" s="359"/>
      <c r="JZ242" s="359"/>
      <c r="KA242" s="359"/>
      <c r="KB242" s="1901"/>
      <c r="KC242" s="359"/>
      <c r="KD242" s="359"/>
      <c r="KE242" s="359"/>
      <c r="KF242" s="359"/>
      <c r="KG242" s="1901"/>
      <c r="KH242" s="359"/>
      <c r="KI242" s="359"/>
      <c r="KJ242" s="359"/>
      <c r="KK242" s="359"/>
      <c r="KL242" s="1901"/>
      <c r="KM242" s="1901"/>
      <c r="KN242" s="1901"/>
      <c r="KO242" s="1901"/>
      <c r="KP242" s="1901"/>
      <c r="KQ242" s="1901"/>
      <c r="KR242" s="1901"/>
      <c r="KS242" s="1901"/>
      <c r="KT242" s="1901"/>
      <c r="KU242" s="1901"/>
      <c r="KV242" s="1901"/>
      <c r="KW242" s="1901"/>
      <c r="KX242" s="1901"/>
      <c r="KY242" s="1901"/>
      <c r="KZ242" s="1901"/>
      <c r="LA242" s="1901"/>
      <c r="LB242" s="1901"/>
      <c r="LC242" s="1901"/>
      <c r="LD242" s="1901"/>
      <c r="LE242" s="1901"/>
      <c r="LF242" s="1901"/>
      <c r="LG242" s="1901"/>
      <c r="LH242" s="359"/>
      <c r="LI242" s="359"/>
      <c r="LJ242" s="359"/>
      <c r="LK242" s="359"/>
      <c r="LL242" s="359"/>
      <c r="LM242" s="359"/>
      <c r="LN242" s="1749"/>
      <c r="LO242" s="359"/>
      <c r="LP242" s="359"/>
      <c r="LQ242" s="359"/>
      <c r="LR242" s="359"/>
      <c r="LS242" s="359"/>
      <c r="LT242" s="359"/>
      <c r="LU242" s="359"/>
      <c r="LV242" s="359"/>
      <c r="LW242" s="359"/>
      <c r="LX242" s="359"/>
      <c r="LY242" s="359"/>
      <c r="LZ242" s="359"/>
      <c r="MA242" s="359"/>
      <c r="MB242" s="359"/>
      <c r="MC242" s="359"/>
      <c r="MD242" s="1749"/>
      <c r="ME242" s="1749"/>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2" t="s">
        <v>6456</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941</v>
      </c>
      <c r="C243" s="1"/>
      <c r="D243" s="7"/>
      <c r="E243" s="1"/>
      <c r="F243" s="3144">
        <v>24000</v>
      </c>
      <c r="G243" s="3145"/>
      <c r="H243" s="1"/>
      <c r="I243" s="4" t="s">
        <v>1299</v>
      </c>
      <c r="O243" s="769" t="s">
        <v>2469</v>
      </c>
      <c r="P243" s="770">
        <f>SUM(MF49:MJ49)+SUM(MK49:MO49)+SUM(MP49:MT49)+P125</f>
        <v>120</v>
      </c>
      <c r="Q243" s="771">
        <f>SUM(Q239:Q242)</f>
        <v>30000</v>
      </c>
      <c r="R243" s="673"/>
      <c r="S243" s="3087"/>
      <c r="T243" s="3088"/>
      <c r="U243" s="3088"/>
      <c r="V243" s="3088"/>
      <c r="W243" s="3089"/>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901"/>
      <c r="JX243" s="359"/>
      <c r="JY243" s="359"/>
      <c r="JZ243" s="359"/>
      <c r="KA243" s="359"/>
      <c r="KB243" s="1901"/>
      <c r="KC243" s="359"/>
      <c r="KD243" s="359"/>
      <c r="KE243" s="359"/>
      <c r="KF243" s="359"/>
      <c r="KG243" s="1901"/>
      <c r="KH243" s="359"/>
      <c r="KI243" s="359"/>
      <c r="KJ243" s="359"/>
      <c r="KK243" s="359"/>
      <c r="KL243" s="1901"/>
      <c r="KM243" s="1901"/>
      <c r="KN243" s="1901"/>
      <c r="KO243" s="1901"/>
      <c r="KP243" s="1901"/>
      <c r="KQ243" s="1901"/>
      <c r="KR243" s="1901"/>
      <c r="KS243" s="1901"/>
      <c r="KT243" s="1901"/>
      <c r="KU243" s="1901"/>
      <c r="KV243" s="1901"/>
      <c r="KW243" s="1901"/>
      <c r="KX243" s="1901"/>
      <c r="KY243" s="1901"/>
      <c r="KZ243" s="1901"/>
      <c r="LA243" s="1901"/>
      <c r="LB243" s="1901"/>
      <c r="LC243" s="1901"/>
      <c r="LD243" s="1901"/>
      <c r="LE243" s="1901"/>
      <c r="LF243" s="1901"/>
      <c r="LG243" s="1901"/>
      <c r="LH243" s="359"/>
      <c r="LI243" s="359"/>
      <c r="LJ243" s="359"/>
      <c r="LK243" s="359"/>
      <c r="LL243" s="359"/>
      <c r="LM243" s="359"/>
      <c r="LN243" s="1749"/>
      <c r="LO243" s="359"/>
      <c r="LP243" s="359"/>
      <c r="LQ243" s="359"/>
      <c r="LR243" s="359"/>
      <c r="LS243" s="359"/>
      <c r="LT243" s="359"/>
      <c r="LU243" s="359"/>
      <c r="LV243" s="359"/>
      <c r="LW243" s="359"/>
      <c r="LX243" s="359"/>
      <c r="LY243" s="359"/>
      <c r="LZ243" s="359"/>
      <c r="MA243" s="359"/>
      <c r="MB243" s="359"/>
      <c r="MC243" s="359"/>
      <c r="MD243" s="1749"/>
      <c r="ME243" s="1749"/>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2"/>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942</v>
      </c>
      <c r="C244" s="1"/>
      <c r="D244" s="7"/>
      <c r="E244" s="1"/>
      <c r="F244" s="3144"/>
      <c r="G244" s="3145"/>
      <c r="H244" s="1"/>
      <c r="I244" s="72" t="s">
        <v>3935</v>
      </c>
      <c r="K244" s="1"/>
      <c r="L244" s="3138">
        <v>5040</v>
      </c>
      <c r="M244" s="3139"/>
      <c r="R244" s="673"/>
      <c r="S244" s="3087"/>
      <c r="T244" s="3088"/>
      <c r="U244" s="3088"/>
      <c r="V244" s="3088"/>
      <c r="W244" s="3089"/>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901"/>
      <c r="JX244" s="359"/>
      <c r="JY244" s="359"/>
      <c r="JZ244" s="359"/>
      <c r="KA244" s="359"/>
      <c r="KB244" s="1901"/>
      <c r="KC244" s="359"/>
      <c r="KD244" s="359"/>
      <c r="KE244" s="359"/>
      <c r="KF244" s="359"/>
      <c r="KG244" s="1901"/>
      <c r="KH244" s="359"/>
      <c r="KI244" s="359"/>
      <c r="KJ244" s="359"/>
      <c r="KK244" s="359"/>
      <c r="KL244" s="1901"/>
      <c r="KM244" s="1901"/>
      <c r="KN244" s="1901"/>
      <c r="KO244" s="1901"/>
      <c r="KP244" s="1901"/>
      <c r="KQ244" s="1901"/>
      <c r="KR244" s="1901"/>
      <c r="KS244" s="1901"/>
      <c r="KT244" s="1901"/>
      <c r="KU244" s="1901"/>
      <c r="KV244" s="1901"/>
      <c r="KW244" s="1901"/>
      <c r="KX244" s="1901"/>
      <c r="KY244" s="1901"/>
      <c r="KZ244" s="1901"/>
      <c r="LA244" s="1901"/>
      <c r="LB244" s="1901"/>
      <c r="LC244" s="1901"/>
      <c r="LD244" s="1901"/>
      <c r="LE244" s="1901"/>
      <c r="LF244" s="1901"/>
      <c r="LG244" s="1901"/>
      <c r="LH244" s="359"/>
      <c r="LI244" s="359"/>
      <c r="LJ244" s="359"/>
      <c r="LK244" s="359"/>
      <c r="LL244" s="359"/>
      <c r="LM244" s="359"/>
      <c r="LN244" s="1749"/>
      <c r="LO244" s="359"/>
      <c r="LP244" s="359"/>
      <c r="LQ244" s="359"/>
      <c r="LR244" s="359"/>
      <c r="LS244" s="359"/>
      <c r="LT244" s="359"/>
      <c r="LU244" s="359"/>
      <c r="LV244" s="359"/>
      <c r="LW244" s="359"/>
      <c r="LX244" s="359"/>
      <c r="LY244" s="359"/>
      <c r="LZ244" s="359"/>
      <c r="MA244" s="359"/>
      <c r="MB244" s="359"/>
      <c r="MC244" s="359"/>
      <c r="MD244" s="1749"/>
      <c r="ME244" s="1749"/>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2"/>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144">
        <v>30000</v>
      </c>
      <c r="G245" s="3145"/>
      <c r="H245" s="1"/>
      <c r="I245" s="1" t="s">
        <v>140</v>
      </c>
      <c r="K245" s="1"/>
      <c r="L245" s="3142">
        <v>119280</v>
      </c>
      <c r="M245" s="3143"/>
      <c r="R245" s="673"/>
      <c r="S245" s="3087"/>
      <c r="T245" s="3088"/>
      <c r="U245" s="3088"/>
      <c r="V245" s="3088"/>
      <c r="W245" s="3089"/>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901"/>
      <c r="JX245" s="359"/>
      <c r="JY245" s="359"/>
      <c r="JZ245" s="359"/>
      <c r="KA245" s="359"/>
      <c r="KB245" s="1901"/>
      <c r="KC245" s="359"/>
      <c r="KD245" s="359"/>
      <c r="KE245" s="359"/>
      <c r="KF245" s="359"/>
      <c r="KG245" s="1901"/>
      <c r="KH245" s="359"/>
      <c r="KI245" s="359"/>
      <c r="KJ245" s="359"/>
      <c r="KK245" s="359"/>
      <c r="KL245" s="1901"/>
      <c r="KM245" s="1901"/>
      <c r="KN245" s="1901"/>
      <c r="KO245" s="1901"/>
      <c r="KP245" s="1901"/>
      <c r="KQ245" s="1901"/>
      <c r="KR245" s="1901"/>
      <c r="KS245" s="1901"/>
      <c r="KT245" s="1901"/>
      <c r="KU245" s="1901"/>
      <c r="KV245" s="1901"/>
      <c r="KW245" s="1901"/>
      <c r="KX245" s="1901"/>
      <c r="KY245" s="1901"/>
      <c r="KZ245" s="1901"/>
      <c r="LA245" s="1901"/>
      <c r="LB245" s="1901"/>
      <c r="LC245" s="1901"/>
      <c r="LD245" s="1901"/>
      <c r="LE245" s="1901"/>
      <c r="LF245" s="1901"/>
      <c r="LG245" s="1901"/>
      <c r="LH245" s="359"/>
      <c r="LI245" s="359"/>
      <c r="LJ245" s="359"/>
      <c r="LK245" s="359"/>
      <c r="LL245" s="359"/>
      <c r="LM245" s="359"/>
      <c r="LN245" s="1749"/>
      <c r="LO245" s="359"/>
      <c r="LP245" s="359"/>
      <c r="LQ245" s="359"/>
      <c r="LR245" s="359"/>
      <c r="LS245" s="359"/>
      <c r="LT245" s="359"/>
      <c r="LU245" s="359"/>
      <c r="LV245" s="359"/>
      <c r="LW245" s="359"/>
      <c r="LX245" s="359"/>
      <c r="LY245" s="359"/>
      <c r="LZ245" s="359"/>
      <c r="MA245" s="359"/>
      <c r="MB245" s="359"/>
      <c r="MC245" s="359"/>
      <c r="MD245" s="1749"/>
      <c r="ME245" s="1749"/>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2"/>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148" t="s">
        <v>46</v>
      </c>
      <c r="C246" s="3149"/>
      <c r="D246" s="3149"/>
      <c r="E246" s="3150"/>
      <c r="F246" s="3116"/>
      <c r="G246" s="3117"/>
      <c r="H246" s="1"/>
      <c r="I246" s="3152" t="s">
        <v>46</v>
      </c>
      <c r="J246" s="3153"/>
      <c r="K246" s="3154"/>
      <c r="L246" s="3155"/>
      <c r="M246" s="3156"/>
      <c r="N246" s="1"/>
      <c r="R246" s="673"/>
      <c r="S246" s="3087"/>
      <c r="T246" s="3088"/>
      <c r="U246" s="3088"/>
      <c r="V246" s="3088"/>
      <c r="W246" s="3089"/>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901"/>
      <c r="JX246" s="359"/>
      <c r="JY246" s="359"/>
      <c r="JZ246" s="359"/>
      <c r="KA246" s="359"/>
      <c r="KB246" s="1901"/>
      <c r="KC246" s="359"/>
      <c r="KD246" s="359"/>
      <c r="KE246" s="359"/>
      <c r="KF246" s="359"/>
      <c r="KG246" s="1901"/>
      <c r="KH246" s="359"/>
      <c r="KI246" s="359"/>
      <c r="KJ246" s="359"/>
      <c r="KK246" s="359"/>
      <c r="KL246" s="1901"/>
      <c r="KM246" s="1901"/>
      <c r="KN246" s="1901"/>
      <c r="KO246" s="1901"/>
      <c r="KP246" s="1901"/>
      <c r="KQ246" s="1901"/>
      <c r="KR246" s="1901"/>
      <c r="KS246" s="1901"/>
      <c r="KT246" s="1901"/>
      <c r="KU246" s="1901"/>
      <c r="KV246" s="1901"/>
      <c r="KW246" s="1901"/>
      <c r="KX246" s="1901"/>
      <c r="KY246" s="1901"/>
      <c r="KZ246" s="1901"/>
      <c r="LA246" s="1901"/>
      <c r="LB246" s="1901"/>
      <c r="LC246" s="1901"/>
      <c r="LD246" s="1901"/>
      <c r="LE246" s="1901"/>
      <c r="LF246" s="1901"/>
      <c r="LG246" s="1901"/>
      <c r="LH246" s="359"/>
      <c r="LI246" s="359"/>
      <c r="LJ246" s="359"/>
      <c r="LK246" s="359"/>
      <c r="LL246" s="359"/>
      <c r="LM246" s="359"/>
      <c r="LN246" s="1749"/>
      <c r="LO246" s="359"/>
      <c r="LP246" s="359"/>
      <c r="LQ246" s="359"/>
      <c r="LR246" s="359"/>
      <c r="LS246" s="359"/>
      <c r="LT246" s="359"/>
      <c r="LU246" s="359"/>
      <c r="LV246" s="359"/>
      <c r="LW246" s="359"/>
      <c r="LX246" s="359"/>
      <c r="LY246" s="359"/>
      <c r="LZ246" s="359"/>
      <c r="MA246" s="359"/>
      <c r="MB246" s="359"/>
      <c r="MC246" s="359"/>
      <c r="MD246" s="1749"/>
      <c r="ME246" s="1749"/>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2" t="s">
        <v>6457</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127">
        <f>SUM(F239:G246)</f>
        <v>120720</v>
      </c>
      <c r="G247" s="3128"/>
      <c r="H247" s="1"/>
      <c r="K247" s="8" t="s">
        <v>184</v>
      </c>
      <c r="L247" s="3125">
        <f>SUM(L243:L246)</f>
        <v>124320</v>
      </c>
      <c r="M247" s="3126"/>
      <c r="N247" s="1"/>
      <c r="O247" s="4" t="s">
        <v>2031</v>
      </c>
      <c r="P247" s="1"/>
      <c r="Q247" s="326">
        <f>Q228+Q234</f>
        <v>894075</v>
      </c>
      <c r="R247" s="673"/>
      <c r="S247" s="3093"/>
      <c r="T247" s="3094"/>
      <c r="U247" s="3094"/>
      <c r="V247" s="3094"/>
      <c r="W247" s="3095"/>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901"/>
      <c r="JX247" s="359"/>
      <c r="JY247" s="359"/>
      <c r="JZ247" s="359"/>
      <c r="KA247" s="359"/>
      <c r="KB247" s="1901"/>
      <c r="KC247" s="359"/>
      <c r="KD247" s="359"/>
      <c r="KE247" s="359"/>
      <c r="KF247" s="359"/>
      <c r="KG247" s="1901"/>
      <c r="KH247" s="359"/>
      <c r="KI247" s="359"/>
      <c r="KJ247" s="359"/>
      <c r="KK247" s="359"/>
      <c r="KL247" s="1901"/>
      <c r="KM247" s="1901"/>
      <c r="KN247" s="1901"/>
      <c r="KO247" s="1901"/>
      <c r="KP247" s="1901"/>
      <c r="KQ247" s="1901"/>
      <c r="KR247" s="1901"/>
      <c r="KS247" s="1901"/>
      <c r="KT247" s="1901"/>
      <c r="KU247" s="1901"/>
      <c r="KV247" s="1901"/>
      <c r="KW247" s="1901"/>
      <c r="KX247" s="1901"/>
      <c r="KY247" s="1901"/>
      <c r="KZ247" s="1901"/>
      <c r="LA247" s="1901"/>
      <c r="LB247" s="1901"/>
      <c r="LC247" s="1901"/>
      <c r="LD247" s="1901"/>
      <c r="LE247" s="1901"/>
      <c r="LF247" s="1901"/>
      <c r="LG247" s="1901"/>
      <c r="LH247" s="359"/>
      <c r="LI247" s="359"/>
      <c r="LJ247" s="359"/>
      <c r="LK247" s="359"/>
      <c r="LL247" s="359"/>
      <c r="LM247" s="359"/>
      <c r="LN247" s="1749"/>
      <c r="LO247" s="359"/>
      <c r="LP247" s="359"/>
      <c r="LQ247" s="359"/>
      <c r="LR247" s="359"/>
      <c r="LS247" s="359"/>
      <c r="LT247" s="359"/>
      <c r="LU247" s="359"/>
      <c r="LV247" s="359"/>
      <c r="LW247" s="359"/>
      <c r="LX247" s="359"/>
      <c r="LY247" s="359"/>
      <c r="LZ247" s="359"/>
      <c r="MA247" s="359"/>
      <c r="MB247" s="359"/>
      <c r="MC247" s="359"/>
      <c r="MD247" s="1749"/>
      <c r="ME247" s="1749"/>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2"/>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901"/>
      <c r="JX248" s="359"/>
      <c r="JY248" s="359"/>
      <c r="JZ248" s="359"/>
      <c r="KA248" s="359"/>
      <c r="KB248" s="1901"/>
      <c r="KC248" s="359"/>
      <c r="KD248" s="359"/>
      <c r="KE248" s="359"/>
      <c r="KF248" s="359"/>
      <c r="KG248" s="1901"/>
      <c r="KH248" s="359"/>
      <c r="KI248" s="359"/>
      <c r="KJ248" s="359"/>
      <c r="KK248" s="359"/>
      <c r="KL248" s="1901"/>
      <c r="KM248" s="1901"/>
      <c r="KN248" s="1901"/>
      <c r="KO248" s="1901"/>
      <c r="KP248" s="1901"/>
      <c r="KQ248" s="1901"/>
      <c r="KR248" s="1901"/>
      <c r="KS248" s="1901"/>
      <c r="KT248" s="1901"/>
      <c r="KU248" s="1901"/>
      <c r="KV248" s="1901"/>
      <c r="KW248" s="1901"/>
      <c r="KX248" s="1901"/>
      <c r="KY248" s="1901"/>
      <c r="KZ248" s="1901"/>
      <c r="LA248" s="1901"/>
      <c r="LB248" s="1901"/>
      <c r="LC248" s="1901"/>
      <c r="LD248" s="1901"/>
      <c r="LE248" s="1901"/>
      <c r="LF248" s="1901"/>
      <c r="LG248" s="1901"/>
      <c r="LH248" s="359"/>
      <c r="LI248" s="359"/>
      <c r="LJ248" s="359"/>
      <c r="LK248" s="359"/>
      <c r="LL248" s="359"/>
      <c r="LM248" s="359"/>
      <c r="LN248" s="1749"/>
      <c r="LO248" s="359"/>
      <c r="LP248" s="359"/>
      <c r="LQ248" s="359"/>
      <c r="LR248" s="359"/>
      <c r="LS248" s="359"/>
      <c r="LT248" s="359"/>
      <c r="LU248" s="359"/>
      <c r="LV248" s="359"/>
      <c r="LW248" s="359"/>
      <c r="LX248" s="359"/>
      <c r="LY248" s="359"/>
      <c r="LZ248" s="359"/>
      <c r="MA248" s="359"/>
      <c r="MB248" s="359"/>
      <c r="MC248" s="359"/>
      <c r="MD248" s="1749"/>
      <c r="ME248" s="1749"/>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2"/>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901"/>
      <c r="JX249" s="359"/>
      <c r="JY249" s="359"/>
      <c r="JZ249" s="359"/>
      <c r="KA249" s="359"/>
      <c r="KB249" s="1901"/>
      <c r="KC249" s="359"/>
      <c r="KD249" s="359"/>
      <c r="KE249" s="359"/>
      <c r="KF249" s="359"/>
      <c r="KG249" s="1901"/>
      <c r="KH249" s="359"/>
      <c r="KI249" s="359"/>
      <c r="KJ249" s="359"/>
      <c r="KK249" s="359"/>
      <c r="KL249" s="1901"/>
      <c r="KM249" s="1901"/>
      <c r="KN249" s="1901"/>
      <c r="KO249" s="1901"/>
      <c r="KP249" s="1901"/>
      <c r="KQ249" s="1901"/>
      <c r="KR249" s="1901"/>
      <c r="KS249" s="1901"/>
      <c r="KT249" s="1901"/>
      <c r="KU249" s="1901"/>
      <c r="KV249" s="1901"/>
      <c r="KW249" s="1901"/>
      <c r="KX249" s="1901"/>
      <c r="KY249" s="1901"/>
      <c r="KZ249" s="1901"/>
      <c r="LA249" s="1901"/>
      <c r="LB249" s="1901"/>
      <c r="LC249" s="1901"/>
      <c r="LD249" s="1901"/>
      <c r="LE249" s="1901"/>
      <c r="LF249" s="1901"/>
      <c r="LG249" s="1901"/>
      <c r="LH249" s="359"/>
      <c r="LI249" s="359"/>
      <c r="LJ249" s="359"/>
      <c r="LK249" s="359"/>
      <c r="LL249" s="359"/>
      <c r="LM249" s="359"/>
      <c r="LN249" s="1749"/>
      <c r="LO249" s="359"/>
      <c r="LP249" s="359"/>
      <c r="LQ249" s="359"/>
      <c r="LR249" s="359"/>
      <c r="LS249" s="359"/>
      <c r="LT249" s="359"/>
      <c r="LU249" s="359"/>
      <c r="LV249" s="359"/>
      <c r="LW249" s="359"/>
      <c r="LX249" s="359"/>
      <c r="LY249" s="359"/>
      <c r="LZ249" s="359"/>
      <c r="MA249" s="359"/>
      <c r="MB249" s="359"/>
      <c r="MC249" s="359"/>
      <c r="MD249" s="1749"/>
      <c r="ME249" s="1749"/>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2"/>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901"/>
      <c r="JX250" s="359"/>
      <c r="JY250" s="359"/>
      <c r="JZ250" s="359"/>
      <c r="KA250" s="359"/>
      <c r="KB250" s="1901"/>
      <c r="KC250" s="359"/>
      <c r="KD250" s="359"/>
      <c r="KE250" s="359"/>
      <c r="KF250" s="359"/>
      <c r="KG250" s="1901"/>
      <c r="KH250" s="359"/>
      <c r="KI250" s="359"/>
      <c r="KJ250" s="359"/>
      <c r="KK250" s="359"/>
      <c r="KL250" s="1901"/>
      <c r="KM250" s="1901"/>
      <c r="KN250" s="1901"/>
      <c r="KO250" s="1901"/>
      <c r="KP250" s="1901"/>
      <c r="KQ250" s="1901"/>
      <c r="KR250" s="1901"/>
      <c r="KS250" s="1901"/>
      <c r="KT250" s="1901"/>
      <c r="KU250" s="1901"/>
      <c r="KV250" s="1901"/>
      <c r="KW250" s="1901"/>
      <c r="KX250" s="1901"/>
      <c r="KY250" s="1901"/>
      <c r="KZ250" s="1901"/>
      <c r="LA250" s="1901"/>
      <c r="LB250" s="1901"/>
      <c r="LC250" s="1901"/>
      <c r="LD250" s="1901"/>
      <c r="LE250" s="1901"/>
      <c r="LF250" s="1901"/>
      <c r="LG250" s="1901"/>
      <c r="LH250" s="359"/>
      <c r="LI250" s="359"/>
      <c r="LJ250" s="359"/>
      <c r="LK250" s="359"/>
      <c r="LL250" s="359"/>
      <c r="LM250" s="359"/>
      <c r="LN250" s="1749"/>
      <c r="LO250" s="359"/>
      <c r="LP250" s="359"/>
      <c r="LQ250" s="359"/>
      <c r="LR250" s="359"/>
      <c r="LS250" s="359"/>
      <c r="LT250" s="359"/>
      <c r="LU250" s="359"/>
      <c r="LV250" s="359"/>
      <c r="LW250" s="359"/>
      <c r="LX250" s="359"/>
      <c r="LY250" s="359"/>
      <c r="LZ250" s="359"/>
      <c r="MA250" s="359"/>
      <c r="MB250" s="359"/>
      <c r="MC250" s="359"/>
      <c r="MD250" s="1749"/>
      <c r="ME250" s="1749"/>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2"/>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3379</v>
      </c>
      <c r="B251" s="4" t="s">
        <v>3878</v>
      </c>
      <c r="C251" s="8"/>
      <c r="D251" s="1"/>
      <c r="E251" s="1"/>
      <c r="H251" s="9"/>
      <c r="I251" s="1223" t="s">
        <v>3879</v>
      </c>
      <c r="K251" s="3188">
        <v>0</v>
      </c>
      <c r="L251" s="3189"/>
      <c r="M251" s="1286" t="s">
        <v>3906</v>
      </c>
      <c r="N251" s="1224">
        <v>75</v>
      </c>
      <c r="O251" s="4" t="s">
        <v>3881</v>
      </c>
      <c r="P251" s="1"/>
      <c r="Q251" s="1244">
        <f>K251*N251</f>
        <v>0</v>
      </c>
      <c r="R251" s="671"/>
      <c r="S251" s="3110"/>
      <c r="T251" s="3111"/>
      <c r="U251" s="3111"/>
      <c r="V251" s="3111"/>
      <c r="W251" s="3112"/>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901"/>
      <c r="JX251" s="359"/>
      <c r="JY251" s="359"/>
      <c r="JZ251" s="359"/>
      <c r="KA251" s="359"/>
      <c r="KB251" s="1901"/>
      <c r="KC251" s="359"/>
      <c r="KD251" s="359"/>
      <c r="KE251" s="359"/>
      <c r="KF251" s="359"/>
      <c r="KG251" s="1901"/>
      <c r="KH251" s="359"/>
      <c r="KI251" s="359"/>
      <c r="KJ251" s="359"/>
      <c r="KK251" s="359"/>
      <c r="KL251" s="1901"/>
      <c r="KM251" s="1901"/>
      <c r="KN251" s="1901"/>
      <c r="KO251" s="1901"/>
      <c r="KP251" s="1901"/>
      <c r="KQ251" s="1901"/>
      <c r="KR251" s="1901"/>
      <c r="KS251" s="1901"/>
      <c r="KT251" s="1901"/>
      <c r="KU251" s="1901"/>
      <c r="KV251" s="1901"/>
      <c r="KW251" s="1901"/>
      <c r="KX251" s="1901"/>
      <c r="KY251" s="1901"/>
      <c r="KZ251" s="1901"/>
      <c r="LA251" s="1901"/>
      <c r="LB251" s="1901"/>
      <c r="LC251" s="1901"/>
      <c r="LD251" s="1901"/>
      <c r="LE251" s="1901"/>
      <c r="LF251" s="1901"/>
      <c r="LG251" s="1901"/>
      <c r="LH251" s="359"/>
      <c r="LI251" s="359"/>
      <c r="LJ251" s="359"/>
      <c r="LK251" s="359"/>
      <c r="LL251" s="359"/>
      <c r="LM251" s="359"/>
      <c r="LN251" s="1749"/>
      <c r="LO251" s="359"/>
      <c r="LP251" s="359"/>
      <c r="LQ251" s="359"/>
      <c r="LR251" s="359"/>
      <c r="LS251" s="359"/>
      <c r="LT251" s="359"/>
      <c r="LU251" s="359"/>
      <c r="LV251" s="359"/>
      <c r="LW251" s="359"/>
      <c r="LX251" s="359"/>
      <c r="LY251" s="359"/>
      <c r="LZ251" s="359"/>
      <c r="MA251" s="359"/>
      <c r="MB251" s="359"/>
      <c r="MC251" s="359"/>
      <c r="MD251" s="1749"/>
      <c r="ME251" s="1749"/>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2"/>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901"/>
      <c r="JX252" s="359"/>
      <c r="JY252" s="359"/>
      <c r="JZ252" s="359"/>
      <c r="KA252" s="359"/>
      <c r="KB252" s="1901"/>
      <c r="KC252" s="359"/>
      <c r="KD252" s="359"/>
      <c r="KE252" s="359"/>
      <c r="KF252" s="359"/>
      <c r="KG252" s="1901"/>
      <c r="KH252" s="359"/>
      <c r="KI252" s="359"/>
      <c r="KJ252" s="359"/>
      <c r="KK252" s="359"/>
      <c r="KL252" s="1901"/>
      <c r="KM252" s="1901"/>
      <c r="KN252" s="1901"/>
      <c r="KO252" s="1901"/>
      <c r="KP252" s="1901"/>
      <c r="KQ252" s="1901"/>
      <c r="KR252" s="1901"/>
      <c r="KS252" s="1901"/>
      <c r="KT252" s="1901"/>
      <c r="KU252" s="1901"/>
      <c r="KV252" s="1901"/>
      <c r="KW252" s="1901"/>
      <c r="KX252" s="1901"/>
      <c r="KY252" s="1901"/>
      <c r="KZ252" s="1901"/>
      <c r="LA252" s="1901"/>
      <c r="LB252" s="1901"/>
      <c r="LC252" s="1901"/>
      <c r="LD252" s="1901"/>
      <c r="LE252" s="1901"/>
      <c r="LF252" s="1901"/>
      <c r="LG252" s="1901"/>
      <c r="LH252" s="359"/>
      <c r="LI252" s="359"/>
      <c r="LJ252" s="359"/>
      <c r="LK252" s="359"/>
      <c r="LL252" s="359"/>
      <c r="LM252" s="359"/>
      <c r="LN252" s="1749"/>
      <c r="LO252" s="359"/>
      <c r="LP252" s="359"/>
      <c r="LQ252" s="359"/>
      <c r="LR252" s="359"/>
      <c r="LS252" s="359"/>
      <c r="LT252" s="359"/>
      <c r="LU252" s="359"/>
      <c r="LV252" s="359"/>
      <c r="LW252" s="359"/>
      <c r="LX252" s="359"/>
      <c r="LY252" s="359"/>
      <c r="LZ252" s="359"/>
      <c r="MA252" s="359"/>
      <c r="MB252" s="359"/>
      <c r="MC252" s="359"/>
      <c r="MD252" s="1749"/>
      <c r="ME252" s="1749"/>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2"/>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3907</v>
      </c>
      <c r="C253" s="8"/>
      <c r="D253" s="1"/>
      <c r="E253" s="1"/>
      <c r="F253" s="9"/>
      <c r="G253" s="9"/>
      <c r="H253" s="1"/>
      <c r="I253" s="1"/>
      <c r="J253" s="1267" t="s">
        <v>2655</v>
      </c>
      <c r="K253" s="1223" t="s">
        <v>3909</v>
      </c>
      <c r="L253" s="1267" t="s">
        <v>2655</v>
      </c>
      <c r="M253" s="53" t="s">
        <v>3910</v>
      </c>
      <c r="N253" s="1224"/>
      <c r="O253" s="72" t="s">
        <v>3908</v>
      </c>
      <c r="P253" s="1"/>
      <c r="Q253" s="1287"/>
      <c r="R253" s="671"/>
      <c r="S253" s="3110"/>
      <c r="T253" s="3111"/>
      <c r="U253" s="3111"/>
      <c r="V253" s="3111"/>
      <c r="W253" s="3112"/>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901"/>
      <c r="JX253" s="359"/>
      <c r="JY253" s="359"/>
      <c r="JZ253" s="359"/>
      <c r="KA253" s="359"/>
      <c r="KB253" s="1901"/>
      <c r="KC253" s="359"/>
      <c r="KD253" s="359"/>
      <c r="KE253" s="359"/>
      <c r="KF253" s="359"/>
      <c r="KG253" s="1901"/>
      <c r="KH253" s="359"/>
      <c r="KI253" s="359"/>
      <c r="KJ253" s="359"/>
      <c r="KK253" s="359"/>
      <c r="KL253" s="1901"/>
      <c r="KM253" s="1901"/>
      <c r="KN253" s="1901"/>
      <c r="KO253" s="1901"/>
      <c r="KP253" s="1901"/>
      <c r="KQ253" s="1901"/>
      <c r="KR253" s="1901"/>
      <c r="KS253" s="1901"/>
      <c r="KT253" s="1901"/>
      <c r="KU253" s="1901"/>
      <c r="KV253" s="1901"/>
      <c r="KW253" s="1901"/>
      <c r="KX253" s="1901"/>
      <c r="KY253" s="1901"/>
      <c r="KZ253" s="1901"/>
      <c r="LA253" s="1901"/>
      <c r="LB253" s="1901"/>
      <c r="LC253" s="1901"/>
      <c r="LD253" s="1901"/>
      <c r="LE253" s="1901"/>
      <c r="LF253" s="1901"/>
      <c r="LG253" s="1901"/>
      <c r="LH253" s="359"/>
      <c r="LI253" s="359"/>
      <c r="LJ253" s="359"/>
      <c r="LK253" s="359"/>
      <c r="LL253" s="359"/>
      <c r="LM253" s="359"/>
      <c r="LN253" s="1749"/>
      <c r="LO253" s="359"/>
      <c r="LP253" s="359"/>
      <c r="LQ253" s="359"/>
      <c r="LR253" s="359"/>
      <c r="LS253" s="359"/>
      <c r="LT253" s="359"/>
      <c r="LU253" s="359"/>
      <c r="LV253" s="359"/>
      <c r="LW253" s="359"/>
      <c r="LX253" s="359"/>
      <c r="LY253" s="359"/>
      <c r="LZ253" s="359"/>
      <c r="MA253" s="359"/>
      <c r="MB253" s="359"/>
      <c r="MC253" s="359"/>
      <c r="MD253" s="1749"/>
      <c r="ME253" s="1749"/>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2" t="s">
        <v>6458</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901"/>
      <c r="JX254" s="359"/>
      <c r="JY254" s="359"/>
      <c r="JZ254" s="359"/>
      <c r="KA254" s="359"/>
      <c r="KB254" s="1901"/>
      <c r="KC254" s="359"/>
      <c r="KD254" s="359"/>
      <c r="KE254" s="359"/>
      <c r="KF254" s="359"/>
      <c r="KG254" s="1901"/>
      <c r="KH254" s="359"/>
      <c r="KI254" s="359"/>
      <c r="KJ254" s="359"/>
      <c r="KK254" s="359"/>
      <c r="KL254" s="1901"/>
      <c r="KM254" s="1901"/>
      <c r="KN254" s="1901"/>
      <c r="KO254" s="1901"/>
      <c r="KP254" s="1901"/>
      <c r="KQ254" s="1901"/>
      <c r="KR254" s="1901"/>
      <c r="KS254" s="1901"/>
      <c r="KT254" s="1901"/>
      <c r="KU254" s="1901"/>
      <c r="KV254" s="1901"/>
      <c r="KW254" s="1901"/>
      <c r="KX254" s="1901"/>
      <c r="KY254" s="1901"/>
      <c r="KZ254" s="1901"/>
      <c r="LA254" s="1901"/>
      <c r="LB254" s="1901"/>
      <c r="LC254" s="1901"/>
      <c r="LD254" s="1901"/>
      <c r="LE254" s="1901"/>
      <c r="LF254" s="1901"/>
      <c r="LG254" s="1901"/>
      <c r="LH254" s="359"/>
      <c r="LI254" s="359"/>
      <c r="LJ254" s="359"/>
      <c r="LK254" s="359"/>
      <c r="LL254" s="359"/>
      <c r="LM254" s="359"/>
      <c r="LN254" s="1749"/>
      <c r="LO254" s="359"/>
      <c r="LP254" s="359"/>
      <c r="LQ254" s="359"/>
      <c r="LR254" s="359"/>
      <c r="LS254" s="359"/>
      <c r="LT254" s="359"/>
      <c r="LU254" s="359"/>
      <c r="LV254" s="359"/>
      <c r="LW254" s="359"/>
      <c r="LX254" s="359"/>
      <c r="LY254" s="359"/>
      <c r="LZ254" s="359"/>
      <c r="MA254" s="359"/>
      <c r="MB254" s="359"/>
      <c r="MC254" s="359"/>
      <c r="MD254" s="1749"/>
      <c r="ME254" s="1749"/>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2"/>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3877</v>
      </c>
      <c r="B255" s="10" t="s">
        <v>530</v>
      </c>
      <c r="N255" s="10" t="s">
        <v>6659</v>
      </c>
      <c r="O255" s="10"/>
      <c r="NP255" s="1722"/>
    </row>
    <row r="256" spans="1:493" ht="409.5" customHeight="1">
      <c r="A256" s="2718" t="s">
        <v>6997</v>
      </c>
      <c r="B256" s="2718"/>
      <c r="C256" s="2718"/>
      <c r="D256" s="2718"/>
      <c r="E256" s="2718"/>
      <c r="F256" s="2718"/>
      <c r="G256" s="2718"/>
      <c r="H256" s="2718"/>
      <c r="I256" s="2718"/>
      <c r="J256" s="2718"/>
      <c r="K256" s="2718"/>
      <c r="L256" s="2718"/>
      <c r="M256" s="2718"/>
      <c r="N256" s="3123"/>
      <c r="O256" s="3123"/>
      <c r="P256" s="3123"/>
      <c r="Q256" s="3123"/>
      <c r="R256" s="2534" t="s">
        <v>3378</v>
      </c>
      <c r="S256" s="2533"/>
      <c r="T256" s="2533"/>
      <c r="U256" s="2533"/>
      <c r="NP256" s="1722"/>
    </row>
    <row r="257" spans="1:493" ht="11.25" customHeight="1">
      <c r="NP257" s="1722"/>
    </row>
    <row r="258" spans="1:493" ht="12" customHeight="1">
      <c r="NP258" s="1722"/>
    </row>
    <row r="259" spans="1:493" ht="12" customHeight="1">
      <c r="NP259" s="1722"/>
    </row>
    <row r="260" spans="1:493" ht="14.1" customHeight="1">
      <c r="NP260" s="1722"/>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901"/>
      <c r="JX261" s="359"/>
      <c r="JY261" s="359"/>
      <c r="JZ261" s="359"/>
      <c r="KA261" s="359"/>
      <c r="KB261" s="1901"/>
      <c r="KC261" s="359"/>
      <c r="KD261" s="359"/>
      <c r="KE261" s="359"/>
      <c r="KF261" s="359"/>
      <c r="KG261" s="1901"/>
      <c r="KH261" s="359"/>
      <c r="KI261" s="359"/>
      <c r="KJ261" s="359"/>
      <c r="KK261" s="359"/>
      <c r="KL261" s="1901"/>
      <c r="KM261" s="1901"/>
      <c r="KN261" s="1901"/>
      <c r="KO261" s="1901"/>
      <c r="KP261" s="1901"/>
      <c r="KQ261" s="1901"/>
      <c r="KR261" s="1901"/>
      <c r="KS261" s="1901"/>
      <c r="KT261" s="1901"/>
      <c r="KU261" s="1901"/>
      <c r="KV261" s="1901"/>
      <c r="KW261" s="1901"/>
      <c r="KX261" s="1901"/>
      <c r="KY261" s="1901"/>
      <c r="KZ261" s="1901"/>
      <c r="LA261" s="1901"/>
      <c r="LB261" s="1901"/>
      <c r="LC261" s="1901"/>
      <c r="LD261" s="1901"/>
      <c r="LE261" s="1901"/>
      <c r="LF261" s="1901"/>
      <c r="LG261" s="1901"/>
      <c r="LH261" s="359"/>
      <c r="LI261" s="359"/>
      <c r="LJ261" s="359"/>
      <c r="LK261" s="359"/>
      <c r="LL261" s="359"/>
      <c r="LM261" s="359"/>
      <c r="LN261" s="1749"/>
      <c r="LO261" s="359"/>
      <c r="LP261" s="359"/>
      <c r="LQ261" s="359"/>
      <c r="LR261" s="359"/>
      <c r="LS261" s="359"/>
      <c r="LT261" s="359"/>
      <c r="LU261" s="359"/>
      <c r="LV261" s="359"/>
      <c r="LW261" s="359"/>
      <c r="LX261" s="359"/>
      <c r="LY261" s="359"/>
      <c r="LZ261" s="359"/>
      <c r="MA261" s="359"/>
      <c r="MB261" s="359"/>
      <c r="MC261" s="359"/>
      <c r="MD261" s="1749"/>
      <c r="ME261" s="1749"/>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21"/>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901"/>
      <c r="JX262" s="359"/>
      <c r="JY262" s="359"/>
      <c r="JZ262" s="359"/>
      <c r="KA262" s="359"/>
      <c r="KB262" s="1901"/>
      <c r="KC262" s="359"/>
      <c r="KD262" s="359"/>
      <c r="KE262" s="359"/>
      <c r="KF262" s="359"/>
      <c r="KG262" s="1901"/>
      <c r="KH262" s="359"/>
      <c r="KI262" s="359"/>
      <c r="KJ262" s="359"/>
      <c r="KK262" s="359"/>
      <c r="KL262" s="1901"/>
      <c r="KM262" s="1901"/>
      <c r="KN262" s="1901"/>
      <c r="KO262" s="1901"/>
      <c r="KP262" s="1901"/>
      <c r="KQ262" s="1901"/>
      <c r="KR262" s="1901"/>
      <c r="KS262" s="1901"/>
      <c r="KT262" s="1901"/>
      <c r="KU262" s="1901"/>
      <c r="KV262" s="1901"/>
      <c r="KW262" s="1901"/>
      <c r="KX262" s="1901"/>
      <c r="KY262" s="1901"/>
      <c r="KZ262" s="1901"/>
      <c r="LA262" s="1901"/>
      <c r="LB262" s="1901"/>
      <c r="LC262" s="1901"/>
      <c r="LD262" s="1901"/>
      <c r="LE262" s="1901"/>
      <c r="LF262" s="1901"/>
      <c r="LG262" s="1901"/>
      <c r="LH262" s="359"/>
      <c r="LI262" s="359"/>
      <c r="LJ262" s="359"/>
      <c r="LK262" s="359"/>
      <c r="LL262" s="359"/>
      <c r="LM262" s="359"/>
      <c r="LN262" s="1749"/>
      <c r="LO262" s="359"/>
      <c r="LP262" s="359"/>
      <c r="LQ262" s="359"/>
      <c r="LR262" s="359"/>
      <c r="LS262" s="359"/>
      <c r="LT262" s="359"/>
      <c r="LU262" s="359"/>
      <c r="LV262" s="359"/>
      <c r="LW262" s="359"/>
      <c r="LX262" s="359"/>
      <c r="LY262" s="359"/>
      <c r="LZ262" s="359"/>
      <c r="MA262" s="359"/>
      <c r="MB262" s="359"/>
      <c r="MC262" s="359"/>
      <c r="MD262" s="1749"/>
      <c r="ME262" s="1749"/>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21"/>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901"/>
      <c r="JX263" s="359"/>
      <c r="JY263" s="359"/>
      <c r="JZ263" s="359"/>
      <c r="KA263" s="359"/>
      <c r="KB263" s="1901"/>
      <c r="KC263" s="359"/>
      <c r="KD263" s="359"/>
      <c r="KE263" s="359"/>
      <c r="KF263" s="359"/>
      <c r="KG263" s="1901"/>
      <c r="KH263" s="359"/>
      <c r="KI263" s="359"/>
      <c r="KJ263" s="359"/>
      <c r="KK263" s="359"/>
      <c r="KL263" s="1901"/>
      <c r="KM263" s="1901"/>
      <c r="KN263" s="1901"/>
      <c r="KO263" s="1901"/>
      <c r="KP263" s="1901"/>
      <c r="KQ263" s="1901"/>
      <c r="KR263" s="1901"/>
      <c r="KS263" s="1901"/>
      <c r="KT263" s="1901"/>
      <c r="KU263" s="1901"/>
      <c r="KV263" s="1901"/>
      <c r="KW263" s="1901"/>
      <c r="KX263" s="1901"/>
      <c r="KY263" s="1901"/>
      <c r="KZ263" s="1901"/>
      <c r="LA263" s="1901"/>
      <c r="LB263" s="1901"/>
      <c r="LC263" s="1901"/>
      <c r="LD263" s="1901"/>
      <c r="LE263" s="1901"/>
      <c r="LF263" s="1901"/>
      <c r="LG263" s="1901"/>
      <c r="LH263" s="359"/>
      <c r="LI263" s="359"/>
      <c r="LJ263" s="359"/>
      <c r="LK263" s="359"/>
      <c r="LL263" s="359"/>
      <c r="LM263" s="359"/>
      <c r="LN263" s="1749"/>
      <c r="LO263" s="359"/>
      <c r="LP263" s="359"/>
      <c r="LQ263" s="359"/>
      <c r="LR263" s="359"/>
      <c r="LS263" s="359"/>
      <c r="LT263" s="359"/>
      <c r="LU263" s="359"/>
      <c r="LV263" s="359"/>
      <c r="LW263" s="359"/>
      <c r="LX263" s="359"/>
      <c r="LY263" s="359"/>
      <c r="LZ263" s="359"/>
      <c r="MA263" s="359"/>
      <c r="MB263" s="359"/>
      <c r="MC263" s="359"/>
      <c r="MD263" s="1749"/>
      <c r="ME263" s="1749"/>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21"/>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901"/>
      <c r="JX264" s="359"/>
      <c r="JY264" s="359"/>
      <c r="JZ264" s="359"/>
      <c r="KA264" s="359"/>
      <c r="KB264" s="1901"/>
      <c r="KC264" s="359"/>
      <c r="KD264" s="359"/>
      <c r="KE264" s="359"/>
      <c r="KF264" s="359"/>
      <c r="KG264" s="1901"/>
      <c r="KH264" s="359"/>
      <c r="KI264" s="359"/>
      <c r="KJ264" s="359"/>
      <c r="KK264" s="359"/>
      <c r="KL264" s="1901"/>
      <c r="KM264" s="1901"/>
      <c r="KN264" s="1901"/>
      <c r="KO264" s="1901"/>
      <c r="KP264" s="1901"/>
      <c r="KQ264" s="1901"/>
      <c r="KR264" s="1901"/>
      <c r="KS264" s="1901"/>
      <c r="KT264" s="1901"/>
      <c r="KU264" s="1901"/>
      <c r="KV264" s="1901"/>
      <c r="KW264" s="1901"/>
      <c r="KX264" s="1901"/>
      <c r="KY264" s="1901"/>
      <c r="KZ264" s="1901"/>
      <c r="LA264" s="1901"/>
      <c r="LB264" s="1901"/>
      <c r="LC264" s="1901"/>
      <c r="LD264" s="1901"/>
      <c r="LE264" s="1901"/>
      <c r="LF264" s="1901"/>
      <c r="LG264" s="1901"/>
      <c r="LH264" s="359"/>
      <c r="LI264" s="359"/>
      <c r="LJ264" s="359"/>
      <c r="LK264" s="359"/>
      <c r="LL264" s="359"/>
      <c r="LM264" s="359"/>
      <c r="LN264" s="1749"/>
      <c r="LO264" s="359"/>
      <c r="LP264" s="359"/>
      <c r="LQ264" s="359"/>
      <c r="LR264" s="359"/>
      <c r="LS264" s="359"/>
      <c r="LT264" s="359"/>
      <c r="LU264" s="359"/>
      <c r="LV264" s="359"/>
      <c r="LW264" s="359"/>
      <c r="LX264" s="359"/>
      <c r="LY264" s="359"/>
      <c r="LZ264" s="359"/>
      <c r="MA264" s="359"/>
      <c r="MB264" s="359"/>
      <c r="MC264" s="359"/>
      <c r="MD264" s="1749"/>
      <c r="ME264" s="1749"/>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21"/>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901"/>
      <c r="JX265" s="359"/>
      <c r="JY265" s="359"/>
      <c r="JZ265" s="359"/>
      <c r="KA265" s="359"/>
      <c r="KB265" s="1901"/>
      <c r="KC265" s="359"/>
      <c r="KD265" s="359"/>
      <c r="KE265" s="359"/>
      <c r="KF265" s="359"/>
      <c r="KG265" s="1901"/>
      <c r="KH265" s="359"/>
      <c r="KI265" s="359"/>
      <c r="KJ265" s="359"/>
      <c r="KK265" s="359"/>
      <c r="KL265" s="1901"/>
      <c r="KM265" s="1901"/>
      <c r="KN265" s="1901"/>
      <c r="KO265" s="1901"/>
      <c r="KP265" s="1901"/>
      <c r="KQ265" s="1901"/>
      <c r="KR265" s="1901"/>
      <c r="KS265" s="1901"/>
      <c r="KT265" s="1901"/>
      <c r="KU265" s="1901"/>
      <c r="KV265" s="1901"/>
      <c r="KW265" s="1901"/>
      <c r="KX265" s="1901"/>
      <c r="KY265" s="1901"/>
      <c r="KZ265" s="1901"/>
      <c r="LA265" s="1901"/>
      <c r="LB265" s="1901"/>
      <c r="LC265" s="1901"/>
      <c r="LD265" s="1901"/>
      <c r="LE265" s="1901"/>
      <c r="LF265" s="1901"/>
      <c r="LG265" s="1901"/>
      <c r="LH265" s="359"/>
      <c r="LI265" s="359"/>
      <c r="LJ265" s="359"/>
      <c r="LK265" s="359"/>
      <c r="LL265" s="359"/>
      <c r="LM265" s="359"/>
      <c r="LN265" s="1749"/>
      <c r="LO265" s="359"/>
      <c r="LP265" s="359"/>
      <c r="LQ265" s="359"/>
      <c r="LR265" s="359"/>
      <c r="LS265" s="359"/>
      <c r="LT265" s="359"/>
      <c r="LU265" s="359"/>
      <c r="LV265" s="359"/>
      <c r="LW265" s="359"/>
      <c r="LX265" s="359"/>
      <c r="LY265" s="359"/>
      <c r="LZ265" s="359"/>
      <c r="MA265" s="359"/>
      <c r="MB265" s="359"/>
      <c r="MC265" s="359"/>
      <c r="MD265" s="1749"/>
      <c r="ME265" s="1749"/>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21"/>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901"/>
      <c r="JX266" s="359"/>
      <c r="JY266" s="359"/>
      <c r="JZ266" s="359"/>
      <c r="KA266" s="359"/>
      <c r="KB266" s="1901"/>
      <c r="KC266" s="359"/>
      <c r="KD266" s="359"/>
      <c r="KE266" s="359"/>
      <c r="KF266" s="359"/>
      <c r="KG266" s="1901"/>
      <c r="KH266" s="359"/>
      <c r="KI266" s="359"/>
      <c r="KJ266" s="359"/>
      <c r="KK266" s="359"/>
      <c r="KL266" s="1901"/>
      <c r="KM266" s="1901"/>
      <c r="KN266" s="1901"/>
      <c r="KO266" s="1901"/>
      <c r="KP266" s="1901"/>
      <c r="KQ266" s="1901"/>
      <c r="KR266" s="1901"/>
      <c r="KS266" s="1901"/>
      <c r="KT266" s="1901"/>
      <c r="KU266" s="1901"/>
      <c r="KV266" s="1901"/>
      <c r="KW266" s="1901"/>
      <c r="KX266" s="1901"/>
      <c r="KY266" s="1901"/>
      <c r="KZ266" s="1901"/>
      <c r="LA266" s="1901"/>
      <c r="LB266" s="1901"/>
      <c r="LC266" s="1901"/>
      <c r="LD266" s="1901"/>
      <c r="LE266" s="1901"/>
      <c r="LF266" s="1901"/>
      <c r="LG266" s="1901"/>
      <c r="LH266" s="359"/>
      <c r="LI266" s="359"/>
      <c r="LJ266" s="359"/>
      <c r="LK266" s="359"/>
      <c r="LL266" s="359"/>
      <c r="LM266" s="359"/>
      <c r="LN266" s="1749"/>
      <c r="LO266" s="359"/>
      <c r="LP266" s="359"/>
      <c r="LQ266" s="359"/>
      <c r="LR266" s="359"/>
      <c r="LS266" s="359"/>
      <c r="LT266" s="359"/>
      <c r="LU266" s="359"/>
      <c r="LV266" s="359"/>
      <c r="LW266" s="359"/>
      <c r="LX266" s="359"/>
      <c r="LY266" s="359"/>
      <c r="LZ266" s="359"/>
      <c r="MA266" s="359"/>
      <c r="MB266" s="359"/>
      <c r="MC266" s="359"/>
      <c r="MD266" s="1749"/>
      <c r="ME266" s="1749"/>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21"/>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901"/>
      <c r="JX267" s="359"/>
      <c r="JY267" s="359"/>
      <c r="JZ267" s="359"/>
      <c r="KA267" s="359"/>
      <c r="KB267" s="1901"/>
      <c r="KC267" s="359"/>
      <c r="KD267" s="359"/>
      <c r="KE267" s="359"/>
      <c r="KF267" s="359"/>
      <c r="KG267" s="1901"/>
      <c r="KH267" s="359"/>
      <c r="KI267" s="359"/>
      <c r="KJ267" s="359"/>
      <c r="KK267" s="359"/>
      <c r="KL267" s="1901"/>
      <c r="KM267" s="1901"/>
      <c r="KN267" s="1901"/>
      <c r="KO267" s="1901"/>
      <c r="KP267" s="1901"/>
      <c r="KQ267" s="1901"/>
      <c r="KR267" s="1901"/>
      <c r="KS267" s="1901"/>
      <c r="KT267" s="1901"/>
      <c r="KU267" s="1901"/>
      <c r="KV267" s="1901"/>
      <c r="KW267" s="1901"/>
      <c r="KX267" s="1901"/>
      <c r="KY267" s="1901"/>
      <c r="KZ267" s="1901"/>
      <c r="LA267" s="1901"/>
      <c r="LB267" s="1901"/>
      <c r="LC267" s="1901"/>
      <c r="LD267" s="1901"/>
      <c r="LE267" s="1901"/>
      <c r="LF267" s="1901"/>
      <c r="LG267" s="1901"/>
      <c r="LH267" s="359"/>
      <c r="LI267" s="359"/>
      <c r="LJ267" s="359"/>
      <c r="LK267" s="359"/>
      <c r="LL267" s="359"/>
      <c r="LM267" s="359"/>
      <c r="LN267" s="1749"/>
      <c r="LO267" s="359"/>
      <c r="LP267" s="359"/>
      <c r="LQ267" s="359"/>
      <c r="LR267" s="359"/>
      <c r="LS267" s="359"/>
      <c r="LT267" s="359"/>
      <c r="LU267" s="359"/>
      <c r="LV267" s="359"/>
      <c r="LW267" s="359"/>
      <c r="LX267" s="359"/>
      <c r="LY267" s="359"/>
      <c r="LZ267" s="359"/>
      <c r="MA267" s="359"/>
      <c r="MB267" s="359"/>
      <c r="MC267" s="359"/>
      <c r="MD267" s="1749"/>
      <c r="ME267" s="1749"/>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2"/>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2"/>
    </row>
    <row r="269" spans="1:493" ht="14.1" customHeight="1">
      <c r="NP269" s="1722"/>
    </row>
    <row r="270" spans="1:493" ht="14.1" customHeight="1">
      <c r="NP270" s="1722"/>
    </row>
    <row r="271" spans="1:493" ht="14.1" customHeight="1">
      <c r="NP271" s="1722"/>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901"/>
      <c r="JX272" s="359"/>
      <c r="JY272" s="359"/>
      <c r="JZ272" s="359"/>
      <c r="KA272" s="359"/>
      <c r="KB272" s="1901"/>
      <c r="KC272" s="359"/>
      <c r="KD272" s="359"/>
      <c r="KE272" s="359"/>
      <c r="KF272" s="359"/>
      <c r="KG272" s="1901"/>
      <c r="KH272" s="359"/>
      <c r="KI272" s="359"/>
      <c r="KJ272" s="359"/>
      <c r="KK272" s="359"/>
      <c r="KL272" s="1901"/>
      <c r="KM272" s="1901"/>
      <c r="KN272" s="1901"/>
      <c r="KO272" s="1901"/>
      <c r="KP272" s="1901"/>
      <c r="KQ272" s="1901"/>
      <c r="KR272" s="1901"/>
      <c r="KS272" s="1901"/>
      <c r="KT272" s="1901"/>
      <c r="KU272" s="1901"/>
      <c r="KV272" s="1901"/>
      <c r="KW272" s="1901"/>
      <c r="KX272" s="1901"/>
      <c r="KY272" s="1901"/>
      <c r="KZ272" s="1901"/>
      <c r="LA272" s="1901"/>
      <c r="LB272" s="1901"/>
      <c r="LC272" s="1901"/>
      <c r="LD272" s="1901"/>
      <c r="LE272" s="1901"/>
      <c r="LF272" s="1901"/>
      <c r="LG272" s="1901"/>
      <c r="LH272" s="359"/>
      <c r="LI272" s="359"/>
      <c r="LJ272" s="359"/>
      <c r="LK272" s="359"/>
      <c r="LL272" s="359"/>
      <c r="LM272" s="359"/>
      <c r="LN272" s="1749"/>
      <c r="LO272" s="359"/>
      <c r="LP272" s="359"/>
      <c r="LQ272" s="359"/>
      <c r="LR272" s="359"/>
      <c r="LS272" s="359"/>
      <c r="LT272" s="359"/>
      <c r="LU272" s="359"/>
      <c r="LV272" s="359"/>
      <c r="LW272" s="359"/>
      <c r="LX272" s="359"/>
      <c r="LY272" s="359"/>
      <c r="LZ272" s="359"/>
      <c r="MA272" s="359"/>
      <c r="MB272" s="359"/>
      <c r="MC272" s="359"/>
      <c r="MD272" s="1749"/>
      <c r="ME272" s="1749"/>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2"/>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901"/>
      <c r="JX273" s="359"/>
      <c r="JY273" s="359"/>
      <c r="JZ273" s="359"/>
      <c r="KA273" s="359"/>
      <c r="KB273" s="1901"/>
      <c r="KC273" s="359"/>
      <c r="KD273" s="359"/>
      <c r="KE273" s="359"/>
      <c r="KF273" s="359"/>
      <c r="KG273" s="1901"/>
      <c r="KH273" s="359"/>
      <c r="KI273" s="359"/>
      <c r="KJ273" s="359"/>
      <c r="KK273" s="359"/>
      <c r="KL273" s="1901"/>
      <c r="KM273" s="1901"/>
      <c r="KN273" s="1901"/>
      <c r="KO273" s="1901"/>
      <c r="KP273" s="1901"/>
      <c r="KQ273" s="1901"/>
      <c r="KR273" s="1901"/>
      <c r="KS273" s="1901"/>
      <c r="KT273" s="1901"/>
      <c r="KU273" s="1901"/>
      <c r="KV273" s="1901"/>
      <c r="KW273" s="1901"/>
      <c r="KX273" s="1901"/>
      <c r="KY273" s="1901"/>
      <c r="KZ273" s="1901"/>
      <c r="LA273" s="1901"/>
      <c r="LB273" s="1901"/>
      <c r="LC273" s="1901"/>
      <c r="LD273" s="1901"/>
      <c r="LE273" s="1901"/>
      <c r="LF273" s="1901"/>
      <c r="LG273" s="1901"/>
      <c r="LH273" s="359"/>
      <c r="LI273" s="359"/>
      <c r="LJ273" s="359"/>
      <c r="LK273" s="359"/>
      <c r="LL273" s="359"/>
      <c r="LM273" s="359"/>
      <c r="LN273" s="1749"/>
      <c r="LO273" s="359"/>
      <c r="LP273" s="359"/>
      <c r="LQ273" s="359"/>
      <c r="LR273" s="359"/>
      <c r="LS273" s="359"/>
      <c r="LT273" s="359"/>
      <c r="LU273" s="359"/>
      <c r="LV273" s="359"/>
      <c r="LW273" s="359"/>
      <c r="LX273" s="359"/>
      <c r="LY273" s="359"/>
      <c r="LZ273" s="359"/>
      <c r="MA273" s="359"/>
      <c r="MB273" s="359"/>
      <c r="MC273" s="359"/>
      <c r="MD273" s="1749"/>
      <c r="ME273" s="1749"/>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2"/>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901"/>
      <c r="JX274" s="359"/>
      <c r="JY274" s="359"/>
      <c r="JZ274" s="359"/>
      <c r="KA274" s="359"/>
      <c r="KB274" s="1901"/>
      <c r="KC274" s="359"/>
      <c r="KD274" s="359"/>
      <c r="KE274" s="359"/>
      <c r="KF274" s="359"/>
      <c r="KG274" s="1901"/>
      <c r="KH274" s="359"/>
      <c r="KI274" s="359"/>
      <c r="KJ274" s="359"/>
      <c r="KK274" s="359"/>
      <c r="KL274" s="1901"/>
      <c r="KM274" s="1901"/>
      <c r="KN274" s="1901"/>
      <c r="KO274" s="1901"/>
      <c r="KP274" s="1901"/>
      <c r="KQ274" s="1901"/>
      <c r="KR274" s="1901"/>
      <c r="KS274" s="1901"/>
      <c r="KT274" s="1901"/>
      <c r="KU274" s="1901"/>
      <c r="KV274" s="1901"/>
      <c r="KW274" s="1901"/>
      <c r="KX274" s="1901"/>
      <c r="KY274" s="1901"/>
      <c r="KZ274" s="1901"/>
      <c r="LA274" s="1901"/>
      <c r="LB274" s="1901"/>
      <c r="LC274" s="1901"/>
      <c r="LD274" s="1901"/>
      <c r="LE274" s="1901"/>
      <c r="LF274" s="1901"/>
      <c r="LG274" s="1901"/>
      <c r="LH274" s="359"/>
      <c r="LI274" s="359"/>
      <c r="LJ274" s="359"/>
      <c r="LK274" s="359"/>
      <c r="LL274" s="359"/>
      <c r="LM274" s="359"/>
      <c r="LN274" s="1749"/>
      <c r="LO274" s="359"/>
      <c r="LP274" s="359"/>
      <c r="LQ274" s="359"/>
      <c r="LR274" s="359"/>
      <c r="LS274" s="359"/>
      <c r="LT274" s="359"/>
      <c r="LU274" s="359"/>
      <c r="LV274" s="359"/>
      <c r="LW274" s="359"/>
      <c r="LX274" s="359"/>
      <c r="LY274" s="359"/>
      <c r="LZ274" s="359"/>
      <c r="MA274" s="359"/>
      <c r="MB274" s="359"/>
      <c r="MC274" s="359"/>
      <c r="MD274" s="1749"/>
      <c r="ME274" s="1749"/>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21"/>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901"/>
      <c r="JX275" s="359"/>
      <c r="JY275" s="359"/>
      <c r="JZ275" s="359"/>
      <c r="KA275" s="359"/>
      <c r="KB275" s="1901"/>
      <c r="KC275" s="359"/>
      <c r="KD275" s="359"/>
      <c r="KE275" s="359"/>
      <c r="KF275" s="359"/>
      <c r="KG275" s="1901"/>
      <c r="KH275" s="359"/>
      <c r="KI275" s="359"/>
      <c r="KJ275" s="359"/>
      <c r="KK275" s="359"/>
      <c r="KL275" s="1901"/>
      <c r="KM275" s="1901"/>
      <c r="KN275" s="1901"/>
      <c r="KO275" s="1901"/>
      <c r="KP275" s="1901"/>
      <c r="KQ275" s="1901"/>
      <c r="KR275" s="1901"/>
      <c r="KS275" s="1901"/>
      <c r="KT275" s="1901"/>
      <c r="KU275" s="1901"/>
      <c r="KV275" s="1901"/>
      <c r="KW275" s="1901"/>
      <c r="KX275" s="1901"/>
      <c r="KY275" s="1901"/>
      <c r="KZ275" s="1901"/>
      <c r="LA275" s="1901"/>
      <c r="LB275" s="1901"/>
      <c r="LC275" s="1901"/>
      <c r="LD275" s="1901"/>
      <c r="LE275" s="1901"/>
      <c r="LF275" s="1901"/>
      <c r="LG275" s="1901"/>
      <c r="LH275" s="359"/>
      <c r="LI275" s="359"/>
      <c r="LJ275" s="359"/>
      <c r="LK275" s="359"/>
      <c r="LL275" s="359"/>
      <c r="LM275" s="359"/>
      <c r="LN275" s="1749"/>
      <c r="LO275" s="359"/>
      <c r="LP275" s="359"/>
      <c r="LQ275" s="359"/>
      <c r="LR275" s="359"/>
      <c r="LS275" s="359"/>
      <c r="LT275" s="359"/>
      <c r="LU275" s="359"/>
      <c r="LV275" s="359"/>
      <c r="LW275" s="359"/>
      <c r="LX275" s="359"/>
      <c r="LY275" s="359"/>
      <c r="LZ275" s="359"/>
      <c r="MA275" s="359"/>
      <c r="MB275" s="359"/>
      <c r="MC275" s="359"/>
      <c r="MD275" s="1749"/>
      <c r="ME275" s="1749"/>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21"/>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901"/>
      <c r="JX276" s="359"/>
      <c r="JY276" s="359"/>
      <c r="JZ276" s="359"/>
      <c r="KA276" s="359"/>
      <c r="KB276" s="1901"/>
      <c r="KC276" s="359"/>
      <c r="KD276" s="359"/>
      <c r="KE276" s="359"/>
      <c r="KF276" s="359"/>
      <c r="KG276" s="1901"/>
      <c r="KH276" s="359"/>
      <c r="KI276" s="359"/>
      <c r="KJ276" s="359"/>
      <c r="KK276" s="359"/>
      <c r="KL276" s="1901"/>
      <c r="KM276" s="1901"/>
      <c r="KN276" s="1901"/>
      <c r="KO276" s="1901"/>
      <c r="KP276" s="1901"/>
      <c r="KQ276" s="1901"/>
      <c r="KR276" s="1901"/>
      <c r="KS276" s="1901"/>
      <c r="KT276" s="1901"/>
      <c r="KU276" s="1901"/>
      <c r="KV276" s="1901"/>
      <c r="KW276" s="1901"/>
      <c r="KX276" s="1901"/>
      <c r="KY276" s="1901"/>
      <c r="KZ276" s="1901"/>
      <c r="LA276" s="1901"/>
      <c r="LB276" s="1901"/>
      <c r="LC276" s="1901"/>
      <c r="LD276" s="1901"/>
      <c r="LE276" s="1901"/>
      <c r="LF276" s="1901"/>
      <c r="LG276" s="1901"/>
      <c r="LH276" s="359"/>
      <c r="LI276" s="359"/>
      <c r="LJ276" s="359"/>
      <c r="LK276" s="359"/>
      <c r="LL276" s="359"/>
      <c r="LM276" s="359"/>
      <c r="LN276" s="1749"/>
      <c r="LO276" s="359"/>
      <c r="LP276" s="359"/>
      <c r="LQ276" s="359"/>
      <c r="LR276" s="359"/>
      <c r="LS276" s="359"/>
      <c r="LT276" s="359"/>
      <c r="LU276" s="359"/>
      <c r="LV276" s="359"/>
      <c r="LW276" s="359"/>
      <c r="LX276" s="359"/>
      <c r="LY276" s="359"/>
      <c r="LZ276" s="359"/>
      <c r="MA276" s="359"/>
      <c r="MB276" s="359"/>
      <c r="MC276" s="359"/>
      <c r="MD276" s="1749"/>
      <c r="ME276" s="1749"/>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21"/>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2"/>
    </row>
    <row r="279" spans="1:493" ht="14.1" customHeight="1">
      <c r="NP279" s="1722"/>
    </row>
    <row r="280" spans="1:493" ht="14.1" customHeight="1">
      <c r="NP280" s="1722"/>
    </row>
    <row r="281" spans="1:493" ht="14.1" customHeight="1">
      <c r="NP281" s="1722"/>
    </row>
    <row r="282" spans="1:493" ht="14.1" customHeight="1">
      <c r="NP282" s="1722"/>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901"/>
      <c r="JX284" s="359"/>
      <c r="JY284" s="359"/>
      <c r="JZ284" s="359"/>
      <c r="KA284" s="359"/>
      <c r="KB284" s="1901"/>
      <c r="KC284" s="359"/>
      <c r="KD284" s="359"/>
      <c r="KE284" s="359"/>
      <c r="KF284" s="359"/>
      <c r="KG284" s="1901"/>
      <c r="KH284" s="359"/>
      <c r="KI284" s="359"/>
      <c r="KJ284" s="359"/>
      <c r="KK284" s="359"/>
      <c r="KL284" s="1901"/>
      <c r="KM284" s="1901"/>
      <c r="KN284" s="1901"/>
      <c r="KO284" s="1901"/>
      <c r="KP284" s="1901"/>
      <c r="KQ284" s="1901"/>
      <c r="KR284" s="1901"/>
      <c r="KS284" s="1901"/>
      <c r="KT284" s="1901"/>
      <c r="KU284" s="1901"/>
      <c r="KV284" s="1901"/>
      <c r="KW284" s="1901"/>
      <c r="KX284" s="1901"/>
      <c r="KY284" s="1901"/>
      <c r="KZ284" s="1901"/>
      <c r="LA284" s="1901"/>
      <c r="LB284" s="1901"/>
      <c r="LC284" s="1901"/>
      <c r="LD284" s="1901"/>
      <c r="LE284" s="1901"/>
      <c r="LF284" s="1901"/>
      <c r="LG284" s="1901"/>
      <c r="LH284" s="359"/>
      <c r="LI284" s="359"/>
      <c r="LJ284" s="359"/>
      <c r="LK284" s="359"/>
      <c r="LL284" s="359"/>
      <c r="LM284" s="359"/>
      <c r="LN284" s="1749"/>
      <c r="LO284" s="359"/>
      <c r="LP284" s="359"/>
      <c r="LQ284" s="359"/>
      <c r="LR284" s="359"/>
      <c r="LS284" s="359"/>
      <c r="LT284" s="359"/>
      <c r="LU284" s="359"/>
      <c r="LV284" s="359"/>
      <c r="LW284" s="359"/>
      <c r="LX284" s="359"/>
      <c r="LY284" s="359"/>
      <c r="LZ284" s="359"/>
      <c r="MA284" s="359"/>
      <c r="MB284" s="359"/>
      <c r="MC284" s="359"/>
      <c r="MD284" s="1749"/>
      <c r="ME284" s="1749"/>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21"/>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901"/>
      <c r="JX285" s="359"/>
      <c r="JY285" s="359"/>
      <c r="JZ285" s="359"/>
      <c r="KA285" s="359"/>
      <c r="KB285" s="1901"/>
      <c r="KC285" s="359"/>
      <c r="KD285" s="359"/>
      <c r="KE285" s="359"/>
      <c r="KF285" s="359"/>
      <c r="KG285" s="1901"/>
      <c r="KH285" s="359"/>
      <c r="KI285" s="359"/>
      <c r="KJ285" s="359"/>
      <c r="KK285" s="359"/>
      <c r="KL285" s="1901"/>
      <c r="KM285" s="1901"/>
      <c r="KN285" s="1901"/>
      <c r="KO285" s="1901"/>
      <c r="KP285" s="1901"/>
      <c r="KQ285" s="1901"/>
      <c r="KR285" s="1901"/>
      <c r="KS285" s="1901"/>
      <c r="KT285" s="1901"/>
      <c r="KU285" s="1901"/>
      <c r="KV285" s="1901"/>
      <c r="KW285" s="1901"/>
      <c r="KX285" s="1901"/>
      <c r="KY285" s="1901"/>
      <c r="KZ285" s="1901"/>
      <c r="LA285" s="1901"/>
      <c r="LB285" s="1901"/>
      <c r="LC285" s="1901"/>
      <c r="LD285" s="1901"/>
      <c r="LE285" s="1901"/>
      <c r="LF285" s="1901"/>
      <c r="LG285" s="1901"/>
      <c r="LH285" s="359"/>
      <c r="LI285" s="359"/>
      <c r="LJ285" s="359"/>
      <c r="LK285" s="359"/>
      <c r="LL285" s="359"/>
      <c r="LM285" s="359"/>
      <c r="LN285" s="1749"/>
      <c r="LO285" s="359"/>
      <c r="LP285" s="359"/>
      <c r="LQ285" s="359"/>
      <c r="LR285" s="359"/>
      <c r="LS285" s="359"/>
      <c r="LT285" s="359"/>
      <c r="LU285" s="359"/>
      <c r="LV285" s="359"/>
      <c r="LW285" s="359"/>
      <c r="LX285" s="359"/>
      <c r="LY285" s="359"/>
      <c r="LZ285" s="359"/>
      <c r="MA285" s="359"/>
      <c r="MB285" s="359"/>
      <c r="MC285" s="359"/>
      <c r="MD285" s="1749"/>
      <c r="ME285" s="1749"/>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21"/>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901"/>
      <c r="JX286" s="359"/>
      <c r="JY286" s="359"/>
      <c r="JZ286" s="359"/>
      <c r="KA286" s="359"/>
      <c r="KB286" s="1901"/>
      <c r="KC286" s="359"/>
      <c r="KD286" s="359"/>
      <c r="KE286" s="359"/>
      <c r="KF286" s="359"/>
      <c r="KG286" s="1901"/>
      <c r="KH286" s="359"/>
      <c r="KI286" s="359"/>
      <c r="KJ286" s="359"/>
      <c r="KK286" s="359"/>
      <c r="KL286" s="1901"/>
      <c r="KM286" s="1901"/>
      <c r="KN286" s="1901"/>
      <c r="KO286" s="1901"/>
      <c r="KP286" s="1901"/>
      <c r="KQ286" s="1901"/>
      <c r="KR286" s="1901"/>
      <c r="KS286" s="1901"/>
      <c r="KT286" s="1901"/>
      <c r="KU286" s="1901"/>
      <c r="KV286" s="1901"/>
      <c r="KW286" s="1901"/>
      <c r="KX286" s="1901"/>
      <c r="KY286" s="1901"/>
      <c r="KZ286" s="1901"/>
      <c r="LA286" s="1901"/>
      <c r="LB286" s="1901"/>
      <c r="LC286" s="1901"/>
      <c r="LD286" s="1901"/>
      <c r="LE286" s="1901"/>
      <c r="LF286" s="1901"/>
      <c r="LG286" s="1901"/>
      <c r="LH286" s="359"/>
      <c r="LI286" s="359"/>
      <c r="LJ286" s="359"/>
      <c r="LK286" s="359"/>
      <c r="LL286" s="359"/>
      <c r="LM286" s="359"/>
      <c r="LN286" s="1749"/>
      <c r="LO286" s="359"/>
      <c r="LP286" s="359"/>
      <c r="LQ286" s="359"/>
      <c r="LR286" s="359"/>
      <c r="LS286" s="359"/>
      <c r="LT286" s="359"/>
      <c r="LU286" s="359"/>
      <c r="LV286" s="359"/>
      <c r="LW286" s="359"/>
      <c r="LX286" s="359"/>
      <c r="LY286" s="359"/>
      <c r="LZ286" s="359"/>
      <c r="MA286" s="359"/>
      <c r="MB286" s="359"/>
      <c r="MC286" s="359"/>
      <c r="MD286" s="1749"/>
      <c r="ME286" s="1749"/>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21"/>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901"/>
      <c r="JX287" s="359"/>
      <c r="JY287" s="359"/>
      <c r="JZ287" s="359"/>
      <c r="KA287" s="359"/>
      <c r="KB287" s="1901"/>
      <c r="KC287" s="359"/>
      <c r="KD287" s="359"/>
      <c r="KE287" s="359"/>
      <c r="KF287" s="359"/>
      <c r="KG287" s="1901"/>
      <c r="KH287" s="359"/>
      <c r="KI287" s="359"/>
      <c r="KJ287" s="359"/>
      <c r="KK287" s="359"/>
      <c r="KL287" s="1901"/>
      <c r="KM287" s="1901"/>
      <c r="KN287" s="1901"/>
      <c r="KO287" s="1901"/>
      <c r="KP287" s="1901"/>
      <c r="KQ287" s="1901"/>
      <c r="KR287" s="1901"/>
      <c r="KS287" s="1901"/>
      <c r="KT287" s="1901"/>
      <c r="KU287" s="1901"/>
      <c r="KV287" s="1901"/>
      <c r="KW287" s="1901"/>
      <c r="KX287" s="1901"/>
      <c r="KY287" s="1901"/>
      <c r="KZ287" s="1901"/>
      <c r="LA287" s="1901"/>
      <c r="LB287" s="1901"/>
      <c r="LC287" s="1901"/>
      <c r="LD287" s="1901"/>
      <c r="LE287" s="1901"/>
      <c r="LF287" s="1901"/>
      <c r="LG287" s="1901"/>
      <c r="LH287" s="359"/>
      <c r="LI287" s="359"/>
      <c r="LJ287" s="359"/>
      <c r="LK287" s="359"/>
      <c r="LL287" s="359"/>
      <c r="LM287" s="359"/>
      <c r="LN287" s="1749"/>
      <c r="LO287" s="359"/>
      <c r="LP287" s="359"/>
      <c r="LQ287" s="359"/>
      <c r="LR287" s="359"/>
      <c r="LS287" s="359"/>
      <c r="LT287" s="359"/>
      <c r="LU287" s="359"/>
      <c r="LV287" s="359"/>
      <c r="LW287" s="359"/>
      <c r="LX287" s="359"/>
      <c r="LY287" s="359"/>
      <c r="LZ287" s="359"/>
      <c r="MA287" s="359"/>
      <c r="MB287" s="359"/>
      <c r="MC287" s="359"/>
      <c r="MD287" s="1749"/>
      <c r="ME287" s="1749"/>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21"/>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901"/>
      <c r="JX288" s="359"/>
      <c r="JY288" s="359"/>
      <c r="JZ288" s="359"/>
      <c r="KA288" s="359"/>
      <c r="KB288" s="1901"/>
      <c r="KC288" s="359"/>
      <c r="KD288" s="359"/>
      <c r="KE288" s="359"/>
      <c r="KF288" s="359"/>
      <c r="KG288" s="1901"/>
      <c r="KH288" s="359"/>
      <c r="KI288" s="359"/>
      <c r="KJ288" s="359"/>
      <c r="KK288" s="359"/>
      <c r="KL288" s="1901"/>
      <c r="KM288" s="1901"/>
      <c r="KN288" s="1901"/>
      <c r="KO288" s="1901"/>
      <c r="KP288" s="1901"/>
      <c r="KQ288" s="1901"/>
      <c r="KR288" s="1901"/>
      <c r="KS288" s="1901"/>
      <c r="KT288" s="1901"/>
      <c r="KU288" s="1901"/>
      <c r="KV288" s="1901"/>
      <c r="KW288" s="1901"/>
      <c r="KX288" s="1901"/>
      <c r="KY288" s="1901"/>
      <c r="KZ288" s="1901"/>
      <c r="LA288" s="1901"/>
      <c r="LB288" s="1901"/>
      <c r="LC288" s="1901"/>
      <c r="LD288" s="1901"/>
      <c r="LE288" s="1901"/>
      <c r="LF288" s="1901"/>
      <c r="LG288" s="1901"/>
      <c r="LH288" s="359"/>
      <c r="LI288" s="359"/>
      <c r="LJ288" s="359"/>
      <c r="LK288" s="359"/>
      <c r="LL288" s="359"/>
      <c r="LM288" s="359"/>
      <c r="LN288" s="1749"/>
      <c r="LO288" s="359"/>
      <c r="LP288" s="359"/>
      <c r="LQ288" s="359"/>
      <c r="LR288" s="359"/>
      <c r="LS288" s="359"/>
      <c r="LT288" s="359"/>
      <c r="LU288" s="359"/>
      <c r="LV288" s="359"/>
      <c r="LW288" s="359"/>
      <c r="LX288" s="359"/>
      <c r="LY288" s="359"/>
      <c r="LZ288" s="359"/>
      <c r="MA288" s="359"/>
      <c r="MB288" s="359"/>
      <c r="MC288" s="359"/>
      <c r="MD288" s="1749"/>
      <c r="ME288" s="1749"/>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21"/>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2"/>
    </row>
    <row r="291" spans="1:380" ht="14.1" customHeight="1">
      <c r="NP291" s="1722"/>
    </row>
    <row r="292" spans="1:380" ht="14.1" customHeight="1">
      <c r="NP292" s="1722"/>
    </row>
    <row r="293" spans="1:380" ht="14.1" customHeight="1">
      <c r="NP293" s="1722"/>
    </row>
    <row r="294" spans="1:380" ht="14.1" customHeight="1">
      <c r="NP294" s="1722"/>
    </row>
    <row r="295" spans="1:380" ht="14.1" customHeight="1"/>
    <row r="296" spans="1:380" ht="14.1" customHeight="1"/>
    <row r="297" spans="1:380" ht="14.1" customHeight="1"/>
    <row r="298" spans="1:380" ht="14.1" customHeight="1"/>
    <row r="299" spans="1:380" ht="14.1" customHeight="1"/>
  </sheetData>
  <sheetProtection algorithmName="SHA-512" hashValue="HGO/5IbS1U55OrT2ARxo2WAMTZ+HrJqD5ManPnky11H5RfgBsb9twW9ITt/cUWRe7EfS/pq0h7EndD8DuvK/hg==" saltValue="SiHntrCDHx+rCJgjc0c71w=="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23" priority="4" operator="equal">
      <formula>"Finish Row!"</formula>
    </cfRule>
  </conditionalFormatting>
  <conditionalFormatting sqref="A11:A48">
    <cfRule type="cellIs" dxfId="122" priority="32" stopIfTrue="1" operator="equal">
      <formula>1</formula>
    </cfRule>
  </conditionalFormatting>
  <conditionalFormatting sqref="B50:C50">
    <cfRule type="cellIs" dxfId="121"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20" priority="22" operator="equal">
      <formula>0</formula>
    </cfRule>
  </conditionalFormatting>
  <conditionalFormatting sqref="K130:P135">
    <cfRule type="cellIs" dxfId="119" priority="1" operator="equal">
      <formula>0</formula>
    </cfRule>
  </conditionalFormatting>
  <conditionalFormatting sqref="K136:P168">
    <cfRule type="cellIs" dxfId="118" priority="13" operator="equal">
      <formula>0</formula>
    </cfRule>
  </conditionalFormatting>
  <conditionalFormatting sqref="L102:O102">
    <cfRule type="cellIs" dxfId="117" priority="7" operator="equal">
      <formula>"&lt;&lt; Select LIHTC Election &gt;&gt;"</formula>
    </cfRule>
    <cfRule type="containsText" dxfId="116" priority="11" operator="containsText" text="&lt;&lt; Select Election or Income Averaging &gt;&gt;">
      <formula>NOT(ISERROR(SEARCH("&lt;&lt; Select Election or Income Averaging &gt;&gt;",L102)))</formula>
    </cfRule>
  </conditionalFormatting>
  <conditionalFormatting sqref="L145:O145">
    <cfRule type="cellIs" dxfId="115" priority="6" operator="equal">
      <formula>"&lt;&lt; Select LIHTC Election &gt;&gt;"</formula>
    </cfRule>
    <cfRule type="containsText" dxfId="114" priority="9" operator="containsText" text="&lt;&lt; Select Election or Income Averaging &gt;&gt;">
      <formula>NOT(ISERROR(SEARCH("&lt;&lt; Select Election or Income Averaging &gt;&gt;",L145)))</formula>
    </cfRule>
  </conditionalFormatting>
  <conditionalFormatting sqref="P179">
    <cfRule type="cellIs" dxfId="113" priority="28" operator="greaterThan">
      <formula>0.02</formula>
    </cfRule>
  </conditionalFormatting>
  <conditionalFormatting sqref="Q11:Q48">
    <cfRule type="expression" dxfId="112" priority="26">
      <formula>AND($P$11="New Construction",$Q$11="Yes")</formula>
    </cfRule>
  </conditionalFormatting>
  <conditionalFormatting sqref="U69">
    <cfRule type="cellIs" dxfId="111" priority="3" stopIfTrue="1" operator="greaterThan">
      <formula>0</formula>
    </cfRule>
  </conditionalFormatting>
  <conditionalFormatting sqref="U91:U92 U101:U103 U112 U126">
    <cfRule type="cellIs" dxfId="110" priority="31" stopIfTrue="1" operator="greaterThan">
      <formula>0</formula>
    </cfRule>
  </conditionalFormatting>
  <conditionalFormatting sqref="U155">
    <cfRule type="cellIs" dxfId="109"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52" zoomScaleNormal="100" workbookViewId="0">
      <selection activeCell="K11" sqref="K11"/>
    </sheetView>
  </sheetViews>
  <sheetFormatPr defaultColWidth="8.85546875" defaultRowHeight="12.75"/>
  <cols>
    <col min="1" max="1" width="22.140625" style="6" customWidth="1"/>
    <col min="2" max="11" width="12" style="6" customWidth="1"/>
    <col min="12" max="13" width="2.140625" style="6" customWidth="1"/>
    <col min="14" max="14" width="19.140625" style="6" customWidth="1"/>
    <col min="15" max="15" width="83" style="6" customWidth="1"/>
    <col min="16" max="16" width="8.85546875" style="6"/>
    <col min="17" max="17" width="5.140625" style="6" customWidth="1"/>
    <col min="18" max="18" width="12.140625" style="6" customWidth="1"/>
    <col min="19" max="19" width="12.42578125" style="6" customWidth="1"/>
    <col min="20" max="25" width="8.85546875" style="6"/>
    <col min="26" max="26" width="10.85546875" style="1721" bestFit="1" customWidth="1"/>
    <col min="27" max="27" width="8.85546875" style="1723"/>
    <col min="28" max="16384" width="8.85546875" style="6"/>
  </cols>
  <sheetData>
    <row r="1" spans="1:27" s="1721" customFormat="1" hidden="1">
      <c r="B1" s="1721" t="s">
        <v>6459</v>
      </c>
      <c r="C1" s="1721" t="s">
        <v>6460</v>
      </c>
      <c r="D1" s="1721" t="s">
        <v>6461</v>
      </c>
      <c r="E1" s="1721" t="s">
        <v>6462</v>
      </c>
      <c r="F1" s="1721" t="s">
        <v>6463</v>
      </c>
      <c r="G1" s="1721" t="s">
        <v>6464</v>
      </c>
      <c r="H1" s="1721" t="s">
        <v>6465</v>
      </c>
      <c r="I1" s="1721" t="s">
        <v>6466</v>
      </c>
      <c r="J1" s="1721" t="s">
        <v>6467</v>
      </c>
      <c r="K1" s="1721" t="s">
        <v>6468</v>
      </c>
      <c r="AA1" s="1723">
        <v>1</v>
      </c>
    </row>
    <row r="2" spans="1:27" ht="14.1" customHeight="1">
      <c r="A2" s="3205" t="str">
        <f>CONCATENATE("PART SIX - OPERATING PRO FORMA","  -  ",'Part I-Project Identification'!$O$7," ",'Part I-Project Identification'!$F$29,", ",'Part I-Project Identification'!F30,", ",'Part I-Project Identification'!J30," County")</f>
        <v>PART SIX - OPERATING PRO FORMA  -  2022-522 Harrison Village Apartments, Gainesville, Hall County</v>
      </c>
      <c r="B2" s="3206"/>
      <c r="C2" s="3206"/>
      <c r="D2" s="3206"/>
      <c r="E2" s="3206"/>
      <c r="F2" s="3206"/>
      <c r="G2" s="3206"/>
      <c r="H2" s="3206"/>
      <c r="I2" s="3206"/>
      <c r="J2" s="3206"/>
      <c r="K2" s="3207"/>
      <c r="L2" s="4"/>
      <c r="M2" s="4"/>
      <c r="N2" s="3208" t="str">
        <f>A2</f>
        <v>PART SIX - OPERATING PRO FORMA  -  2022-522 Harrison Village Apartments, Gainesville, Hall County</v>
      </c>
      <c r="O2" s="3208"/>
      <c r="P2" s="4"/>
      <c r="AA2" s="1723">
        <v>2</v>
      </c>
    </row>
    <row r="3" spans="1:27" ht="13.5" customHeight="1">
      <c r="A3" s="382"/>
      <c r="B3" s="382"/>
      <c r="C3" s="382"/>
      <c r="D3" s="382"/>
      <c r="E3" s="382"/>
      <c r="F3" s="382"/>
      <c r="G3" s="382"/>
      <c r="H3" s="382"/>
      <c r="I3" s="382"/>
      <c r="J3" s="382"/>
      <c r="K3" s="382"/>
      <c r="N3" s="3062" t="s">
        <v>1711</v>
      </c>
      <c r="O3" s="3062"/>
      <c r="AA3" s="1723">
        <v>3</v>
      </c>
    </row>
    <row r="4" spans="1:27" ht="13.5" customHeight="1">
      <c r="A4" s="10" t="s">
        <v>85</v>
      </c>
      <c r="C4" s="3209" t="str">
        <f>'Part I-Project Identification'!$A$6</f>
        <v>Sept 20, 2022 Core Application - 4% Only</v>
      </c>
      <c r="D4" s="946" t="s">
        <v>75</v>
      </c>
      <c r="E4" s="180"/>
      <c r="F4" s="947" t="s">
        <v>3407</v>
      </c>
      <c r="N4" s="10" t="str">
        <f>A4</f>
        <v>I.  OPERATING ASSUMPTIONS</v>
      </c>
      <c r="O4" s="10"/>
      <c r="AA4" s="1723">
        <v>4</v>
      </c>
    </row>
    <row r="5" spans="1:27" ht="2.4500000000000002" customHeight="1">
      <c r="C5" s="3209"/>
      <c r="AA5" s="1723">
        <v>5</v>
      </c>
    </row>
    <row r="6" spans="1:27" ht="13.5" customHeight="1">
      <c r="A6" s="6" t="s">
        <v>2032</v>
      </c>
      <c r="B6" s="58">
        <v>0.02</v>
      </c>
      <c r="C6" s="3209"/>
      <c r="D6" s="3092" t="s">
        <v>3408</v>
      </c>
      <c r="E6" s="3092"/>
      <c r="F6" s="3092"/>
      <c r="G6" s="59">
        <v>5000</v>
      </c>
      <c r="H6" s="75" t="s">
        <v>1768</v>
      </c>
      <c r="K6" s="80">
        <f>IF(($B$15+$B$16+$B$17+$B$18)=0,"",B31/($B$15+$B$16+$B$17+$B$18))</f>
        <v>-2.8086258024923043E-3</v>
      </c>
      <c r="N6" s="3113"/>
      <c r="O6" s="3115"/>
      <c r="AA6" s="1723">
        <v>6</v>
      </c>
    </row>
    <row r="7" spans="1:27">
      <c r="A7" s="6" t="s">
        <v>2033</v>
      </c>
      <c r="B7" s="58">
        <v>0.03</v>
      </c>
      <c r="C7" s="3209"/>
      <c r="D7" s="3092"/>
      <c r="E7" s="3092"/>
      <c r="F7" s="3092"/>
      <c r="G7" s="948">
        <f>IF(OR('Part II-Sources of Funds'!E6="Yes",'Part II-Sources of Funds'!I6&gt;0),'DCA Underwriting Assumptions'!$Q$61,0)</f>
        <v>0</v>
      </c>
      <c r="N7" s="3087"/>
      <c r="O7" s="3089"/>
      <c r="AA7" s="1723">
        <v>7</v>
      </c>
    </row>
    <row r="8" spans="1:27">
      <c r="A8" s="6" t="s">
        <v>2035</v>
      </c>
      <c r="B8" s="58">
        <v>0.03</v>
      </c>
      <c r="C8" s="3209"/>
      <c r="D8" s="1" t="s">
        <v>258</v>
      </c>
      <c r="G8" s="61"/>
      <c r="H8" s="75" t="s">
        <v>2192</v>
      </c>
      <c r="K8" s="80">
        <f>IF(($B$15+$B$16+$B$17+$B$18)=0,"",-B22/($B$15+$B$16+$B$17+$B$18))</f>
        <v>6.500002694707939E-2</v>
      </c>
      <c r="N8" s="3087"/>
      <c r="O8" s="3089"/>
      <c r="AA8" s="1723">
        <v>8</v>
      </c>
    </row>
    <row r="9" spans="1:27" ht="13.35" customHeight="1">
      <c r="A9" s="6" t="s">
        <v>2034</v>
      </c>
      <c r="B9" s="186">
        <v>7.0000000000000007E-2</v>
      </c>
      <c r="C9" s="1215" t="str">
        <f>IF(B9&lt;0.07, "Must be &gt;= 7%!","")</f>
        <v/>
      </c>
      <c r="D9" s="1" t="s">
        <v>2308</v>
      </c>
      <c r="G9" s="1230" t="s">
        <v>2655</v>
      </c>
      <c r="H9" s="140" t="s">
        <v>1356</v>
      </c>
      <c r="K9" s="1232">
        <v>0</v>
      </c>
      <c r="N9" s="3087"/>
      <c r="O9" s="3089"/>
      <c r="AA9" s="1723">
        <v>9</v>
      </c>
    </row>
    <row r="10" spans="1:27">
      <c r="A10" s="6" t="s">
        <v>1337</v>
      </c>
      <c r="B10" s="58">
        <v>0.02</v>
      </c>
      <c r="D10" s="1" t="s">
        <v>1598</v>
      </c>
      <c r="G10" s="1231" t="s">
        <v>2652</v>
      </c>
      <c r="H10" s="140" t="s">
        <v>2175</v>
      </c>
      <c r="K10" s="1233">
        <v>6.5000000000000002E-2</v>
      </c>
      <c r="N10" s="3093"/>
      <c r="O10" s="3095"/>
      <c r="AA10" s="1723">
        <v>10</v>
      </c>
    </row>
    <row r="11" spans="1:27" ht="9" customHeight="1">
      <c r="AA11" s="1723">
        <v>11</v>
      </c>
    </row>
    <row r="12" spans="1:27">
      <c r="A12" s="10" t="s">
        <v>86</v>
      </c>
      <c r="D12" s="865"/>
      <c r="N12" s="10" t="str">
        <f>A12</f>
        <v>II.  OPERATING PRO FORMA</v>
      </c>
      <c r="AA12" s="1723">
        <v>12</v>
      </c>
    </row>
    <row r="13" spans="1:27" ht="2.4500000000000002" customHeight="1">
      <c r="AA13" s="1723">
        <v>13</v>
      </c>
    </row>
    <row r="14" spans="1:27" ht="14.45" customHeight="1">
      <c r="A14" s="10" t="s">
        <v>2285</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2778" t="s">
        <v>2412</v>
      </c>
      <c r="O14" s="2778"/>
      <c r="AA14" s="1723">
        <v>14</v>
      </c>
    </row>
    <row r="15" spans="1:27" ht="13.35" customHeight="1">
      <c r="A15" s="14" t="s">
        <v>2216</v>
      </c>
      <c r="B15" s="15">
        <f>'Part V-Revenues &amp; Expenses'!$M$50</f>
        <v>1876692</v>
      </c>
      <c r="C15" s="15">
        <f t="shared" ref="C15:K15" si="1">$B$15*(1+$B$6)^(C14-1)</f>
        <v>1914225.84</v>
      </c>
      <c r="D15" s="15">
        <f t="shared" si="1"/>
        <v>1952510.3568</v>
      </c>
      <c r="E15" s="15">
        <f t="shared" si="1"/>
        <v>1991560.5639359998</v>
      </c>
      <c r="F15" s="15">
        <f t="shared" si="1"/>
        <v>2031391.7752147201</v>
      </c>
      <c r="G15" s="15">
        <f t="shared" si="1"/>
        <v>2072019.6107190144</v>
      </c>
      <c r="H15" s="15">
        <f t="shared" si="1"/>
        <v>2113460.0029333946</v>
      </c>
      <c r="I15" s="15">
        <f t="shared" si="1"/>
        <v>2155729.2029920621</v>
      </c>
      <c r="J15" s="15">
        <f t="shared" si="1"/>
        <v>2198843.7870519035</v>
      </c>
      <c r="K15" s="16">
        <f t="shared" si="1"/>
        <v>2242820.6627929416</v>
      </c>
      <c r="N15" s="3113"/>
      <c r="O15" s="3115"/>
      <c r="S15" s="3201" t="s">
        <v>3413</v>
      </c>
      <c r="Z15" s="1721" t="s">
        <v>6469</v>
      </c>
      <c r="AA15" s="1723">
        <v>15</v>
      </c>
    </row>
    <row r="16" spans="1:27" ht="13.35" customHeight="1">
      <c r="A16" s="17" t="s">
        <v>953</v>
      </c>
      <c r="B16" s="18">
        <f>MIN(B15*B10,'Part V-Revenues &amp; Expenses'!$H$179)</f>
        <v>37533.840000000004</v>
      </c>
      <c r="C16" s="18">
        <f t="shared" ref="C16:K16" si="2">$B$16*(1+$B$6)^(C14-1)</f>
        <v>38284.516800000005</v>
      </c>
      <c r="D16" s="18">
        <f t="shared" si="2"/>
        <v>39050.207136000005</v>
      </c>
      <c r="E16" s="18">
        <f t="shared" si="2"/>
        <v>39831.211278720002</v>
      </c>
      <c r="F16" s="18">
        <f t="shared" si="2"/>
        <v>40627.835504294402</v>
      </c>
      <c r="G16" s="18">
        <f t="shared" si="2"/>
        <v>41440.392214380292</v>
      </c>
      <c r="H16" s="18">
        <f t="shared" si="2"/>
        <v>42269.200058667899</v>
      </c>
      <c r="I16" s="18">
        <f t="shared" si="2"/>
        <v>43114.584059841247</v>
      </c>
      <c r="J16" s="18">
        <f t="shared" si="2"/>
        <v>43976.875741038079</v>
      </c>
      <c r="K16" s="19">
        <f t="shared" si="2"/>
        <v>44856.413255858839</v>
      </c>
      <c r="N16" s="3087"/>
      <c r="O16" s="3089"/>
      <c r="S16" s="3202"/>
      <c r="Z16" s="1721" t="s">
        <v>6469</v>
      </c>
      <c r="AA16" s="1723">
        <v>16</v>
      </c>
    </row>
    <row r="17" spans="1:27" ht="13.35" customHeight="1">
      <c r="A17" s="17" t="s">
        <v>2217</v>
      </c>
      <c r="B17" s="18">
        <f t="shared" ref="B17:K17" si="3">-(B15+B16)*$B$9</f>
        <v>-133995.80880000003</v>
      </c>
      <c r="C17" s="18">
        <f t="shared" si="3"/>
        <v>-136675.72497600003</v>
      </c>
      <c r="D17" s="18">
        <f t="shared" si="3"/>
        <v>-139409.23947552001</v>
      </c>
      <c r="E17" s="18">
        <f t="shared" si="3"/>
        <v>-142197.42426503039</v>
      </c>
      <c r="F17" s="18">
        <f t="shared" si="3"/>
        <v>-145041.37275033104</v>
      </c>
      <c r="G17" s="18">
        <f t="shared" si="3"/>
        <v>-147942.20020533763</v>
      </c>
      <c r="H17" s="18">
        <f t="shared" si="3"/>
        <v>-150901.0442094444</v>
      </c>
      <c r="I17" s="18">
        <f t="shared" si="3"/>
        <v>-153919.06509363325</v>
      </c>
      <c r="J17" s="18">
        <f t="shared" si="3"/>
        <v>-156997.44639550592</v>
      </c>
      <c r="K17" s="19">
        <f t="shared" si="3"/>
        <v>-160137.39532341604</v>
      </c>
      <c r="N17" s="3087"/>
      <c r="O17" s="3089"/>
      <c r="Q17" s="3204" t="s">
        <v>3303</v>
      </c>
      <c r="R17" s="3204" t="s">
        <v>3412</v>
      </c>
      <c r="S17" s="3202"/>
      <c r="Z17" s="1721" t="s">
        <v>6469</v>
      </c>
      <c r="AA17" s="1723">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087"/>
      <c r="O18" s="3089"/>
      <c r="Q18" s="3204"/>
      <c r="R18" s="3204"/>
      <c r="S18" s="3203"/>
      <c r="Z18" s="1721" t="s">
        <v>6469</v>
      </c>
      <c r="AA18" s="1723">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087"/>
      <c r="O19" s="3089"/>
      <c r="Z19" s="1721" t="s">
        <v>6469</v>
      </c>
      <c r="AA19" s="1723">
        <v>19</v>
      </c>
    </row>
    <row r="20" spans="1:27" ht="13.35" customHeight="1">
      <c r="A20" s="341" t="s">
        <v>3843</v>
      </c>
      <c r="B20" s="18">
        <f>SUM(B15:B19)</f>
        <v>1780230.0312000001</v>
      </c>
      <c r="C20" s="18">
        <f t="shared" ref="C20:K20" si="4">SUM(C15:C19)</f>
        <v>1815834.6318240003</v>
      </c>
      <c r="D20" s="18">
        <f t="shared" si="4"/>
        <v>1852151.3244604799</v>
      </c>
      <c r="E20" s="18">
        <f t="shared" si="4"/>
        <v>1889194.3509496895</v>
      </c>
      <c r="F20" s="18">
        <f t="shared" si="4"/>
        <v>1926978.2379686835</v>
      </c>
      <c r="G20" s="18">
        <f t="shared" si="4"/>
        <v>1965517.8027280569</v>
      </c>
      <c r="H20" s="18">
        <f t="shared" si="4"/>
        <v>2004828.1587826181</v>
      </c>
      <c r="I20" s="18">
        <f t="shared" si="4"/>
        <v>2044924.7219582703</v>
      </c>
      <c r="J20" s="18">
        <f t="shared" si="4"/>
        <v>2085823.2163974356</v>
      </c>
      <c r="K20" s="19">
        <f t="shared" si="4"/>
        <v>2127539.680725384</v>
      </c>
      <c r="N20" s="3087"/>
      <c r="O20" s="3089"/>
      <c r="Z20" s="1721" t="s">
        <v>6469</v>
      </c>
      <c r="AA20" s="1723">
        <v>20</v>
      </c>
    </row>
    <row r="21" spans="1:27" ht="13.35" customHeight="1">
      <c r="A21" s="17" t="s">
        <v>572</v>
      </c>
      <c r="B21" s="18">
        <f>-('Part V-Revenues &amp; Expenses'!$Q$228-'Part V-Revenues &amp; Expenses'!$Q$220)</f>
        <v>-748360</v>
      </c>
      <c r="C21" s="18">
        <f t="shared" ref="C21:K21" si="5">$B$21*(1+$B$7)^(C14-1)</f>
        <v>-770810.8</v>
      </c>
      <c r="D21" s="18">
        <f t="shared" si="5"/>
        <v>-793935.12399999995</v>
      </c>
      <c r="E21" s="18">
        <f t="shared" si="5"/>
        <v>-817753.17772000004</v>
      </c>
      <c r="F21" s="18">
        <f t="shared" si="5"/>
        <v>-842285.77305159997</v>
      </c>
      <c r="G21" s="18">
        <f t="shared" si="5"/>
        <v>-867554.34624314785</v>
      </c>
      <c r="H21" s="18">
        <f t="shared" si="5"/>
        <v>-893580.97663044243</v>
      </c>
      <c r="I21" s="18">
        <f t="shared" si="5"/>
        <v>-920388.40592935565</v>
      </c>
      <c r="J21" s="18">
        <f t="shared" si="5"/>
        <v>-948000.05810723628</v>
      </c>
      <c r="K21" s="19">
        <f t="shared" si="5"/>
        <v>-976440.0598504534</v>
      </c>
      <c r="N21" s="3087"/>
      <c r="O21" s="3089"/>
      <c r="Q21" s="47">
        <v>1</v>
      </c>
      <c r="R21" s="869">
        <f>-B32</f>
        <v>0</v>
      </c>
      <c r="S21" s="869">
        <f>B33+R21</f>
        <v>169796.1532004833</v>
      </c>
      <c r="Z21" s="1721" t="s">
        <v>6469</v>
      </c>
      <c r="AA21" s="1723">
        <v>21</v>
      </c>
    </row>
    <row r="22" spans="1:27" ht="13.35" customHeight="1">
      <c r="A22" s="17" t="s">
        <v>1051</v>
      </c>
      <c r="B22" s="18">
        <f>IF(AND('Part VI-Pro Forma'!$G$9="Yes",'Part VI-Pro Forma'!$G$10="Yes"),"Choose One!",IF('Part VI-Pro Forma'!$G$9="Yes",ROUND((-$K$9*(1+'Part VI-Pro Forma'!$B$7)^('Part VI-Pro Forma'!B14-1)),),IF('Part VI-Pro Forma'!$G$10="Yes",ROUND((-(SUM(B15:B18)*'Part VI-Pro Forma'!$K$10)),),"Choose mgt fee")))</f>
        <v>-115715</v>
      </c>
      <c r="C22" s="18">
        <f>IF(AND('Part VI-Pro Forma'!$G$9="Yes",'Part VI-Pro Forma'!$G$10="Yes"),"Choose One!",IF('Part VI-Pro Forma'!$G$9="Yes",ROUND((-$K$9*(1+'Part VI-Pro Forma'!$B$7)^('Part VI-Pro Forma'!C14-1)),),IF('Part VI-Pro Forma'!$G$10="Yes",ROUND((-(SUM(C15:C18)*'Part VI-Pro Forma'!$K$10)),),"Choose mgt fee")))</f>
        <v>-118029</v>
      </c>
      <c r="D22" s="18">
        <f>IF(AND('Part VI-Pro Forma'!$G$9="Yes",'Part VI-Pro Forma'!$G$10="Yes"),"Choose One!",IF('Part VI-Pro Forma'!$G$9="Yes",ROUND((-$K$9*(1+'Part VI-Pro Forma'!$B$7)^('Part VI-Pro Forma'!D14-1)),),IF('Part VI-Pro Forma'!$G$10="Yes",ROUND((-(SUM(D15:D18)*'Part VI-Pro Forma'!$K$10)),),"Choose mgt fee")))</f>
        <v>-120390</v>
      </c>
      <c r="E22" s="18">
        <f>IF(AND('Part VI-Pro Forma'!$G$9="Yes",'Part VI-Pro Forma'!$G$10="Yes"),"Choose One!",IF('Part VI-Pro Forma'!$G$9="Yes",ROUND((-$K$9*(1+'Part VI-Pro Forma'!$B$7)^('Part VI-Pro Forma'!E14-1)),),IF('Part VI-Pro Forma'!$G$10="Yes",ROUND((-(SUM(E15:E18)*'Part VI-Pro Forma'!$K$10)),),"Choose mgt fee")))</f>
        <v>-122798</v>
      </c>
      <c r="F22" s="18">
        <f>IF(AND('Part VI-Pro Forma'!$G$9="Yes",'Part VI-Pro Forma'!$G$10="Yes"),"Choose One!",IF('Part VI-Pro Forma'!$G$9="Yes",ROUND((-$K$9*(1+'Part VI-Pro Forma'!$B$7)^('Part VI-Pro Forma'!F14-1)),),IF('Part VI-Pro Forma'!$G$10="Yes",ROUND((-(SUM(F15:F18)*'Part VI-Pro Forma'!$K$10)),),"Choose mgt fee")))</f>
        <v>-125254</v>
      </c>
      <c r="G22" s="18">
        <f>IF(AND('Part VI-Pro Forma'!$G$9="Yes",'Part VI-Pro Forma'!$G$10="Yes"),"Choose One!",IF('Part VI-Pro Forma'!$G$9="Yes",ROUND((-$K$9*(1+'Part VI-Pro Forma'!$B$7)^('Part VI-Pro Forma'!G14-1)),),IF('Part VI-Pro Forma'!$G$10="Yes",ROUND((-(SUM(G15:G18)*'Part VI-Pro Forma'!$K$10)),),"Choose mgt fee")))</f>
        <v>-127759</v>
      </c>
      <c r="H22" s="18">
        <f>IF(AND('Part VI-Pro Forma'!$G$9="Yes",'Part VI-Pro Forma'!$G$10="Yes"),"Choose One!",IF('Part VI-Pro Forma'!$G$9="Yes",ROUND((-$K$9*(1+'Part VI-Pro Forma'!$B$7)^('Part VI-Pro Forma'!H14-1)),),IF('Part VI-Pro Forma'!$G$10="Yes",ROUND((-(SUM(H15:H18)*'Part VI-Pro Forma'!$K$10)),),"Choose mgt fee")))</f>
        <v>-130314</v>
      </c>
      <c r="I22" s="18">
        <f>IF(AND('Part VI-Pro Forma'!$G$9="Yes",'Part VI-Pro Forma'!$G$10="Yes"),"Choose One!",IF('Part VI-Pro Forma'!$G$9="Yes",ROUND((-$K$9*(1+'Part VI-Pro Forma'!$B$7)^('Part VI-Pro Forma'!I14-1)),),IF('Part VI-Pro Forma'!$G$10="Yes",ROUND((-(SUM(I15:I18)*'Part VI-Pro Forma'!$K$10)),),"Choose mgt fee")))</f>
        <v>-132920</v>
      </c>
      <c r="J22" s="18">
        <f>IF(AND('Part VI-Pro Forma'!$G$9="Yes",'Part VI-Pro Forma'!$G$10="Yes"),"Choose One!",IF('Part VI-Pro Forma'!$G$9="Yes",ROUND((-$K$9*(1+'Part VI-Pro Forma'!$B$7)^('Part VI-Pro Forma'!J14-1)),),IF('Part VI-Pro Forma'!$G$10="Yes",ROUND((-(SUM(J15:J18)*'Part VI-Pro Forma'!$K$10)),),"Choose mgt fee")))</f>
        <v>-135579</v>
      </c>
      <c r="K22" s="19">
        <f>IF(AND('Part VI-Pro Forma'!$G$9="Yes",'Part VI-Pro Forma'!$G$10="Yes"),"Choose One!",IF('Part VI-Pro Forma'!$G$9="Yes",ROUND((-$K$9*(1+'Part VI-Pro Forma'!$B$7)^('Part VI-Pro Forma'!K14-1)),),IF('Part VI-Pro Forma'!$G$10="Yes",ROUND((-(SUM(K15:K18)*'Part VI-Pro Forma'!$K$10)),),"Choose mgt fee")))</f>
        <v>-138290</v>
      </c>
      <c r="N22" s="3087"/>
      <c r="O22" s="3089"/>
      <c r="Q22" s="47">
        <v>2</v>
      </c>
      <c r="R22" s="869">
        <f>-SUM(B32:C32)</f>
        <v>0</v>
      </c>
      <c r="S22" s="869">
        <f>SUM(B33:C33)+R22</f>
        <v>349532.10702496674</v>
      </c>
      <c r="Z22" s="1721" t="s">
        <v>6469</v>
      </c>
      <c r="AA22" s="1723">
        <v>22</v>
      </c>
    </row>
    <row r="23" spans="1:27" ht="13.35" customHeight="1">
      <c r="A23" s="17" t="s">
        <v>1129</v>
      </c>
      <c r="B23" s="18">
        <f>-('Part V-Revenues &amp; Expenses'!$Q$234)</f>
        <v>-30000</v>
      </c>
      <c r="C23" s="18">
        <f t="shared" ref="C23:K23" si="6">$B$23*(1+$B$8)^(C14-1)</f>
        <v>-30900</v>
      </c>
      <c r="D23" s="18">
        <f t="shared" si="6"/>
        <v>-31827</v>
      </c>
      <c r="E23" s="18">
        <f t="shared" si="6"/>
        <v>-32781.81</v>
      </c>
      <c r="F23" s="18">
        <f t="shared" si="6"/>
        <v>-33765.264299999995</v>
      </c>
      <c r="G23" s="18">
        <f t="shared" si="6"/>
        <v>-34778.222228999992</v>
      </c>
      <c r="H23" s="18">
        <f t="shared" si="6"/>
        <v>-35821.568895869998</v>
      </c>
      <c r="I23" s="18">
        <f t="shared" si="6"/>
        <v>-36896.215962746101</v>
      </c>
      <c r="J23" s="18">
        <f t="shared" si="6"/>
        <v>-38003.102441628478</v>
      </c>
      <c r="K23" s="19">
        <f t="shared" si="6"/>
        <v>-39143.195514877334</v>
      </c>
      <c r="N23" s="3087"/>
      <c r="O23" s="3089"/>
      <c r="Q23" s="47">
        <v>3</v>
      </c>
      <c r="R23" s="869">
        <f>-SUM(B32:D32)</f>
        <v>0</v>
      </c>
      <c r="S23" s="869">
        <f>SUM(B33:D33)+R23</f>
        <v>539172.42948593001</v>
      </c>
      <c r="Z23" s="1721" t="s">
        <v>6469</v>
      </c>
      <c r="AA23" s="1723">
        <v>23</v>
      </c>
    </row>
    <row r="24" spans="1:27" ht="13.35" customHeight="1">
      <c r="A24" s="341" t="s">
        <v>3842</v>
      </c>
      <c r="B24" s="1288">
        <f>IF(B14&lt;=+'Part V-Revenues &amp; Expenses'!$N$251,-'Part V-Revenues &amp; Expenses'!$K$251,0)</f>
        <v>0</v>
      </c>
      <c r="C24" s="1288">
        <f>IF(C14&lt;=+'Part V-Revenues &amp; Expenses'!$N$251,-'Part V-Revenues &amp; Expenses'!$K$251,0)</f>
        <v>0</v>
      </c>
      <c r="D24" s="1288">
        <f>IF(D14&lt;=+'Part V-Revenues &amp; Expenses'!$N$251,-'Part V-Revenues &amp; Expenses'!$K$251,0)</f>
        <v>0</v>
      </c>
      <c r="E24" s="1288">
        <f>IF(E14&lt;=+'Part V-Revenues &amp; Expenses'!$N$251,-'Part V-Revenues &amp; Expenses'!$K$251,0)</f>
        <v>0</v>
      </c>
      <c r="F24" s="1288">
        <f>IF(F14&lt;=+'Part V-Revenues &amp; Expenses'!$N$251,-'Part V-Revenues &amp; Expenses'!$K$251,0)</f>
        <v>0</v>
      </c>
      <c r="G24" s="1288">
        <f>IF(G14&lt;=+'Part V-Revenues &amp; Expenses'!$N$251,-'Part V-Revenues &amp; Expenses'!$K$251,0)</f>
        <v>0</v>
      </c>
      <c r="H24" s="1288">
        <f>IF(H14&lt;=+'Part V-Revenues &amp; Expenses'!$N$251,-'Part V-Revenues &amp; Expenses'!$K$251,0)</f>
        <v>0</v>
      </c>
      <c r="I24" s="1288">
        <f>IF(I14&lt;=+'Part V-Revenues &amp; Expenses'!$N$251,-'Part V-Revenues &amp; Expenses'!$K$251,0)</f>
        <v>0</v>
      </c>
      <c r="J24" s="1288">
        <f>IF(J14&lt;=+'Part V-Revenues &amp; Expenses'!$N$251,-'Part V-Revenues &amp; Expenses'!$K$251,0)</f>
        <v>0</v>
      </c>
      <c r="K24" s="1288">
        <f>IF(K14&lt;=+'Part V-Revenues &amp; Expenses'!$N$251,-'Part V-Revenues &amp; Expenses'!$K$251,0)</f>
        <v>0</v>
      </c>
      <c r="N24" s="3087"/>
      <c r="O24" s="3089"/>
      <c r="Q24" s="92">
        <v>4</v>
      </c>
      <c r="R24" s="869">
        <f>-SUM(B32:E32)</f>
        <v>0</v>
      </c>
      <c r="S24" s="869">
        <f>SUM(B33:E33)+R24</f>
        <v>738674.91471610265</v>
      </c>
      <c r="Z24" s="1721" t="s">
        <v>6469</v>
      </c>
      <c r="AA24" s="1723">
        <v>24</v>
      </c>
    </row>
    <row r="25" spans="1:27" ht="13.35" customHeight="1">
      <c r="A25" s="17" t="s">
        <v>1130</v>
      </c>
      <c r="B25" s="18">
        <f>SUM(B20:B24)</f>
        <v>886155.03120000008</v>
      </c>
      <c r="C25" s="18">
        <f t="shared" ref="C25:J25" si="7">SUM(C20:C24)</f>
        <v>896094.83182400023</v>
      </c>
      <c r="D25" s="18">
        <f t="shared" si="7"/>
        <v>905999.20046048006</v>
      </c>
      <c r="E25" s="18">
        <f t="shared" si="7"/>
        <v>915861.36322968942</v>
      </c>
      <c r="F25" s="18">
        <f t="shared" si="7"/>
        <v>925673.20061708346</v>
      </c>
      <c r="G25" s="18">
        <f t="shared" si="7"/>
        <v>935426.23425590922</v>
      </c>
      <c r="H25" s="18">
        <f t="shared" si="7"/>
        <v>945111.61325630581</v>
      </c>
      <c r="I25" s="18">
        <f t="shared" si="7"/>
        <v>954720.10006616858</v>
      </c>
      <c r="J25" s="18">
        <f t="shared" si="7"/>
        <v>964241.05584857101</v>
      </c>
      <c r="K25" s="1217">
        <f>SUM(K20:K24)</f>
        <v>973666.42536005331</v>
      </c>
      <c r="N25" s="3087"/>
      <c r="O25" s="3089"/>
      <c r="Q25" s="92">
        <v>5</v>
      </c>
      <c r="R25" s="869">
        <f>-SUM(B32:F32)</f>
        <v>0</v>
      </c>
      <c r="S25" s="869">
        <f>SUM(B33:F33)+R25</f>
        <v>947989.23733366933</v>
      </c>
      <c r="Z25" s="1721" t="s">
        <v>6469</v>
      </c>
      <c r="AA25" s="1723">
        <v>25</v>
      </c>
    </row>
    <row r="26" spans="1:27" ht="13.35" customHeight="1">
      <c r="A26" s="341" t="s">
        <v>1487</v>
      </c>
      <c r="B26" s="342">
        <f>IF('Part II-Sources of Funds'!$P$40="", 0,-'Part II-Sources of Funds'!$P$40)</f>
        <v>-711358.87799951679</v>
      </c>
      <c r="C26" s="342">
        <f>IF('Part II-Sources of Funds'!$P$40="", 0,-'Part II-Sources of Funds'!$P$40)</f>
        <v>-711358.87799951679</v>
      </c>
      <c r="D26" s="342">
        <f>IF('Part II-Sources of Funds'!$P$40="", 0,-'Part II-Sources of Funds'!$P$40)</f>
        <v>-711358.87799951679</v>
      </c>
      <c r="E26" s="342">
        <f>IF('Part II-Sources of Funds'!$P$40="", 0,-'Part II-Sources of Funds'!$P$40)</f>
        <v>-711358.87799951679</v>
      </c>
      <c r="F26" s="342">
        <f>IF('Part II-Sources of Funds'!$P$40="", 0,-'Part II-Sources of Funds'!$P$40)</f>
        <v>-711358.87799951679</v>
      </c>
      <c r="G26" s="342">
        <f>IF('Part II-Sources of Funds'!$P$40="", 0,-'Part II-Sources of Funds'!$P$40)</f>
        <v>-711358.87799951679</v>
      </c>
      <c r="H26" s="342">
        <f>IF('Part II-Sources of Funds'!$P$40="", 0,-'Part II-Sources of Funds'!$P$40)</f>
        <v>-711358.87799951679</v>
      </c>
      <c r="I26" s="342">
        <f>IF('Part II-Sources of Funds'!$P$40="", 0,-'Part II-Sources of Funds'!$P$40)</f>
        <v>-711358.87799951679</v>
      </c>
      <c r="J26" s="342">
        <f>IF('Part II-Sources of Funds'!$P$40="", 0,-'Part II-Sources of Funds'!$P$40)</f>
        <v>-711358.87799951679</v>
      </c>
      <c r="K26" s="342">
        <f>IF('Part II-Sources of Funds'!$P$40="", 0,-'Part II-Sources of Funds'!$P$40)</f>
        <v>-711358.87799951679</v>
      </c>
      <c r="N26" s="3087"/>
      <c r="O26" s="3089"/>
      <c r="Q26" s="92">
        <v>6</v>
      </c>
      <c r="R26" s="869">
        <f>-SUM(B32:G32)</f>
        <v>0</v>
      </c>
      <c r="S26" s="869">
        <f>SUM(B33:G33)+R26</f>
        <v>1167056.5935900616</v>
      </c>
      <c r="Z26" s="1721" t="s">
        <v>6469</v>
      </c>
      <c r="AA26" s="1723">
        <v>26</v>
      </c>
    </row>
    <row r="27" spans="1:27" ht="13.35" customHeight="1">
      <c r="A27" s="341" t="s">
        <v>1488</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087"/>
      <c r="O27" s="3089"/>
      <c r="Q27" s="92">
        <v>7</v>
      </c>
      <c r="R27" s="869">
        <f>-SUM(B32:H32)</f>
        <v>0</v>
      </c>
      <c r="S27" s="869">
        <f>SUM(B33:H33)+R27</f>
        <v>1395809.3288468507</v>
      </c>
      <c r="Z27" s="1721" t="s">
        <v>6469</v>
      </c>
      <c r="AA27" s="1723">
        <v>27</v>
      </c>
    </row>
    <row r="28" spans="1:27" ht="13.35" customHeight="1">
      <c r="A28" s="341" t="s">
        <v>1489</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087"/>
      <c r="O28" s="3089"/>
      <c r="Q28" s="92">
        <v>8</v>
      </c>
      <c r="R28" s="869">
        <f>-SUM(B32:I32)</f>
        <v>0</v>
      </c>
      <c r="S28" s="869">
        <f>SUM(B33:I33)+R28</f>
        <v>1634170.5509135025</v>
      </c>
      <c r="Z28" s="1721" t="s">
        <v>6469</v>
      </c>
      <c r="AA28" s="1723">
        <v>28</v>
      </c>
    </row>
    <row r="29" spans="1:27" ht="13.35" customHeight="1">
      <c r="A29" s="341" t="s">
        <v>3288</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087"/>
      <c r="O29" s="3089"/>
      <c r="Q29" s="92">
        <v>9</v>
      </c>
      <c r="R29" s="869">
        <f>-SUM(B32:J32)</f>
        <v>0</v>
      </c>
      <c r="S29" s="869">
        <f>SUM(B33:J33)+R29</f>
        <v>1882052.7287625568</v>
      </c>
      <c r="Z29" s="1721" t="s">
        <v>6469</v>
      </c>
      <c r="AA29" s="1723">
        <v>29</v>
      </c>
    </row>
    <row r="30" spans="1:27" ht="13.35" customHeight="1">
      <c r="A30" s="17" t="s">
        <v>711</v>
      </c>
      <c r="B30" s="138"/>
      <c r="C30" s="138"/>
      <c r="D30" s="138"/>
      <c r="E30" s="138"/>
      <c r="F30" s="138"/>
      <c r="G30" s="138"/>
      <c r="H30" s="138"/>
      <c r="I30" s="138"/>
      <c r="J30" s="138"/>
      <c r="K30" s="138"/>
      <c r="N30" s="3087"/>
      <c r="O30" s="3089"/>
      <c r="Q30" s="92">
        <v>10</v>
      </c>
      <c r="R30" s="869">
        <f>-SUM(B32:K32)</f>
        <v>0</v>
      </c>
      <c r="S30" s="869">
        <f>SUM(B33:K33)+R30</f>
        <v>2139360.2761230934</v>
      </c>
      <c r="Z30" s="1721" t="s">
        <v>6469</v>
      </c>
      <c r="AA30" s="1723">
        <v>30</v>
      </c>
    </row>
    <row r="31" spans="1:27" ht="13.35" customHeight="1">
      <c r="A31" s="341" t="s">
        <v>1096</v>
      </c>
      <c r="B31" s="909">
        <f>-$G$6</f>
        <v>-5000</v>
      </c>
      <c r="C31" s="909">
        <f t="shared" ref="C31:K31" si="8">+B31</f>
        <v>-5000</v>
      </c>
      <c r="D31" s="909">
        <f t="shared" si="8"/>
        <v>-5000</v>
      </c>
      <c r="E31" s="909">
        <f>+D31</f>
        <v>-5000</v>
      </c>
      <c r="F31" s="909">
        <f t="shared" si="8"/>
        <v>-5000</v>
      </c>
      <c r="G31" s="909">
        <f t="shared" si="8"/>
        <v>-5000</v>
      </c>
      <c r="H31" s="909">
        <f t="shared" si="8"/>
        <v>-5000</v>
      </c>
      <c r="I31" s="909">
        <f t="shared" si="8"/>
        <v>-5000</v>
      </c>
      <c r="J31" s="909">
        <f t="shared" si="8"/>
        <v>-5000</v>
      </c>
      <c r="K31" s="909">
        <f t="shared" si="8"/>
        <v>-5000</v>
      </c>
      <c r="N31" s="3087"/>
      <c r="O31" s="3089"/>
      <c r="Q31" s="92">
        <v>11</v>
      </c>
      <c r="R31" s="869">
        <f>-SUM(B32:K32)-B64</f>
        <v>0</v>
      </c>
      <c r="S31" s="869">
        <f>SUM(B33:K33)+B65+R31</f>
        <v>2405985.1194371781</v>
      </c>
      <c r="Z31" s="1721" t="s">
        <v>6469</v>
      </c>
      <c r="AA31" s="1723">
        <v>31</v>
      </c>
    </row>
    <row r="32" spans="1:27" ht="13.35" customHeight="1">
      <c r="A32" s="341" t="s">
        <v>3366</v>
      </c>
      <c r="B32" s="179">
        <f>IF('Part II-Sources of Funds'!$P$45="", 0,-'Part II-Sources of Funds'!$P$45)</f>
        <v>0</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087"/>
      <c r="O32" s="3089"/>
      <c r="Q32" s="92">
        <v>12</v>
      </c>
      <c r="R32" s="869">
        <f>-SUM(B32:K32) - SUM(B64:C64)</f>
        <v>0</v>
      </c>
      <c r="S32" s="869">
        <f>SUM(B33:K33) + SUM(B65:C65)+R32</f>
        <v>2681809.2496472718</v>
      </c>
      <c r="Z32" s="1721" t="s">
        <v>6469</v>
      </c>
      <c r="AA32" s="1723">
        <v>32</v>
      </c>
    </row>
    <row r="33" spans="1:27" ht="13.35" customHeight="1">
      <c r="A33" s="17" t="s">
        <v>1097</v>
      </c>
      <c r="B33" s="18">
        <f t="shared" ref="B33:K33" si="9">SUM(B25:B32)</f>
        <v>169796.1532004833</v>
      </c>
      <c r="C33" s="18">
        <f t="shared" si="9"/>
        <v>179735.95382448344</v>
      </c>
      <c r="D33" s="18">
        <f t="shared" si="9"/>
        <v>189640.32246096327</v>
      </c>
      <c r="E33" s="18">
        <f t="shared" si="9"/>
        <v>199502.48523017264</v>
      </c>
      <c r="F33" s="18">
        <f t="shared" si="9"/>
        <v>209314.32261756668</v>
      </c>
      <c r="G33" s="18">
        <f t="shared" si="9"/>
        <v>219067.35625639244</v>
      </c>
      <c r="H33" s="18">
        <f t="shared" si="9"/>
        <v>228752.73525678902</v>
      </c>
      <c r="I33" s="18">
        <f t="shared" si="9"/>
        <v>238361.2220666518</v>
      </c>
      <c r="J33" s="18">
        <f t="shared" si="9"/>
        <v>247882.17784905422</v>
      </c>
      <c r="K33" s="19">
        <f t="shared" si="9"/>
        <v>257307.54736053653</v>
      </c>
      <c r="N33" s="3087"/>
      <c r="O33" s="3089"/>
      <c r="Q33" s="92">
        <v>13</v>
      </c>
      <c r="R33" s="869">
        <f>-SUM(B32:K32) - SUM(B64:D64)</f>
        <v>0</v>
      </c>
      <c r="S33" s="869">
        <f>SUM(B33:K33) + SUM(B65:D65)+R33</f>
        <v>2966702.2572653871</v>
      </c>
      <c r="Z33" s="1721" t="s">
        <v>6469</v>
      </c>
      <c r="AA33" s="1723">
        <v>33</v>
      </c>
    </row>
    <row r="34" spans="1:27" ht="13.35" customHeight="1">
      <c r="A34" s="17" t="str">
        <f>IF('Part II-Sources of Funds'!$E$40 = "Neither", "", "DCR Mortgage A")</f>
        <v>DCR Mortgage A</v>
      </c>
      <c r="B34" s="20">
        <f t="shared" ref="B34:K34" si="10">IF(B26=0,"",-B25/B26)</f>
        <v>1.2457214756242938</v>
      </c>
      <c r="C34" s="20">
        <f t="shared" si="10"/>
        <v>1.2596944517568935</v>
      </c>
      <c r="D34" s="20">
        <f t="shared" si="10"/>
        <v>1.2736176190115609</v>
      </c>
      <c r="E34" s="20">
        <f t="shared" si="10"/>
        <v>1.2874814549377305</v>
      </c>
      <c r="F34" s="20">
        <f t="shared" si="10"/>
        <v>1.3012745454449959</v>
      </c>
      <c r="G34" s="20">
        <f t="shared" si="10"/>
        <v>1.314984971982798</v>
      </c>
      <c r="H34" s="20">
        <f t="shared" si="10"/>
        <v>1.3286002923224187</v>
      </c>
      <c r="I34" s="20">
        <f t="shared" si="10"/>
        <v>1.3421075206807458</v>
      </c>
      <c r="J34" s="20">
        <f t="shared" si="10"/>
        <v>1.3554917014042327</v>
      </c>
      <c r="K34" s="21">
        <f t="shared" si="10"/>
        <v>1.3687415107522067</v>
      </c>
      <c r="N34" s="3087"/>
      <c r="O34" s="3089"/>
      <c r="Q34" s="92">
        <v>14</v>
      </c>
      <c r="R34" s="869">
        <f>-SUM(B32:K32) - SUM(B64:E64)</f>
        <v>0</v>
      </c>
      <c r="S34" s="869">
        <f>SUM(B33:K33) + SUM(B65:E65)+R34</f>
        <v>3260522.8501569992</v>
      </c>
      <c r="Z34" s="1721" t="s">
        <v>6469</v>
      </c>
      <c r="AA34" s="1723">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087"/>
      <c r="O35" s="3089"/>
      <c r="Q35" s="92">
        <v>15</v>
      </c>
      <c r="R35" s="869">
        <f>-SUM(B32:K32) - SUM(B64:F64)</f>
        <v>0</v>
      </c>
      <c r="S35" s="869">
        <f>SUM(B33:K33) + SUM(B65:F65)+R35</f>
        <v>3563117.3534544124</v>
      </c>
      <c r="Z35" s="1721" t="s">
        <v>6469</v>
      </c>
      <c r="AA35" s="1723">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087"/>
      <c r="O36" s="3089"/>
      <c r="Q36" s="47">
        <v>16</v>
      </c>
      <c r="R36" s="869">
        <f>-SUM(B32:K32) - SUM(B64:G64)</f>
        <v>0</v>
      </c>
      <c r="S36" s="869">
        <f>SUM(B33:K33) + SUM(B65:G65)+R36</f>
        <v>3874317.1909953812</v>
      </c>
      <c r="Z36" s="1721" t="s">
        <v>6469</v>
      </c>
      <c r="AA36" s="1723">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087"/>
      <c r="O37" s="3089"/>
      <c r="Q37" s="47">
        <v>17</v>
      </c>
      <c r="R37" s="869">
        <f>-SUM(B32:K32) - SUM(B64:H64)</f>
        <v>0</v>
      </c>
      <c r="S37" s="869">
        <f>SUM(B33:K33) + SUM(B65:H65)+R37</f>
        <v>4193941.3476633071</v>
      </c>
      <c r="Z37" s="1721" t="s">
        <v>6469</v>
      </c>
      <c r="AA37" s="1723">
        <v>37</v>
      </c>
    </row>
    <row r="38" spans="1:27" ht="13.35" customHeight="1">
      <c r="A38" s="341" t="s">
        <v>3217</v>
      </c>
      <c r="B38" s="20">
        <f t="shared" ref="B38:K38" si="14">IF(AND(B26=0,B27=0,B28=0,B29=0),"",-B25/(B26+B27+B28+B29))</f>
        <v>1.2457214756242938</v>
      </c>
      <c r="C38" s="20">
        <f t="shared" si="14"/>
        <v>1.2596944517568935</v>
      </c>
      <c r="D38" s="20">
        <f t="shared" si="14"/>
        <v>1.2736176190115609</v>
      </c>
      <c r="E38" s="20">
        <f t="shared" si="14"/>
        <v>1.2874814549377305</v>
      </c>
      <c r="F38" s="20">
        <f t="shared" si="14"/>
        <v>1.3012745454449959</v>
      </c>
      <c r="G38" s="20">
        <f t="shared" si="14"/>
        <v>1.314984971982798</v>
      </c>
      <c r="H38" s="20">
        <f t="shared" si="14"/>
        <v>1.3286002923224187</v>
      </c>
      <c r="I38" s="20">
        <f t="shared" si="14"/>
        <v>1.3421075206807458</v>
      </c>
      <c r="J38" s="20">
        <f t="shared" si="14"/>
        <v>1.3554917014042327</v>
      </c>
      <c r="K38" s="21">
        <f t="shared" si="14"/>
        <v>1.3687415107522067</v>
      </c>
      <c r="N38" s="3087"/>
      <c r="O38" s="3089"/>
      <c r="Q38" s="47">
        <v>18</v>
      </c>
      <c r="R38" s="869">
        <f>-SUM(B32:K32) - SUM(B64:I64)</f>
        <v>0</v>
      </c>
      <c r="S38" s="869">
        <f>SUM(B33:K33) + SUM(B65:I65)+R38</f>
        <v>4521794.8119852124</v>
      </c>
      <c r="Z38" s="1721" t="s">
        <v>6469</v>
      </c>
      <c r="AA38" s="1723">
        <v>38</v>
      </c>
    </row>
    <row r="39" spans="1:27" ht="13.35" customHeight="1">
      <c r="A39" s="17" t="s">
        <v>718</v>
      </c>
      <c r="B39" s="220">
        <f t="shared" ref="B39:K39" si="15">IF(OR(B22="Choose mgt fee",B22="Choose One!"),"",(B15+B16+B17+B18+B19) / -(B21+B22+B23))</f>
        <v>1.9911417176411377</v>
      </c>
      <c r="C39" s="220">
        <f t="shared" si="15"/>
        <v>1.9742916766502876</v>
      </c>
      <c r="D39" s="220">
        <f t="shared" si="15"/>
        <v>1.9575618734862978</v>
      </c>
      <c r="E39" s="220">
        <f t="shared" si="15"/>
        <v>1.9409537894889024</v>
      </c>
      <c r="F39" s="220">
        <f t="shared" si="15"/>
        <v>1.9244667369949933</v>
      </c>
      <c r="G39" s="220">
        <f t="shared" si="15"/>
        <v>1.9081000785622892</v>
      </c>
      <c r="H39" s="220">
        <f t="shared" si="15"/>
        <v>1.8918532198503255</v>
      </c>
      <c r="I39" s="220">
        <f t="shared" si="15"/>
        <v>1.8757256031525591</v>
      </c>
      <c r="J39" s="220">
        <f t="shared" si="15"/>
        <v>1.8597150434139424</v>
      </c>
      <c r="K39" s="221">
        <f t="shared" si="15"/>
        <v>1.8438244155782761</v>
      </c>
      <c r="N39" s="3087"/>
      <c r="O39" s="3089"/>
      <c r="Q39" s="92">
        <v>19</v>
      </c>
      <c r="R39" s="869">
        <f>-SUM(B32:K32) - SUM(B64:J64)</f>
        <v>0</v>
      </c>
      <c r="S39" s="869">
        <f>SUM(B33:K33) + SUM(B65:J65)+R39</f>
        <v>4857667.9983229954</v>
      </c>
      <c r="Z39" s="1721" t="s">
        <v>6469</v>
      </c>
      <c r="AA39" s="1723">
        <v>39</v>
      </c>
    </row>
    <row r="40" spans="1:27" ht="13.35" customHeight="1">
      <c r="A40" s="341" t="s">
        <v>2406</v>
      </c>
      <c r="B40" s="177">
        <f>IF('Part II-Sources of Funds'!$I$40="","",-FV('Part II-Sources of Funds'!$K$40/12,12,B26/12,'Part II-Sources of Funds'!$I$40))</f>
        <v>10438434.797528258</v>
      </c>
      <c r="C40" s="177">
        <f>IF('Part II-Sources of Funds'!$I$40="","",-FV('Part II-Sources of Funds'!$K$40/12,12,C26/12,B40))</f>
        <v>10372938.937054643</v>
      </c>
      <c r="D40" s="177">
        <f>IF('Part II-Sources of Funds'!$I$40="","",-FV('Part II-Sources of Funds'!$K$40/12,12,D26/12,C40))</f>
        <v>10303261.4639537</v>
      </c>
      <c r="E40" s="177">
        <f>IF('Part II-Sources of Funds'!$I$40="","",-FV('Part II-Sources of Funds'!$K$40/12,12,E26/12,D40))</f>
        <v>10229135.401289195</v>
      </c>
      <c r="F40" s="177">
        <f>IF('Part II-Sources of Funds'!$I$40="","",-FV('Part II-Sources of Funds'!$K$40/12,12,F26/12,E40))</f>
        <v>10150276.726862499</v>
      </c>
      <c r="G40" s="177">
        <f>IF('Part II-Sources of Funds'!$I$40="","",-FV('Part II-Sources of Funds'!$K$40/12,12,G26/12,F40))</f>
        <v>10066383.284950154</v>
      </c>
      <c r="H40" s="177">
        <f>IF('Part II-Sources of Funds'!$I$40="","",-FV('Part II-Sources of Funds'!$K$40/12,12,H26/12,G40))</f>
        <v>9977133.6285608299</v>
      </c>
      <c r="I40" s="177">
        <f>IF('Part II-Sources of Funds'!$I$40="","",-FV('Part II-Sources of Funds'!$K$40/12,12,I26/12,H40))</f>
        <v>9882185.7877756711</v>
      </c>
      <c r="J40" s="177">
        <f>IF('Part II-Sources of Funds'!$I$40="","",-FV('Part II-Sources of Funds'!$K$40/12,12,J26/12,I40))</f>
        <v>9781175.9594527669</v>
      </c>
      <c r="K40" s="177">
        <f>IF('Part II-Sources of Funds'!$I$40="","",-FV('Part II-Sources of Funds'!$K$40/12,12,K26/12,J40))</f>
        <v>9673717.1132752188</v>
      </c>
      <c r="N40" s="3087"/>
      <c r="O40" s="3089"/>
      <c r="Q40" s="92">
        <v>20</v>
      </c>
      <c r="R40" s="869">
        <f>-SUM(B32:K32) - SUM(B64:K64)</f>
        <v>0</v>
      </c>
      <c r="S40" s="869">
        <f>SUM(B33:K33) + SUM(B65:K65)+R40</f>
        <v>5201334.1479720576</v>
      </c>
      <c r="Z40" s="1721" t="s">
        <v>6469</v>
      </c>
      <c r="AA40" s="1723">
        <v>40</v>
      </c>
    </row>
    <row r="41" spans="1:27" ht="13.35" customHeight="1">
      <c r="A41" s="341" t="s">
        <v>2407</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087"/>
      <c r="O41" s="3089"/>
      <c r="Z41" s="1721" t="s">
        <v>6469</v>
      </c>
      <c r="AA41" s="1723">
        <v>41</v>
      </c>
    </row>
    <row r="42" spans="1:27" ht="13.35" customHeight="1">
      <c r="A42" s="341" t="s">
        <v>2408</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087"/>
      <c r="O42" s="3089"/>
      <c r="Z42" s="1721" t="s">
        <v>6469</v>
      </c>
      <c r="AA42" s="1723">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087"/>
      <c r="O43" s="3089"/>
      <c r="Z43" s="1721" t="s">
        <v>6469</v>
      </c>
      <c r="AA43" s="1723">
        <v>43</v>
      </c>
    </row>
    <row r="44" spans="1:27" ht="13.35" customHeight="1">
      <c r="A44" s="341" t="s">
        <v>3367</v>
      </c>
      <c r="B44" s="179" t="str">
        <f>IF('Part II-Sources of Funds'!$I$45="","",-FV('Part II-Sources of Funds'!$K$45/12,12,B32/12,'Part II-Sources of Funds'!$I$45))</f>
        <v/>
      </c>
      <c r="C44" s="179" t="str">
        <f>IF('Part II-Sources of Funds'!$I$45="","",IF(-FV('Part II-Sources of Funds'!$K$45/12,12,C32/12,B44)&gt;0,-FV('Part II-Sources of Funds'!$K$45/12,12,C32/12,B44),0))</f>
        <v/>
      </c>
      <c r="D44" s="179" t="str">
        <f>IF('Part II-Sources of Funds'!$I$45="","",IF(-FV('Part II-Sources of Funds'!$K$45/12,12,D32/12,C44)&gt;0,-FV('Part II-Sources of Funds'!$K$45/12,12,D32/12,C44),0))</f>
        <v/>
      </c>
      <c r="E44" s="179" t="str">
        <f>IF('Part II-Sources of Funds'!$I$45="","",IF(-FV('Part II-Sources of Funds'!$K$45/12,12,E32/12,D44)&gt;0,-FV('Part II-Sources of Funds'!$K$45/12,12,E32/12,D44),0))</f>
        <v/>
      </c>
      <c r="F44" s="179" t="str">
        <f>IF('Part II-Sources of Funds'!$I$45="","",IF(-FV('Part II-Sources of Funds'!$K$45/12,12,F32/12,E44)&gt;0,-FV('Part II-Sources of Funds'!$K$45/12,12,F32/12,E44),0))</f>
        <v/>
      </c>
      <c r="G44" s="179" t="str">
        <f>IF('Part II-Sources of Funds'!$I$45="","",IF(-FV('Part II-Sources of Funds'!$K$45/12,12,G32/12,F44)&gt;0,-FV('Part II-Sources of Funds'!$K$45/12,12,G32/12,F44),0))</f>
        <v/>
      </c>
      <c r="H44" s="179" t="str">
        <f>IF('Part II-Sources of Funds'!$I$45="","",IF(-FV('Part II-Sources of Funds'!$K$45/12,12,H32/12,G44)&gt;0,-FV('Part II-Sources of Funds'!$K$45/12,12,H32/12,G44),0))</f>
        <v/>
      </c>
      <c r="I44" s="179" t="str">
        <f>IF('Part II-Sources of Funds'!$I$45="","",IF(-FV('Part II-Sources of Funds'!$K$45/12,12,I32/12,H44)&gt;0,-FV('Part II-Sources of Funds'!$K$45/12,12,I32/12,H44),0))</f>
        <v/>
      </c>
      <c r="J44" s="179" t="str">
        <f>IF('Part II-Sources of Funds'!$I$45="","",IF(-FV('Part II-Sources of Funds'!$K$45/12,12,J32/12,I44)&gt;0,-FV('Part II-Sources of Funds'!$K$45/12,12,J32/12,I44),0))</f>
        <v/>
      </c>
      <c r="K44" s="179" t="str">
        <f>IF('Part II-Sources of Funds'!$I$45="","",IF(-FV('Part II-Sources of Funds'!$K$45/12,12,K32/12,J44)&gt;0,-FV('Part II-Sources of Funds'!$K$45/12,12,K32/12,J44),0))</f>
        <v/>
      </c>
      <c r="N44" s="3093"/>
      <c r="O44" s="3095"/>
      <c r="Z44" s="1721" t="s">
        <v>6469</v>
      </c>
      <c r="AA44" s="1723">
        <v>44</v>
      </c>
    </row>
    <row r="45" spans="1:27" ht="4.3499999999999996" customHeight="1">
      <c r="B45" s="13"/>
      <c r="C45" s="13"/>
      <c r="D45" s="13"/>
      <c r="E45" s="13"/>
      <c r="F45" s="13"/>
      <c r="G45" s="13"/>
      <c r="H45" s="13"/>
      <c r="I45" s="13"/>
      <c r="J45" s="13"/>
      <c r="K45" s="13"/>
      <c r="AA45" s="1723">
        <v>45</v>
      </c>
    </row>
    <row r="46" spans="1:27" ht="14.45" customHeight="1">
      <c r="A46" s="10" t="s">
        <v>2285</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2778" t="s">
        <v>2410</v>
      </c>
      <c r="O46" s="2778"/>
      <c r="AA46" s="1723">
        <v>46</v>
      </c>
    </row>
    <row r="47" spans="1:27" ht="13.35" customHeight="1">
      <c r="A47" s="14" t="s">
        <v>2216</v>
      </c>
      <c r="B47" s="15">
        <f t="shared" ref="B47:K47" si="17">$B$15*(1+$B$6)^(B46-1)</f>
        <v>2287677.0760488007</v>
      </c>
      <c r="C47" s="15">
        <f t="shared" si="17"/>
        <v>2333430.6175697763</v>
      </c>
      <c r="D47" s="15">
        <f t="shared" si="17"/>
        <v>2380099.2299211724</v>
      </c>
      <c r="E47" s="15">
        <f t="shared" si="17"/>
        <v>2427701.2145195953</v>
      </c>
      <c r="F47" s="15">
        <f t="shared" si="17"/>
        <v>2476255.2388099874</v>
      </c>
      <c r="G47" s="15">
        <f t="shared" si="17"/>
        <v>2525780.3435861869</v>
      </c>
      <c r="H47" s="15">
        <f t="shared" si="17"/>
        <v>2576295.950457911</v>
      </c>
      <c r="I47" s="15">
        <f t="shared" si="17"/>
        <v>2627821.8694670694</v>
      </c>
      <c r="J47" s="15">
        <f t="shared" si="17"/>
        <v>2680378.3068564106</v>
      </c>
      <c r="K47" s="16">
        <f t="shared" si="17"/>
        <v>2733985.8729935386</v>
      </c>
      <c r="N47" s="3113"/>
      <c r="O47" s="3115"/>
      <c r="Z47" s="1721" t="s">
        <v>6470</v>
      </c>
      <c r="AA47" s="1723">
        <v>47</v>
      </c>
    </row>
    <row r="48" spans="1:27" ht="13.35" customHeight="1">
      <c r="A48" s="17" t="s">
        <v>953</v>
      </c>
      <c r="B48" s="18">
        <f t="shared" ref="B48:K48" si="18">$B$16*(1+$B$6)^(B46-1)</f>
        <v>45753.541520976018</v>
      </c>
      <c r="C48" s="18">
        <f t="shared" si="18"/>
        <v>46668.612351395532</v>
      </c>
      <c r="D48" s="18">
        <f t="shared" si="18"/>
        <v>47601.984598423449</v>
      </c>
      <c r="E48" s="18">
        <f t="shared" si="18"/>
        <v>48554.024290391913</v>
      </c>
      <c r="F48" s="18">
        <f t="shared" si="18"/>
        <v>49525.104776199762</v>
      </c>
      <c r="G48" s="18">
        <f t="shared" si="18"/>
        <v>50515.606871723736</v>
      </c>
      <c r="H48" s="18">
        <f t="shared" si="18"/>
        <v>51525.91900915822</v>
      </c>
      <c r="I48" s="18">
        <f t="shared" si="18"/>
        <v>52556.437389341394</v>
      </c>
      <c r="J48" s="18">
        <f t="shared" si="18"/>
        <v>53607.566137128211</v>
      </c>
      <c r="K48" s="19">
        <f t="shared" si="18"/>
        <v>54679.717459870779</v>
      </c>
      <c r="N48" s="3087"/>
      <c r="O48" s="3089"/>
      <c r="Z48" s="1721" t="s">
        <v>6470</v>
      </c>
      <c r="AA48" s="1723">
        <v>48</v>
      </c>
    </row>
    <row r="49" spans="1:27" ht="13.35" customHeight="1">
      <c r="A49" s="17" t="s">
        <v>2217</v>
      </c>
      <c r="B49" s="18">
        <f t="shared" ref="B49:K49" si="19">-(B47+B48)*$B$9</f>
        <v>-163340.14322988439</v>
      </c>
      <c r="C49" s="18">
        <f t="shared" si="19"/>
        <v>-166606.94609448206</v>
      </c>
      <c r="D49" s="18">
        <f t="shared" si="19"/>
        <v>-169939.08501637171</v>
      </c>
      <c r="E49" s="18">
        <f t="shared" si="19"/>
        <v>-173337.86671669909</v>
      </c>
      <c r="F49" s="18">
        <f t="shared" si="19"/>
        <v>-176804.62405103314</v>
      </c>
      <c r="G49" s="18">
        <f t="shared" si="19"/>
        <v>-180340.71653205375</v>
      </c>
      <c r="H49" s="18">
        <f t="shared" si="19"/>
        <v>-183947.53086269487</v>
      </c>
      <c r="I49" s="18">
        <f t="shared" si="19"/>
        <v>-187626.48147994876</v>
      </c>
      <c r="J49" s="18">
        <f t="shared" si="19"/>
        <v>-191379.01110954772</v>
      </c>
      <c r="K49" s="19">
        <f t="shared" si="19"/>
        <v>-195206.59133173869</v>
      </c>
      <c r="N49" s="3087"/>
      <c r="O49" s="3089"/>
      <c r="Z49" s="1721" t="s">
        <v>6470</v>
      </c>
      <c r="AA49" s="1723">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087"/>
      <c r="O50" s="3089"/>
      <c r="Z50" s="1721" t="s">
        <v>6470</v>
      </c>
      <c r="AA50" s="1723">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087"/>
      <c r="O51" s="3089"/>
      <c r="Z51" s="1721" t="s">
        <v>6470</v>
      </c>
      <c r="AA51" s="1723">
        <v>51</v>
      </c>
    </row>
    <row r="52" spans="1:27" ht="13.35" customHeight="1">
      <c r="A52" s="341" t="s">
        <v>3843</v>
      </c>
      <c r="B52" s="18">
        <f t="shared" ref="B52:K52" si="20">SUM(B47:B51)</f>
        <v>2170090.4743398922</v>
      </c>
      <c r="C52" s="18">
        <f t="shared" si="20"/>
        <v>2213492.2838266897</v>
      </c>
      <c r="D52" s="18">
        <f t="shared" si="20"/>
        <v>2257762.129503224</v>
      </c>
      <c r="E52" s="18">
        <f t="shared" si="20"/>
        <v>2302917.3720932878</v>
      </c>
      <c r="F52" s="18">
        <f t="shared" si="20"/>
        <v>2348975.7195351543</v>
      </c>
      <c r="G52" s="18">
        <f t="shared" si="20"/>
        <v>2395955.2339258566</v>
      </c>
      <c r="H52" s="18">
        <f t="shared" si="20"/>
        <v>2443874.3386043743</v>
      </c>
      <c r="I52" s="18">
        <f t="shared" si="20"/>
        <v>2492751.8253764617</v>
      </c>
      <c r="J52" s="18">
        <f t="shared" si="20"/>
        <v>2542606.8618839909</v>
      </c>
      <c r="K52" s="19">
        <f t="shared" si="20"/>
        <v>2593458.9991216711</v>
      </c>
      <c r="N52" s="3087"/>
      <c r="O52" s="3089"/>
      <c r="Z52" s="1721" t="s">
        <v>6470</v>
      </c>
      <c r="AA52" s="1723">
        <v>52</v>
      </c>
    </row>
    <row r="53" spans="1:27" ht="13.35" customHeight="1">
      <c r="A53" s="17" t="s">
        <v>572</v>
      </c>
      <c r="B53" s="18">
        <f t="shared" ref="B53:K53" si="21">$B$21*(1+$B$7)^(B46-1)</f>
        <v>-1005733.261645967</v>
      </c>
      <c r="C53" s="18">
        <f t="shared" si="21"/>
        <v>-1035905.259495346</v>
      </c>
      <c r="D53" s="18">
        <f t="shared" si="21"/>
        <v>-1066982.4172802062</v>
      </c>
      <c r="E53" s="18">
        <f t="shared" si="21"/>
        <v>-1098991.8897986123</v>
      </c>
      <c r="F53" s="18">
        <f t="shared" si="21"/>
        <v>-1131961.6464925709</v>
      </c>
      <c r="G53" s="18">
        <f t="shared" si="21"/>
        <v>-1165920.495887348</v>
      </c>
      <c r="H53" s="18">
        <f t="shared" si="21"/>
        <v>-1200898.1107639682</v>
      </c>
      <c r="I53" s="18">
        <f t="shared" si="21"/>
        <v>-1236925.0540868873</v>
      </c>
      <c r="J53" s="18">
        <f t="shared" si="21"/>
        <v>-1274032.805709494</v>
      </c>
      <c r="K53" s="19">
        <f t="shared" si="21"/>
        <v>-1312253.7898807789</v>
      </c>
      <c r="N53" s="3087"/>
      <c r="O53" s="3089"/>
      <c r="Z53" s="1721" t="s">
        <v>6470</v>
      </c>
      <c r="AA53" s="1723">
        <v>53</v>
      </c>
    </row>
    <row r="54" spans="1:27" ht="13.35" customHeight="1">
      <c r="A54" s="17" t="s">
        <v>1051</v>
      </c>
      <c r="B54" s="18">
        <f>IF(AND('Part VI-Pro Forma'!$G$9="Yes",'Part VI-Pro Forma'!$G$10="Yes"),"Choose One!",IF('Part VI-Pro Forma'!$G$9="Yes",ROUND((-$K$9*(1+'Part VI-Pro Forma'!$B$7)^('Part VI-Pro Forma'!B46-1)),),IF('Part VI-Pro Forma'!$G$10="Yes",ROUND((-(SUM(B47:B50)*'Part VI-Pro Forma'!$K$10)),),"Choose mgt fee")))</f>
        <v>-141056</v>
      </c>
      <c r="C54" s="18">
        <f>IF(AND('Part VI-Pro Forma'!$G$9="Yes",'Part VI-Pro Forma'!$G$10="Yes"),"Choose One!",IF('Part VI-Pro Forma'!$G$9="Yes",ROUND((-$K$9*(1+'Part VI-Pro Forma'!$B$7)^('Part VI-Pro Forma'!C46-1)),),IF('Part VI-Pro Forma'!$G$10="Yes",ROUND((-(SUM(C47:C50)*'Part VI-Pro Forma'!$K$10)),),"Choose mgt fee")))</f>
        <v>-143877</v>
      </c>
      <c r="D54" s="18">
        <f>IF(AND('Part VI-Pro Forma'!$G$9="Yes",'Part VI-Pro Forma'!$G$10="Yes"),"Choose One!",IF('Part VI-Pro Forma'!$G$9="Yes",ROUND((-$K$9*(1+'Part VI-Pro Forma'!$B$7)^('Part VI-Pro Forma'!D46-1)),),IF('Part VI-Pro Forma'!$G$10="Yes",ROUND((-(SUM(D47:D50)*'Part VI-Pro Forma'!$K$10)),),"Choose mgt fee")))</f>
        <v>-146755</v>
      </c>
      <c r="E54" s="18">
        <f>IF(AND('Part VI-Pro Forma'!$G$9="Yes",'Part VI-Pro Forma'!$G$10="Yes"),"Choose One!",IF('Part VI-Pro Forma'!$G$9="Yes",ROUND((-$K$9*(1+'Part VI-Pro Forma'!$B$7)^('Part VI-Pro Forma'!E46-1)),),IF('Part VI-Pro Forma'!$G$10="Yes",ROUND((-(SUM(E47:E50)*'Part VI-Pro Forma'!$K$10)),),"Choose mgt fee")))</f>
        <v>-149690</v>
      </c>
      <c r="F54" s="18">
        <f>IF(AND('Part VI-Pro Forma'!$G$9="Yes",'Part VI-Pro Forma'!$G$10="Yes"),"Choose One!",IF('Part VI-Pro Forma'!$G$9="Yes",ROUND((-$K$9*(1+'Part VI-Pro Forma'!$B$7)^('Part VI-Pro Forma'!F46-1)),),IF('Part VI-Pro Forma'!$G$10="Yes",ROUND((-(SUM(F47:F50)*'Part VI-Pro Forma'!$K$10)),),"Choose mgt fee")))</f>
        <v>-152683</v>
      </c>
      <c r="G54" s="18">
        <f>IF(AND('Part VI-Pro Forma'!$G$9="Yes",'Part VI-Pro Forma'!$G$10="Yes"),"Choose One!",IF('Part VI-Pro Forma'!$G$9="Yes",ROUND((-$K$9*(1+'Part VI-Pro Forma'!$B$7)^('Part VI-Pro Forma'!G46-1)),),IF('Part VI-Pro Forma'!$G$10="Yes",ROUND((-(SUM(G47:G50)*'Part VI-Pro Forma'!$K$10)),),"Choose mgt fee")))</f>
        <v>-155737</v>
      </c>
      <c r="H54" s="18">
        <f>IF(AND('Part VI-Pro Forma'!$G$9="Yes",'Part VI-Pro Forma'!$G$10="Yes"),"Choose One!",IF('Part VI-Pro Forma'!$G$9="Yes",ROUND((-$K$9*(1+'Part VI-Pro Forma'!$B$7)^('Part VI-Pro Forma'!H46-1)),),IF('Part VI-Pro Forma'!$G$10="Yes",ROUND((-(SUM(H47:H50)*'Part VI-Pro Forma'!$K$10)),),"Choose mgt fee")))</f>
        <v>-158852</v>
      </c>
      <c r="I54" s="18">
        <f>IF(AND('Part VI-Pro Forma'!$G$9="Yes",'Part VI-Pro Forma'!$G$10="Yes"),"Choose One!",IF('Part VI-Pro Forma'!$G$9="Yes",ROUND((-$K$9*(1+'Part VI-Pro Forma'!$B$7)^('Part VI-Pro Forma'!I46-1)),),IF('Part VI-Pro Forma'!$G$10="Yes",ROUND((-(SUM(I47:I50)*'Part VI-Pro Forma'!$K$10)),),"Choose mgt fee")))</f>
        <v>-162029</v>
      </c>
      <c r="J54" s="18">
        <f>IF(AND('Part VI-Pro Forma'!$G$9="Yes",'Part VI-Pro Forma'!$G$10="Yes"),"Choose One!",IF('Part VI-Pro Forma'!$G$9="Yes",ROUND((-$K$9*(1+'Part VI-Pro Forma'!$B$7)^('Part VI-Pro Forma'!J46-1)),),IF('Part VI-Pro Forma'!$G$10="Yes",ROUND((-(SUM(J47:J50)*'Part VI-Pro Forma'!$K$10)),),"Choose mgt fee")))</f>
        <v>-165269</v>
      </c>
      <c r="K54" s="19">
        <f>IF(AND('Part VI-Pro Forma'!$G$9="Yes",'Part VI-Pro Forma'!$G$10="Yes"),"Choose One!",IF('Part VI-Pro Forma'!$G$9="Yes",ROUND((-$K$9*(1+'Part VI-Pro Forma'!$B$7)^('Part VI-Pro Forma'!K46-1)),),IF('Part VI-Pro Forma'!$G$10="Yes",ROUND((-(SUM(K47:K50)*'Part VI-Pro Forma'!$K$10)),),"Choose mgt fee")))</f>
        <v>-168575</v>
      </c>
      <c r="N54" s="3087"/>
      <c r="O54" s="3089"/>
      <c r="Z54" s="1721" t="s">
        <v>6470</v>
      </c>
      <c r="AA54" s="1723">
        <v>54</v>
      </c>
    </row>
    <row r="55" spans="1:27" ht="13.35" customHeight="1">
      <c r="A55" s="17" t="s">
        <v>1129</v>
      </c>
      <c r="B55" s="18">
        <f t="shared" ref="B55:K55" si="22">$B$23*(1+$B$8)^(B46-1)</f>
        <v>-40317.491380323656</v>
      </c>
      <c r="C55" s="18">
        <f t="shared" si="22"/>
        <v>-41527.016121733366</v>
      </c>
      <c r="D55" s="18">
        <f t="shared" si="22"/>
        <v>-42772.826605385359</v>
      </c>
      <c r="E55" s="18">
        <f t="shared" si="22"/>
        <v>-44056.011403546916</v>
      </c>
      <c r="F55" s="18">
        <f t="shared" si="22"/>
        <v>-45377.691745653334</v>
      </c>
      <c r="G55" s="18">
        <f t="shared" si="22"/>
        <v>-46739.022498022932</v>
      </c>
      <c r="H55" s="18">
        <f t="shared" si="22"/>
        <v>-48141.193172963613</v>
      </c>
      <c r="I55" s="18">
        <f t="shared" si="22"/>
        <v>-49585.428968152519</v>
      </c>
      <c r="J55" s="18">
        <f t="shared" si="22"/>
        <v>-51072.9918371971</v>
      </c>
      <c r="K55" s="19">
        <f t="shared" si="22"/>
        <v>-52605.181592313005</v>
      </c>
      <c r="N55" s="3087"/>
      <c r="O55" s="3089"/>
      <c r="Q55" s="92"/>
      <c r="R55" s="869"/>
      <c r="S55" s="869"/>
      <c r="Z55" s="1721" t="s">
        <v>6470</v>
      </c>
      <c r="AA55" s="1723">
        <v>55</v>
      </c>
    </row>
    <row r="56" spans="1:27" ht="13.35" customHeight="1">
      <c r="A56" s="341" t="s">
        <v>3842</v>
      </c>
      <c r="B56" s="1288">
        <f>IF(B46&lt;=+'Part V-Revenues &amp; Expenses'!$N$251,-'Part V-Revenues &amp; Expenses'!$K$251,0)</f>
        <v>0</v>
      </c>
      <c r="C56" s="1288">
        <f>IF(C46&lt;=+'Part V-Revenues &amp; Expenses'!$N$251,-'Part V-Revenues &amp; Expenses'!$K$251,0)</f>
        <v>0</v>
      </c>
      <c r="D56" s="1288">
        <f>IF(D46&lt;=+'Part V-Revenues &amp; Expenses'!$N$251,-'Part V-Revenues &amp; Expenses'!$K$251,0)</f>
        <v>0</v>
      </c>
      <c r="E56" s="1288">
        <f>IF(E46&lt;=+'Part V-Revenues &amp; Expenses'!$N$251,-'Part V-Revenues &amp; Expenses'!$K$251,0)</f>
        <v>0</v>
      </c>
      <c r="F56" s="1288">
        <f>IF(F46&lt;=+'Part V-Revenues &amp; Expenses'!$N$251,-'Part V-Revenues &amp; Expenses'!$K$251,0)</f>
        <v>0</v>
      </c>
      <c r="G56" s="1288">
        <f>IF(G46&lt;=+'Part V-Revenues &amp; Expenses'!$N$251,-'Part V-Revenues &amp; Expenses'!$K$251,0)</f>
        <v>0</v>
      </c>
      <c r="H56" s="1288">
        <f>IF(H46&lt;=+'Part V-Revenues &amp; Expenses'!$N$251,-'Part V-Revenues &amp; Expenses'!$K$251,0)</f>
        <v>0</v>
      </c>
      <c r="I56" s="1288">
        <f>IF(I46&lt;=+'Part V-Revenues &amp; Expenses'!$N$251,-'Part V-Revenues &amp; Expenses'!$K$251,0)</f>
        <v>0</v>
      </c>
      <c r="J56" s="1288">
        <f>IF(J46&lt;=+'Part V-Revenues &amp; Expenses'!$N$251,-'Part V-Revenues &amp; Expenses'!$K$251,0)</f>
        <v>0</v>
      </c>
      <c r="K56" s="1288">
        <f>IF(K46&lt;=+'Part V-Revenues &amp; Expenses'!$N$251,-'Part V-Revenues &amp; Expenses'!$K$251,0)</f>
        <v>0</v>
      </c>
      <c r="N56" s="3087"/>
      <c r="O56" s="3089"/>
      <c r="Z56" s="1721" t="s">
        <v>6470</v>
      </c>
      <c r="AA56" s="1723">
        <v>56</v>
      </c>
    </row>
    <row r="57" spans="1:27" ht="13.35" customHeight="1">
      <c r="A57" s="17" t="s">
        <v>1130</v>
      </c>
      <c r="B57" s="18">
        <f t="shared" ref="B57:K57" si="23">SUM(B52:B56)</f>
        <v>982983.72131360136</v>
      </c>
      <c r="C57" s="18">
        <f t="shared" si="23"/>
        <v>992183.00820961047</v>
      </c>
      <c r="D57" s="18">
        <f t="shared" si="23"/>
        <v>1001251.8856176324</v>
      </c>
      <c r="E57" s="18">
        <f t="shared" si="23"/>
        <v>1010179.4708911285</v>
      </c>
      <c r="F57" s="18">
        <f t="shared" si="23"/>
        <v>1018953.3812969301</v>
      </c>
      <c r="G57" s="18">
        <f t="shared" si="23"/>
        <v>1027558.7155404858</v>
      </c>
      <c r="H57" s="18">
        <f t="shared" si="23"/>
        <v>1035983.0346674426</v>
      </c>
      <c r="I57" s="18">
        <f t="shared" si="23"/>
        <v>1044212.342321422</v>
      </c>
      <c r="J57" s="18">
        <f t="shared" si="23"/>
        <v>1052232.0643372997</v>
      </c>
      <c r="K57" s="1217">
        <f t="shared" si="23"/>
        <v>1060025.0276485791</v>
      </c>
      <c r="N57" s="3087"/>
      <c r="O57" s="3089"/>
      <c r="Z57" s="1721" t="s">
        <v>6470</v>
      </c>
      <c r="AA57" s="1723">
        <v>57</v>
      </c>
    </row>
    <row r="58" spans="1:27" ht="13.35" customHeight="1">
      <c r="A58" s="17" t="str">
        <f>$A26</f>
        <v>Mortgage A</v>
      </c>
      <c r="B58" s="342">
        <f>IF('Part II-Sources of Funds'!$P$40="", 0,-'Part II-Sources of Funds'!$P$40)</f>
        <v>-711358.87799951679</v>
      </c>
      <c r="C58" s="342">
        <f>IF('Part II-Sources of Funds'!$P$40="", 0,-'Part II-Sources of Funds'!$P$40)</f>
        <v>-711358.87799951679</v>
      </c>
      <c r="D58" s="342">
        <f>IF('Part II-Sources of Funds'!$P$40="", 0,-'Part II-Sources of Funds'!$P$40)</f>
        <v>-711358.87799951679</v>
      </c>
      <c r="E58" s="342">
        <f>IF('Part II-Sources of Funds'!$P$40="", 0,-'Part II-Sources of Funds'!$P$40)</f>
        <v>-711358.87799951679</v>
      </c>
      <c r="F58" s="342">
        <f>IF('Part II-Sources of Funds'!$P$40="", 0,-'Part II-Sources of Funds'!$P$40)</f>
        <v>-711358.87799951679</v>
      </c>
      <c r="G58" s="342">
        <f>IF('Part II-Sources of Funds'!$P$40="", 0,-'Part II-Sources of Funds'!$P$40)</f>
        <v>-711358.87799951679</v>
      </c>
      <c r="H58" s="342">
        <f>IF('Part II-Sources of Funds'!$P$40="", 0,-'Part II-Sources of Funds'!$P$40)</f>
        <v>-711358.87799951679</v>
      </c>
      <c r="I58" s="342">
        <f>IF('Part II-Sources of Funds'!$P$40="", 0,-'Part II-Sources of Funds'!$P$40)</f>
        <v>-711358.87799951679</v>
      </c>
      <c r="J58" s="342">
        <f>IF('Part II-Sources of Funds'!$P$40="", 0,-'Part II-Sources of Funds'!$P$40)</f>
        <v>-711358.87799951679</v>
      </c>
      <c r="K58" s="342">
        <f>IF('Part II-Sources of Funds'!$P$40="", 0,-'Part II-Sources of Funds'!$P$40)</f>
        <v>-711358.87799951679</v>
      </c>
      <c r="N58" s="3087"/>
      <c r="O58" s="3089"/>
      <c r="Z58" s="1721" t="s">
        <v>6470</v>
      </c>
      <c r="AA58" s="1723">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087"/>
      <c r="O59" s="3089"/>
      <c r="Z59" s="1721" t="s">
        <v>6470</v>
      </c>
      <c r="AA59" s="172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087"/>
      <c r="O60" s="3089"/>
      <c r="Z60" s="1721" t="s">
        <v>6470</v>
      </c>
      <c r="AA60" s="172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087"/>
      <c r="O61" s="3089"/>
      <c r="Z61" s="1721" t="s">
        <v>6470</v>
      </c>
      <c r="AA61" s="1723">
        <v>61</v>
      </c>
    </row>
    <row r="62" spans="1:27" ht="13.35" customHeight="1">
      <c r="A62" s="17" t="s">
        <v>711</v>
      </c>
      <c r="B62" s="138"/>
      <c r="C62" s="138"/>
      <c r="D62" s="138"/>
      <c r="E62" s="138"/>
      <c r="F62" s="138"/>
      <c r="G62" s="138"/>
      <c r="H62" s="138"/>
      <c r="I62" s="138"/>
      <c r="J62" s="138"/>
      <c r="K62" s="138"/>
      <c r="N62" s="3087"/>
      <c r="O62" s="3089"/>
      <c r="Q62" s="92"/>
      <c r="R62" s="869"/>
      <c r="Z62" s="1721" t="s">
        <v>6470</v>
      </c>
      <c r="AA62" s="1723">
        <v>62</v>
      </c>
    </row>
    <row r="63" spans="1:27" ht="13.35" customHeight="1">
      <c r="A63" s="341" t="s">
        <v>1096</v>
      </c>
      <c r="B63" s="178">
        <f>+K31</f>
        <v>-5000</v>
      </c>
      <c r="C63" s="178">
        <f t="shared" ref="C63:K63" si="24">+B63</f>
        <v>-5000</v>
      </c>
      <c r="D63" s="178">
        <f t="shared" si="24"/>
        <v>-5000</v>
      </c>
      <c r="E63" s="178">
        <f t="shared" si="24"/>
        <v>-5000</v>
      </c>
      <c r="F63" s="178">
        <f t="shared" si="24"/>
        <v>-5000</v>
      </c>
      <c r="G63" s="178">
        <f t="shared" si="24"/>
        <v>-5000</v>
      </c>
      <c r="H63" s="178">
        <f t="shared" si="24"/>
        <v>-5000</v>
      </c>
      <c r="I63" s="178">
        <f t="shared" si="24"/>
        <v>-5000</v>
      </c>
      <c r="J63" s="178">
        <f t="shared" si="24"/>
        <v>-5000</v>
      </c>
      <c r="K63" s="178">
        <f t="shared" si="24"/>
        <v>-5000</v>
      </c>
      <c r="N63" s="3087"/>
      <c r="O63" s="3089"/>
      <c r="Z63" s="1721" t="s">
        <v>6470</v>
      </c>
      <c r="AA63" s="1723">
        <v>63</v>
      </c>
    </row>
    <row r="64" spans="1:27" ht="13.35" customHeight="1">
      <c r="A64" s="341" t="s">
        <v>3366</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087"/>
      <c r="O64" s="3089"/>
      <c r="Z64" s="1721" t="s">
        <v>6470</v>
      </c>
      <c r="AA64" s="1723">
        <v>64</v>
      </c>
    </row>
    <row r="65" spans="1:27" ht="13.35" customHeight="1">
      <c r="A65" s="17" t="s">
        <v>1097</v>
      </c>
      <c r="B65" s="18">
        <f t="shared" ref="B65:K65" si="25">SUM(B57:B64)</f>
        <v>266624.84331408457</v>
      </c>
      <c r="C65" s="18">
        <f t="shared" si="25"/>
        <v>275824.13021009369</v>
      </c>
      <c r="D65" s="18">
        <f t="shared" si="25"/>
        <v>284893.00761811563</v>
      </c>
      <c r="E65" s="18">
        <f t="shared" si="25"/>
        <v>293820.59289161174</v>
      </c>
      <c r="F65" s="18">
        <f t="shared" si="25"/>
        <v>302594.50329741335</v>
      </c>
      <c r="G65" s="18">
        <f t="shared" si="25"/>
        <v>311199.83754096902</v>
      </c>
      <c r="H65" s="18">
        <f t="shared" si="25"/>
        <v>319624.15666792577</v>
      </c>
      <c r="I65" s="18">
        <f t="shared" si="25"/>
        <v>327853.46432190516</v>
      </c>
      <c r="J65" s="18">
        <f t="shared" si="25"/>
        <v>335873.18633778288</v>
      </c>
      <c r="K65" s="497">
        <f t="shared" si="25"/>
        <v>343666.14964906231</v>
      </c>
      <c r="N65" s="3087"/>
      <c r="O65" s="3089"/>
      <c r="Z65" s="1721" t="s">
        <v>6470</v>
      </c>
      <c r="AA65" s="1723">
        <v>65</v>
      </c>
    </row>
    <row r="66" spans="1:27" ht="13.35" customHeight="1">
      <c r="A66" s="17" t="str">
        <f>$A34</f>
        <v>DCR Mortgage A</v>
      </c>
      <c r="B66" s="20">
        <f t="shared" ref="B66:K66" si="26">IF(B58=0,"",-B57/B58)</f>
        <v>1.381839394593553</v>
      </c>
      <c r="C66" s="20">
        <f t="shared" si="26"/>
        <v>1.3947713859983406</v>
      </c>
      <c r="D66" s="20">
        <f t="shared" si="26"/>
        <v>1.4075200529349583</v>
      </c>
      <c r="E66" s="20">
        <f t="shared" si="26"/>
        <v>1.4200700970120101</v>
      </c>
      <c r="F66" s="20">
        <f t="shared" si="26"/>
        <v>1.4324041110760162</v>
      </c>
      <c r="G66" s="20">
        <f t="shared" si="26"/>
        <v>1.4445011474801384</v>
      </c>
      <c r="H66" s="20">
        <f t="shared" si="26"/>
        <v>1.4563437200373934</v>
      </c>
      <c r="I66" s="20">
        <f t="shared" si="26"/>
        <v>1.4679121532270119</v>
      </c>
      <c r="J66" s="20">
        <f t="shared" si="26"/>
        <v>1.4791859592676855</v>
      </c>
      <c r="K66" s="21">
        <f t="shared" si="26"/>
        <v>1.4901409969459876</v>
      </c>
      <c r="N66" s="3087"/>
      <c r="O66" s="3089"/>
      <c r="Z66" s="1721" t="s">
        <v>6470</v>
      </c>
      <c r="AA66" s="1723">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087"/>
      <c r="O67" s="3089"/>
      <c r="Z67" s="1721" t="s">
        <v>6470</v>
      </c>
      <c r="AA67" s="1723">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087"/>
      <c r="O68" s="3089"/>
      <c r="Z68" s="1721" t="s">
        <v>6470</v>
      </c>
      <c r="AA68" s="1723">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087"/>
      <c r="O69" s="3089"/>
      <c r="Z69" s="1721" t="s">
        <v>6470</v>
      </c>
      <c r="AA69" s="1723">
        <v>69</v>
      </c>
    </row>
    <row r="70" spans="1:27" ht="13.35" customHeight="1">
      <c r="A70" s="341" t="s">
        <v>3217</v>
      </c>
      <c r="B70" s="20">
        <f t="shared" ref="B70:K70" si="30">IF(AND(B58=0,B59=0,B60=0,B61=0),"",-B57/(B58+B59+B60+B61))</f>
        <v>1.381839394593553</v>
      </c>
      <c r="C70" s="20">
        <f t="shared" si="30"/>
        <v>1.3947713859983406</v>
      </c>
      <c r="D70" s="20">
        <f t="shared" si="30"/>
        <v>1.4075200529349583</v>
      </c>
      <c r="E70" s="20">
        <f t="shared" si="30"/>
        <v>1.4200700970120101</v>
      </c>
      <c r="F70" s="20">
        <f t="shared" si="30"/>
        <v>1.4324041110760162</v>
      </c>
      <c r="G70" s="20">
        <f t="shared" si="30"/>
        <v>1.4445011474801384</v>
      </c>
      <c r="H70" s="20">
        <f t="shared" si="30"/>
        <v>1.4563437200373934</v>
      </c>
      <c r="I70" s="20">
        <f t="shared" si="30"/>
        <v>1.4679121532270119</v>
      </c>
      <c r="J70" s="20">
        <f t="shared" si="30"/>
        <v>1.4791859592676855</v>
      </c>
      <c r="K70" s="21">
        <f t="shared" si="30"/>
        <v>1.4901409969459876</v>
      </c>
      <c r="N70" s="3087"/>
      <c r="O70" s="3089"/>
      <c r="Z70" s="1721" t="s">
        <v>6470</v>
      </c>
      <c r="AA70" s="1723">
        <v>70</v>
      </c>
    </row>
    <row r="71" spans="1:27" ht="13.35" customHeight="1">
      <c r="A71" s="17" t="s">
        <v>718</v>
      </c>
      <c r="B71" s="220">
        <f t="shared" ref="B71:K71" si="31">IF(OR(B54="Choose mgt fee",B54="Choose One!"),"",(B47+B48+B49+B50+B51) / -(B53+B54+B55))</f>
        <v>1.8280499784940836</v>
      </c>
      <c r="C71" s="220">
        <f t="shared" si="31"/>
        <v>1.8123929196462538</v>
      </c>
      <c r="D71" s="220">
        <f t="shared" si="31"/>
        <v>1.7968513511846855</v>
      </c>
      <c r="E71" s="220">
        <f t="shared" si="31"/>
        <v>1.7814263587009629</v>
      </c>
      <c r="F71" s="220">
        <f t="shared" si="31"/>
        <v>1.76611749442243</v>
      </c>
      <c r="G71" s="220">
        <f t="shared" si="31"/>
        <v>1.7509217553059444</v>
      </c>
      <c r="H71" s="220">
        <f t="shared" si="31"/>
        <v>1.7358402113646769</v>
      </c>
      <c r="I71" s="220">
        <f t="shared" si="31"/>
        <v>1.7208725440601229</v>
      </c>
      <c r="J71" s="220">
        <f t="shared" si="31"/>
        <v>1.7060184230633668</v>
      </c>
      <c r="K71" s="221">
        <f t="shared" si="31"/>
        <v>1.691275299340256</v>
      </c>
      <c r="N71" s="3087"/>
      <c r="O71" s="3089"/>
      <c r="Z71" s="1721" t="s">
        <v>6470</v>
      </c>
      <c r="AA71" s="1723">
        <v>71</v>
      </c>
    </row>
    <row r="72" spans="1:27" ht="13.35" customHeight="1">
      <c r="A72" s="341" t="s">
        <v>2406</v>
      </c>
      <c r="B72" s="177">
        <f>IF('Part II-Sources of Funds'!$I$40="","",-FV('Part II-Sources of Funds'!$K$40/12,12,B58/12,K40))</f>
        <v>9559397.5088017248</v>
      </c>
      <c r="C72" s="177">
        <f>IF('Part II-Sources of Funds'!$I$40="","",-FV('Part II-Sources of Funds'!$K$40/12,12,C58/12,B72))</f>
        <v>9437779.1178375892</v>
      </c>
      <c r="D72" s="177">
        <f>IF('Part II-Sources of Funds'!$I$40="","",-FV('Part II-Sources of Funds'!$K$40/12,12,D58/12,C72))</f>
        <v>9308395.9460812975</v>
      </c>
      <c r="E72" s="177">
        <f>IF('Part II-Sources of Funds'!$I$40="","",-FV('Part II-Sources of Funds'!$K$40/12,12,E58/12,D72))</f>
        <v>9170752.2476158682</v>
      </c>
      <c r="F72" s="177">
        <f>IF('Part II-Sources of Funds'!$I$40="","",-FV('Part II-Sources of Funds'!$K$40/12,12,F58/12,E72))</f>
        <v>9024320.6254036035</v>
      </c>
      <c r="G72" s="177">
        <f>IF('Part II-Sources of Funds'!$I$40="","",-FV('Part II-Sources of Funds'!$K$40/12,12,G58/12,F72))</f>
        <v>8868540.0105060674</v>
      </c>
      <c r="H72" s="177">
        <f>IF('Part II-Sources of Funds'!$I$40="","",-FV('Part II-Sources of Funds'!$K$40/12,12,H58/12,G72))</f>
        <v>8702813.5122864656</v>
      </c>
      <c r="I72" s="177">
        <f>IF('Part II-Sources of Funds'!$I$40="","",-FV('Part II-Sources of Funds'!$K$40/12,12,I58/12,H72))</f>
        <v>8526506.1313572228</v>
      </c>
      <c r="J72" s="177">
        <f>IF('Part II-Sources of Funds'!$I$40="","",-FV('Part II-Sources of Funds'!$K$40/12,12,J58/12,I72))</f>
        <v>8338942.3265096704</v>
      </c>
      <c r="K72" s="177">
        <f>IF('Part II-Sources of Funds'!$I$40="","",-FV('Part II-Sources of Funds'!$K$40/12,12,K58/12,J72))</f>
        <v>8139403.4263032796</v>
      </c>
      <c r="N72" s="3087"/>
      <c r="O72" s="3089"/>
      <c r="Z72" s="1721" t="s">
        <v>6470</v>
      </c>
      <c r="AA72" s="1723">
        <v>72</v>
      </c>
    </row>
    <row r="73" spans="1:27" ht="13.35" customHeight="1">
      <c r="A73" s="341" t="s">
        <v>2407</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087"/>
      <c r="O73" s="3089"/>
      <c r="Z73" s="1721" t="s">
        <v>6470</v>
      </c>
      <c r="AA73" s="1723">
        <v>73</v>
      </c>
    </row>
    <row r="74" spans="1:27" ht="13.35" customHeight="1">
      <c r="A74" s="341" t="s">
        <v>2408</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087"/>
      <c r="O74" s="3089"/>
      <c r="Z74" s="1721" t="s">
        <v>6470</v>
      </c>
      <c r="AA74" s="1723">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087"/>
      <c r="O75" s="3089"/>
      <c r="Z75" s="1721" t="s">
        <v>6470</v>
      </c>
      <c r="AA75" s="1723">
        <v>75</v>
      </c>
    </row>
    <row r="76" spans="1:27" ht="13.35" customHeight="1">
      <c r="A76" s="341" t="s">
        <v>3367</v>
      </c>
      <c r="B76" s="179" t="str">
        <f>IF('Part II-Sources of Funds'!$I$45="","",IF(-FV('Part II-Sources of Funds'!$K$45/12,12,B64/12,K44)&gt;0,-FV('Part II-Sources of Funds'!$K$45/12,12,B64/12,K44),0))</f>
        <v/>
      </c>
      <c r="C76" s="179" t="str">
        <f>IF('Part II-Sources of Funds'!$I$45="","",IF(-FV('Part II-Sources of Funds'!$K$45/12,12,C64/12,B76)&gt;0,-FV('Part II-Sources of Funds'!$K$45/12,12,C64/12,B76),0))</f>
        <v/>
      </c>
      <c r="D76" s="179" t="str">
        <f>IF('Part II-Sources of Funds'!$I$45="","",IF(-FV('Part II-Sources of Funds'!$K$45/12,12,D64/12,C76)&gt;0,-FV('Part II-Sources of Funds'!$K$45/12,12,D64/12,C76),0))</f>
        <v/>
      </c>
      <c r="E76" s="179" t="str">
        <f>IF('Part II-Sources of Funds'!$I$45="","",IF(-FV('Part II-Sources of Funds'!$K$45/12,12,E64/12,D76)&gt;0,-FV('Part II-Sources of Funds'!$K$45/12,12,E64/12,D76),0))</f>
        <v/>
      </c>
      <c r="F76" s="179" t="str">
        <f>IF('Part II-Sources of Funds'!$I$45="","",IF(-FV('Part II-Sources of Funds'!$K$45/12,12,F64/12,E76)&gt;0,-FV('Part II-Sources of Funds'!$K$45/12,12,F64/12,E76),0))</f>
        <v/>
      </c>
      <c r="G76" s="179" t="str">
        <f>IF('Part II-Sources of Funds'!$I$45="","",IF(-FV('Part II-Sources of Funds'!$K$45/12,12,G64/12,F76)&gt;0,-FV('Part II-Sources of Funds'!$K$45/12,12,G64/12,F76),0))</f>
        <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093"/>
      <c r="O76" s="3095"/>
      <c r="Z76" s="1721" t="s">
        <v>6470</v>
      </c>
      <c r="AA76" s="1723">
        <v>76</v>
      </c>
    </row>
    <row r="77" spans="1:27" ht="4.3499999999999996" customHeight="1">
      <c r="B77" s="13"/>
      <c r="C77" s="13"/>
      <c r="D77" s="13"/>
      <c r="E77" s="13"/>
      <c r="F77" s="13"/>
      <c r="G77" s="13"/>
      <c r="H77" s="13"/>
      <c r="I77" s="13"/>
      <c r="J77" s="13"/>
      <c r="K77" s="13"/>
      <c r="AA77" s="1723">
        <v>77</v>
      </c>
    </row>
    <row r="78" spans="1:27" ht="14.45" customHeight="1">
      <c r="A78" s="10" t="s">
        <v>2285</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2778" t="s">
        <v>2411</v>
      </c>
      <c r="O78" s="2778"/>
      <c r="AA78" s="1723">
        <v>78</v>
      </c>
    </row>
    <row r="79" spans="1:27" ht="13.35" customHeight="1">
      <c r="A79" s="14" t="s">
        <v>2216</v>
      </c>
      <c r="B79" s="15">
        <f t="shared" ref="B79:K79" si="33">$B$15*(1+$B$6)^(B78-1)</f>
        <v>2788665.5904534096</v>
      </c>
      <c r="C79" s="15">
        <f t="shared" si="33"/>
        <v>2844438.9022624777</v>
      </c>
      <c r="D79" s="15">
        <f t="shared" si="33"/>
        <v>2901327.6803077273</v>
      </c>
      <c r="E79" s="15">
        <f t="shared" si="33"/>
        <v>2959354.2339138812</v>
      </c>
      <c r="F79" s="15">
        <f t="shared" si="33"/>
        <v>3018541.3185921591</v>
      </c>
      <c r="G79" s="15">
        <f t="shared" si="33"/>
        <v>3078912.1449640021</v>
      </c>
      <c r="H79" s="15">
        <f t="shared" si="33"/>
        <v>3140490.3878632826</v>
      </c>
      <c r="I79" s="15">
        <f t="shared" si="33"/>
        <v>3203300.1956205475</v>
      </c>
      <c r="J79" s="15">
        <f t="shared" si="33"/>
        <v>3267366.1995329591</v>
      </c>
      <c r="K79" s="16">
        <f t="shared" si="33"/>
        <v>3332713.523523618</v>
      </c>
      <c r="N79" s="3113"/>
      <c r="O79" s="3115"/>
      <c r="Z79" s="1721" t="s">
        <v>6471</v>
      </c>
      <c r="AA79" s="1723">
        <v>79</v>
      </c>
    </row>
    <row r="80" spans="1:27" ht="13.35" customHeight="1">
      <c r="A80" s="17" t="s">
        <v>953</v>
      </c>
      <c r="B80" s="18">
        <f t="shared" ref="B80:K80" si="34">$B$16*(1+$B$6)^(B78-1)</f>
        <v>55773.311809068196</v>
      </c>
      <c r="C80" s="18">
        <f t="shared" si="34"/>
        <v>56888.778045249557</v>
      </c>
      <c r="D80" s="18">
        <f t="shared" si="34"/>
        <v>58026.55360615455</v>
      </c>
      <c r="E80" s="18">
        <f t="shared" si="34"/>
        <v>59187.084678277628</v>
      </c>
      <c r="F80" s="18">
        <f t="shared" si="34"/>
        <v>60370.826371843184</v>
      </c>
      <c r="G80" s="18">
        <f t="shared" si="34"/>
        <v>61578.242899280049</v>
      </c>
      <c r="H80" s="18">
        <f t="shared" si="34"/>
        <v>62809.807757265662</v>
      </c>
      <c r="I80" s="18">
        <f t="shared" si="34"/>
        <v>64066.003912410961</v>
      </c>
      <c r="J80" s="18">
        <f t="shared" si="34"/>
        <v>65347.323990659192</v>
      </c>
      <c r="K80" s="19">
        <f t="shared" si="34"/>
        <v>66654.270470472373</v>
      </c>
      <c r="N80" s="3087"/>
      <c r="O80" s="3089"/>
      <c r="Z80" s="1721" t="s">
        <v>6471</v>
      </c>
      <c r="AA80" s="1723">
        <v>80</v>
      </c>
    </row>
    <row r="81" spans="1:27" ht="13.35" customHeight="1">
      <c r="A81" s="17" t="s">
        <v>2217</v>
      </c>
      <c r="B81" s="18">
        <f t="shared" ref="B81:K81" si="35">-(B79+B80)*$B$9</f>
        <v>-199110.72315837347</v>
      </c>
      <c r="C81" s="18">
        <f t="shared" si="35"/>
        <v>-203092.93762154094</v>
      </c>
      <c r="D81" s="18">
        <f t="shared" si="35"/>
        <v>-207154.79637397174</v>
      </c>
      <c r="E81" s="18">
        <f t="shared" si="35"/>
        <v>-211297.89230145115</v>
      </c>
      <c r="F81" s="18">
        <f t="shared" si="35"/>
        <v>-215523.85014748017</v>
      </c>
      <c r="G81" s="18">
        <f t="shared" si="35"/>
        <v>-219834.32715042977</v>
      </c>
      <c r="H81" s="18">
        <f t="shared" si="35"/>
        <v>-224231.01369343841</v>
      </c>
      <c r="I81" s="18">
        <f t="shared" si="35"/>
        <v>-228715.63396730713</v>
      </c>
      <c r="J81" s="18">
        <f t="shared" si="35"/>
        <v>-233289.94664665332</v>
      </c>
      <c r="K81" s="19">
        <f t="shared" si="35"/>
        <v>-237955.74557958636</v>
      </c>
      <c r="N81" s="3087"/>
      <c r="O81" s="3089"/>
      <c r="Z81" s="1721" t="s">
        <v>6471</v>
      </c>
      <c r="AA81" s="1723">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087"/>
      <c r="O82" s="3089"/>
      <c r="Z82" s="1721" t="s">
        <v>6471</v>
      </c>
      <c r="AA82" s="1723">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087"/>
      <c r="O83" s="3089"/>
      <c r="Z83" s="1721" t="s">
        <v>6471</v>
      </c>
      <c r="AA83" s="1723">
        <v>83</v>
      </c>
    </row>
    <row r="84" spans="1:27" ht="13.35" customHeight="1">
      <c r="A84" s="341" t="s">
        <v>3843</v>
      </c>
      <c r="B84" s="18">
        <f t="shared" ref="B84:K84" si="36">SUM(B79:B83)</f>
        <v>2645328.1791041042</v>
      </c>
      <c r="C84" s="18">
        <f t="shared" si="36"/>
        <v>2698234.7426861865</v>
      </c>
      <c r="D84" s="18">
        <f t="shared" si="36"/>
        <v>2752199.43753991</v>
      </c>
      <c r="E84" s="18">
        <f t="shared" si="36"/>
        <v>2807243.4262907081</v>
      </c>
      <c r="F84" s="18">
        <f t="shared" si="36"/>
        <v>2863388.2948165219</v>
      </c>
      <c r="G84" s="18">
        <f t="shared" si="36"/>
        <v>2920656.0607128525</v>
      </c>
      <c r="H84" s="18">
        <f t="shared" si="36"/>
        <v>2979069.1819271101</v>
      </c>
      <c r="I84" s="18">
        <f t="shared" si="36"/>
        <v>3038650.5655656517</v>
      </c>
      <c r="J84" s="18">
        <f t="shared" si="36"/>
        <v>3099423.5768769654</v>
      </c>
      <c r="K84" s="19">
        <f t="shared" si="36"/>
        <v>3161412.0484145042</v>
      </c>
      <c r="N84" s="3087"/>
      <c r="O84" s="3089"/>
      <c r="Z84" s="1721" t="s">
        <v>6471</v>
      </c>
      <c r="AA84" s="1723">
        <v>84</v>
      </c>
    </row>
    <row r="85" spans="1:27" ht="13.35" customHeight="1">
      <c r="A85" s="17" t="s">
        <v>572</v>
      </c>
      <c r="B85" s="18">
        <f t="shared" ref="B85:K85" si="37">$B$21*(1+$B$7)^(B78-1)</f>
        <v>-1351621.403577202</v>
      </c>
      <c r="C85" s="18">
        <f t="shared" si="37"/>
        <v>-1392170.0456845181</v>
      </c>
      <c r="D85" s="18">
        <f t="shared" si="37"/>
        <v>-1433935.1470550536</v>
      </c>
      <c r="E85" s="18">
        <f t="shared" si="37"/>
        <v>-1476953.2014667054</v>
      </c>
      <c r="F85" s="18">
        <f t="shared" si="37"/>
        <v>-1521261.7975107064</v>
      </c>
      <c r="G85" s="18">
        <f t="shared" si="37"/>
        <v>-1566899.6514360274</v>
      </c>
      <c r="H85" s="18">
        <f t="shared" si="37"/>
        <v>-1613906.6409791086</v>
      </c>
      <c r="I85" s="18">
        <f t="shared" si="37"/>
        <v>-1662323.8402084815</v>
      </c>
      <c r="J85" s="18">
        <f t="shared" si="37"/>
        <v>-1712193.555414736</v>
      </c>
      <c r="K85" s="19">
        <f t="shared" si="37"/>
        <v>-1763559.362077178</v>
      </c>
      <c r="N85" s="3087"/>
      <c r="O85" s="3089"/>
      <c r="Z85" s="1721" t="s">
        <v>6471</v>
      </c>
      <c r="AA85" s="1723">
        <v>85</v>
      </c>
    </row>
    <row r="86" spans="1:27" ht="13.35" customHeight="1">
      <c r="A86" s="17" t="s">
        <v>1051</v>
      </c>
      <c r="B86" s="18">
        <f>IF(AND('Part VI-Pro Forma'!$G$9="Yes",'Part VI-Pro Forma'!$G$10="Yes"),"Choose One!",IF('Part VI-Pro Forma'!$G$9="Yes",ROUND((-$K$9*(1+'Part VI-Pro Forma'!$B$7)^('Part VI-Pro Forma'!B78-1)),),IF('Part VI-Pro Forma'!$G$10="Yes",ROUND((-(SUM(B79:B82)*'Part VI-Pro Forma'!$K$10)),),"Choose mgt fee")))</f>
        <v>-171946</v>
      </c>
      <c r="C86" s="18">
        <f>IF(AND('Part VI-Pro Forma'!$G$9="Yes",'Part VI-Pro Forma'!$G$10="Yes"),"Choose One!",IF('Part VI-Pro Forma'!$G$9="Yes",ROUND((-$K$9*(1+'Part VI-Pro Forma'!$B$7)^('Part VI-Pro Forma'!C78-1)),),IF('Part VI-Pro Forma'!$G$10="Yes",ROUND((-(SUM(C79:C82)*'Part VI-Pro Forma'!$K$10)),),"Choose mgt fee")))</f>
        <v>-175385</v>
      </c>
      <c r="D86" s="18">
        <f>IF(AND('Part VI-Pro Forma'!$G$9="Yes",'Part VI-Pro Forma'!$G$10="Yes"),"Choose One!",IF('Part VI-Pro Forma'!$G$9="Yes",ROUND((-$K$9*(1+'Part VI-Pro Forma'!$B$7)^('Part VI-Pro Forma'!D78-1)),),IF('Part VI-Pro Forma'!$G$10="Yes",ROUND((-(SUM(D79:D82)*'Part VI-Pro Forma'!$K$10)),),"Choose mgt fee")))</f>
        <v>-178893</v>
      </c>
      <c r="E86" s="18">
        <f>IF(AND('Part VI-Pro Forma'!$G$9="Yes",'Part VI-Pro Forma'!$G$10="Yes"),"Choose One!",IF('Part VI-Pro Forma'!$G$9="Yes",ROUND((-$K$9*(1+'Part VI-Pro Forma'!$B$7)^('Part VI-Pro Forma'!E78-1)),),IF('Part VI-Pro Forma'!$G$10="Yes",ROUND((-(SUM(E79:E82)*'Part VI-Pro Forma'!$K$10)),),"Choose mgt fee")))</f>
        <v>-182471</v>
      </c>
      <c r="F86" s="18">
        <f>IF(AND('Part VI-Pro Forma'!$G$9="Yes",'Part VI-Pro Forma'!$G$10="Yes"),"Choose One!",IF('Part VI-Pro Forma'!$G$9="Yes",ROUND((-$K$9*(1+'Part VI-Pro Forma'!$B$7)^('Part VI-Pro Forma'!F78-1)),),IF('Part VI-Pro Forma'!$G$10="Yes",ROUND((-(SUM(F79:F82)*'Part VI-Pro Forma'!$K$10)),),"Choose mgt fee")))</f>
        <v>-186120</v>
      </c>
      <c r="G86" s="18">
        <f>IF(AND('Part VI-Pro Forma'!$G$9="Yes",'Part VI-Pro Forma'!$G$10="Yes"),"Choose One!",IF('Part VI-Pro Forma'!$G$9="Yes",ROUND((-$K$9*(1+'Part VI-Pro Forma'!$B$7)^('Part VI-Pro Forma'!G78-1)),),IF('Part VI-Pro Forma'!$G$10="Yes",ROUND((-(SUM(G79:G82)*'Part VI-Pro Forma'!$K$10)),),"Choose mgt fee")))</f>
        <v>-189843</v>
      </c>
      <c r="H86" s="18">
        <f>IF(AND('Part VI-Pro Forma'!$G$9="Yes",'Part VI-Pro Forma'!$G$10="Yes"),"Choose One!",IF('Part VI-Pro Forma'!$G$9="Yes",ROUND((-$K$9*(1+'Part VI-Pro Forma'!$B$7)^('Part VI-Pro Forma'!H78-1)),),IF('Part VI-Pro Forma'!$G$10="Yes",ROUND((-(SUM(H79:H82)*'Part VI-Pro Forma'!$K$10)),),"Choose mgt fee")))</f>
        <v>-193639</v>
      </c>
      <c r="I86" s="18">
        <f>IF(AND('Part VI-Pro Forma'!$G$9="Yes",'Part VI-Pro Forma'!$G$10="Yes"),"Choose One!",IF('Part VI-Pro Forma'!$G$9="Yes",ROUND((-$K$9*(1+'Part VI-Pro Forma'!$B$7)^('Part VI-Pro Forma'!I78-1)),),IF('Part VI-Pro Forma'!$G$10="Yes",ROUND((-(SUM(I79:I82)*'Part VI-Pro Forma'!$K$10)),),"Choose mgt fee")))</f>
        <v>-197512</v>
      </c>
      <c r="J86" s="18">
        <f>IF(AND('Part VI-Pro Forma'!$G$9="Yes",'Part VI-Pro Forma'!$G$10="Yes"),"Choose One!",IF('Part VI-Pro Forma'!$G$9="Yes",ROUND((-$K$9*(1+'Part VI-Pro Forma'!$B$7)^('Part VI-Pro Forma'!J78-1)),),IF('Part VI-Pro Forma'!$G$10="Yes",ROUND((-(SUM(J79:J82)*'Part VI-Pro Forma'!$K$10)),),"Choose mgt fee")))</f>
        <v>-201463</v>
      </c>
      <c r="K86" s="19">
        <f>IF(AND('Part VI-Pro Forma'!$G$9="Yes",'Part VI-Pro Forma'!$G$10="Yes"),"Choose One!",IF('Part VI-Pro Forma'!$G$9="Yes",ROUND((-$K$9*(1+'Part VI-Pro Forma'!$B$7)^('Part VI-Pro Forma'!K78-1)),),IF('Part VI-Pro Forma'!$G$10="Yes",ROUND((-(SUM(K79:K82)*'Part VI-Pro Forma'!$K$10)),),"Choose mgt fee")))</f>
        <v>-205492</v>
      </c>
      <c r="N86" s="3087"/>
      <c r="O86" s="3089"/>
      <c r="Z86" s="1721" t="s">
        <v>6471</v>
      </c>
      <c r="AA86" s="1723">
        <v>86</v>
      </c>
    </row>
    <row r="87" spans="1:27" ht="13.35" customHeight="1">
      <c r="A87" s="17" t="s">
        <v>1129</v>
      </c>
      <c r="B87" s="18">
        <f t="shared" ref="B87:K87" si="38">$B$23*(1+$B$8)^(B78-1)</f>
        <v>-54183.337040082399</v>
      </c>
      <c r="C87" s="18">
        <f t="shared" si="38"/>
        <v>-55808.837151284861</v>
      </c>
      <c r="D87" s="18">
        <f t="shared" si="38"/>
        <v>-57483.102265823414</v>
      </c>
      <c r="E87" s="18">
        <f t="shared" si="38"/>
        <v>-59207.595333798119</v>
      </c>
      <c r="F87" s="18">
        <f t="shared" si="38"/>
        <v>-60983.823193812052</v>
      </c>
      <c r="G87" s="18">
        <f t="shared" si="38"/>
        <v>-62813.337889626418</v>
      </c>
      <c r="H87" s="18">
        <f t="shared" si="38"/>
        <v>-64697.738026315215</v>
      </c>
      <c r="I87" s="18">
        <f t="shared" si="38"/>
        <v>-66638.670167104661</v>
      </c>
      <c r="J87" s="18">
        <f t="shared" si="38"/>
        <v>-68637.830272117804</v>
      </c>
      <c r="K87" s="19">
        <f t="shared" si="38"/>
        <v>-70696.965180281331</v>
      </c>
      <c r="N87" s="3087"/>
      <c r="O87" s="3089"/>
      <c r="Q87" s="92"/>
      <c r="R87" s="869"/>
      <c r="S87" s="869"/>
      <c r="Z87" s="1721" t="s">
        <v>6471</v>
      </c>
      <c r="AA87" s="1723">
        <v>87</v>
      </c>
    </row>
    <row r="88" spans="1:27" ht="13.35" customHeight="1">
      <c r="A88" s="341" t="s">
        <v>3842</v>
      </c>
      <c r="B88" s="1288">
        <f>IF(B78&lt;=+'Part V-Revenues &amp; Expenses'!$N$251,-'Part V-Revenues &amp; Expenses'!$K$251,0)</f>
        <v>0</v>
      </c>
      <c r="C88" s="1288">
        <f>IF(C78&lt;=+'Part V-Revenues &amp; Expenses'!$N$251,-'Part V-Revenues &amp; Expenses'!$K$251,0)</f>
        <v>0</v>
      </c>
      <c r="D88" s="1288">
        <f>IF(D78&lt;=+'Part V-Revenues &amp; Expenses'!$N$251,-'Part V-Revenues &amp; Expenses'!$K$251,0)</f>
        <v>0</v>
      </c>
      <c r="E88" s="1288">
        <f>IF(E78&lt;=+'Part V-Revenues &amp; Expenses'!$N$251,-'Part V-Revenues &amp; Expenses'!$K$251,0)</f>
        <v>0</v>
      </c>
      <c r="F88" s="1288">
        <f>IF(F78&lt;=+'Part V-Revenues &amp; Expenses'!$N$251,-'Part V-Revenues &amp; Expenses'!$K$251,0)</f>
        <v>0</v>
      </c>
      <c r="G88" s="1288">
        <f>IF(G78&lt;=+'Part V-Revenues &amp; Expenses'!$N$251,-'Part V-Revenues &amp; Expenses'!$K$251,0)</f>
        <v>0</v>
      </c>
      <c r="H88" s="1288">
        <f>IF(H78&lt;=+'Part V-Revenues &amp; Expenses'!$N$251,-'Part V-Revenues &amp; Expenses'!$K$251,0)</f>
        <v>0</v>
      </c>
      <c r="I88" s="1288">
        <f>IF(I78&lt;=+'Part V-Revenues &amp; Expenses'!$N$251,-'Part V-Revenues &amp; Expenses'!$K$251,0)</f>
        <v>0</v>
      </c>
      <c r="J88" s="1288">
        <f>IF(J78&lt;=+'Part V-Revenues &amp; Expenses'!$N$251,-'Part V-Revenues &amp; Expenses'!$K$251,0)</f>
        <v>0</v>
      </c>
      <c r="K88" s="1288">
        <f>IF(K78&lt;=+'Part V-Revenues &amp; Expenses'!$N$251,-'Part V-Revenues &amp; Expenses'!$K$251,0)</f>
        <v>0</v>
      </c>
      <c r="N88" s="3087"/>
      <c r="O88" s="3089"/>
      <c r="Z88" s="1721" t="s">
        <v>6471</v>
      </c>
      <c r="AA88" s="1723">
        <v>88</v>
      </c>
    </row>
    <row r="89" spans="1:27" ht="13.35" customHeight="1">
      <c r="A89" s="17" t="s">
        <v>1130</v>
      </c>
      <c r="B89" s="18">
        <f t="shared" ref="B89:K89" si="39">SUM(B84:B88)</f>
        <v>1067577.4384868199</v>
      </c>
      <c r="C89" s="18">
        <f t="shared" si="39"/>
        <v>1074870.8598503836</v>
      </c>
      <c r="D89" s="18">
        <f t="shared" si="39"/>
        <v>1081888.1882190329</v>
      </c>
      <c r="E89" s="18">
        <f t="shared" si="39"/>
        <v>1088611.6294902046</v>
      </c>
      <c r="F89" s="18">
        <f t="shared" si="39"/>
        <v>1095022.6741120035</v>
      </c>
      <c r="G89" s="18">
        <f t="shared" si="39"/>
        <v>1101100.0713871988</v>
      </c>
      <c r="H89" s="18">
        <f t="shared" si="39"/>
        <v>1106825.8029216863</v>
      </c>
      <c r="I89" s="18">
        <f t="shared" si="39"/>
        <v>1112176.0551900656</v>
      </c>
      <c r="J89" s="18">
        <f t="shared" si="39"/>
        <v>1117129.1911901115</v>
      </c>
      <c r="K89" s="1217">
        <f t="shared" si="39"/>
        <v>1121663.7211570449</v>
      </c>
      <c r="N89" s="3087"/>
      <c r="O89" s="3089"/>
      <c r="Z89" s="1721" t="s">
        <v>6471</v>
      </c>
      <c r="AA89" s="1723">
        <v>89</v>
      </c>
    </row>
    <row r="90" spans="1:27" ht="13.35" customHeight="1">
      <c r="A90" s="17" t="str">
        <f>$A58</f>
        <v>Mortgage A</v>
      </c>
      <c r="B90" s="342">
        <f>IF('Part II-Sources of Funds'!$P$40="", 0,-'Part II-Sources of Funds'!$P$40)</f>
        <v>-711358.87799951679</v>
      </c>
      <c r="C90" s="342">
        <f>IF('Part II-Sources of Funds'!$P$40="", 0,-'Part II-Sources of Funds'!$P$40)</f>
        <v>-711358.87799951679</v>
      </c>
      <c r="D90" s="342">
        <f>IF('Part II-Sources of Funds'!$P$40="", 0,-'Part II-Sources of Funds'!$P$40)</f>
        <v>-711358.87799951679</v>
      </c>
      <c r="E90" s="342">
        <f>IF('Part II-Sources of Funds'!$P$40="", 0,-'Part II-Sources of Funds'!$P$40)</f>
        <v>-711358.87799951679</v>
      </c>
      <c r="F90" s="342">
        <f>IF('Part II-Sources of Funds'!$P$40="", 0,-'Part II-Sources of Funds'!$P$40)</f>
        <v>-711358.87799951679</v>
      </c>
      <c r="G90" s="342">
        <f>IF('Part II-Sources of Funds'!$P$40="", 0,-'Part II-Sources of Funds'!$P$40)</f>
        <v>-711358.87799951679</v>
      </c>
      <c r="H90" s="342">
        <f>IF('Part II-Sources of Funds'!$P$40="", 0,-'Part II-Sources of Funds'!$P$40)</f>
        <v>-711358.87799951679</v>
      </c>
      <c r="I90" s="342">
        <f>IF('Part II-Sources of Funds'!$P$40="", 0,-'Part II-Sources of Funds'!$P$40)</f>
        <v>-711358.87799951679</v>
      </c>
      <c r="J90" s="342">
        <f>IF('Part II-Sources of Funds'!$P$40="", 0,-'Part II-Sources of Funds'!$P$40)</f>
        <v>-711358.87799951679</v>
      </c>
      <c r="K90" s="342">
        <f>IF('Part II-Sources of Funds'!$P$40="", 0,-'Part II-Sources of Funds'!$P$40)</f>
        <v>-711358.87799951679</v>
      </c>
      <c r="N90" s="3087"/>
      <c r="O90" s="3089"/>
      <c r="Z90" s="1721" t="s">
        <v>6471</v>
      </c>
      <c r="AA90" s="1723">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087"/>
      <c r="O91" s="3089"/>
      <c r="Z91" s="1721" t="s">
        <v>6471</v>
      </c>
      <c r="AA91" s="172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087"/>
      <c r="O92" s="3089"/>
      <c r="Z92" s="1721" t="s">
        <v>6471</v>
      </c>
      <c r="AA92" s="172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087"/>
      <c r="O93" s="3089"/>
      <c r="Z93" s="1721" t="s">
        <v>6471</v>
      </c>
      <c r="AA93" s="1723">
        <v>93</v>
      </c>
    </row>
    <row r="94" spans="1:27" ht="13.35" customHeight="1">
      <c r="A94" s="17" t="s">
        <v>711</v>
      </c>
      <c r="B94" s="138"/>
      <c r="C94" s="138"/>
      <c r="D94" s="138"/>
      <c r="E94" s="138"/>
      <c r="F94" s="138"/>
      <c r="G94" s="138"/>
      <c r="H94" s="138"/>
      <c r="I94" s="138"/>
      <c r="J94" s="138"/>
      <c r="K94" s="138"/>
      <c r="N94" s="3087"/>
      <c r="O94" s="3089"/>
      <c r="Z94" s="1721" t="s">
        <v>6471</v>
      </c>
      <c r="AA94" s="1723">
        <v>94</v>
      </c>
    </row>
    <row r="95" spans="1:27" ht="13.35" customHeight="1">
      <c r="A95" s="341" t="s">
        <v>1096</v>
      </c>
      <c r="B95" s="179">
        <f>+K63</f>
        <v>-5000</v>
      </c>
      <c r="C95" s="179">
        <f t="shared" ref="C95:K95" si="40">+B95</f>
        <v>-5000</v>
      </c>
      <c r="D95" s="179">
        <f t="shared" si="40"/>
        <v>-5000</v>
      </c>
      <c r="E95" s="179">
        <f t="shared" si="40"/>
        <v>-5000</v>
      </c>
      <c r="F95" s="179">
        <f t="shared" si="40"/>
        <v>-5000</v>
      </c>
      <c r="G95" s="179">
        <f t="shared" si="40"/>
        <v>-5000</v>
      </c>
      <c r="H95" s="179">
        <f t="shared" si="40"/>
        <v>-5000</v>
      </c>
      <c r="I95" s="179">
        <f t="shared" si="40"/>
        <v>-5000</v>
      </c>
      <c r="J95" s="179">
        <f t="shared" si="40"/>
        <v>-5000</v>
      </c>
      <c r="K95" s="179">
        <f t="shared" si="40"/>
        <v>-5000</v>
      </c>
      <c r="N95" s="3087"/>
      <c r="O95" s="3089"/>
      <c r="Z95" s="1721" t="s">
        <v>6471</v>
      </c>
      <c r="AA95" s="1723">
        <v>95</v>
      </c>
    </row>
    <row r="96" spans="1:27" ht="13.35" customHeight="1">
      <c r="A96" s="17" t="s">
        <v>1097</v>
      </c>
      <c r="B96" s="18">
        <f t="shared" ref="B96:K96" si="41">SUM(B89:B95)</f>
        <v>351218.56048730307</v>
      </c>
      <c r="C96" s="18">
        <f t="shared" si="41"/>
        <v>358511.98185086681</v>
      </c>
      <c r="D96" s="18">
        <f t="shared" si="41"/>
        <v>365529.31021951616</v>
      </c>
      <c r="E96" s="18">
        <f t="shared" si="41"/>
        <v>372252.75149068784</v>
      </c>
      <c r="F96" s="18">
        <f t="shared" si="41"/>
        <v>378663.79611248674</v>
      </c>
      <c r="G96" s="18">
        <f t="shared" si="41"/>
        <v>384741.19338768197</v>
      </c>
      <c r="H96" s="18">
        <f t="shared" si="41"/>
        <v>390466.92492216954</v>
      </c>
      <c r="I96" s="18">
        <f t="shared" si="41"/>
        <v>395817.17719054886</v>
      </c>
      <c r="J96" s="18">
        <f t="shared" si="41"/>
        <v>400770.31319059466</v>
      </c>
      <c r="K96" s="19">
        <f t="shared" si="41"/>
        <v>405304.84315752808</v>
      </c>
      <c r="N96" s="3087"/>
      <c r="O96" s="3089"/>
      <c r="Z96" s="1721" t="s">
        <v>6471</v>
      </c>
      <c r="AA96" s="1723">
        <v>96</v>
      </c>
    </row>
    <row r="97" spans="1:27" ht="13.35" customHeight="1">
      <c r="A97" s="17" t="str">
        <f>$A66</f>
        <v>DCR Mortgage A</v>
      </c>
      <c r="B97" s="20">
        <f t="shared" ref="B97:K97" si="42">IF(B90=0,"",-B89/B90)</f>
        <v>1.5007578755312099</v>
      </c>
      <c r="C97" s="20">
        <f t="shared" si="42"/>
        <v>1.5110106770202054</v>
      </c>
      <c r="D97" s="20">
        <f t="shared" si="42"/>
        <v>1.5208753579649115</v>
      </c>
      <c r="E97" s="20">
        <f t="shared" si="42"/>
        <v>1.5303269041241152</v>
      </c>
      <c r="F97" s="20">
        <f t="shared" si="42"/>
        <v>1.539339295506406</v>
      </c>
      <c r="G97" s="20">
        <f t="shared" si="42"/>
        <v>1.5478826587273529</v>
      </c>
      <c r="H97" s="20">
        <f t="shared" si="42"/>
        <v>1.5559316642456218</v>
      </c>
      <c r="I97" s="20">
        <f t="shared" si="42"/>
        <v>1.5634528359549358</v>
      </c>
      <c r="J97" s="20">
        <f t="shared" si="42"/>
        <v>1.570415757418677</v>
      </c>
      <c r="K97" s="21">
        <f t="shared" si="42"/>
        <v>1.5767902191807703</v>
      </c>
      <c r="N97" s="3087"/>
      <c r="O97" s="3089"/>
      <c r="Z97" s="1721" t="s">
        <v>6471</v>
      </c>
      <c r="AA97" s="1723">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087"/>
      <c r="O98" s="3089"/>
      <c r="Z98" s="1721" t="s">
        <v>6471</v>
      </c>
      <c r="AA98" s="1723">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087"/>
      <c r="O99" s="3089"/>
      <c r="Z99" s="1721" t="s">
        <v>6471</v>
      </c>
      <c r="AA99" s="1723">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087"/>
      <c r="O100" s="3089"/>
      <c r="Z100" s="1721" t="s">
        <v>6471</v>
      </c>
      <c r="AA100" s="1723">
        <v>100</v>
      </c>
    </row>
    <row r="101" spans="1:27" ht="13.35" customHeight="1">
      <c r="A101" s="341" t="s">
        <v>3217</v>
      </c>
      <c r="B101" s="20">
        <f t="shared" ref="B101:K101" si="46">IF(AND(B90=0,B91=0,B92=0,B93=0),"",-B89/(B90+B91+B92+B93))</f>
        <v>1.5007578755312099</v>
      </c>
      <c r="C101" s="20">
        <f t="shared" si="46"/>
        <v>1.5110106770202054</v>
      </c>
      <c r="D101" s="20">
        <f t="shared" si="46"/>
        <v>1.5208753579649115</v>
      </c>
      <c r="E101" s="20">
        <f t="shared" si="46"/>
        <v>1.5303269041241152</v>
      </c>
      <c r="F101" s="20">
        <f t="shared" si="46"/>
        <v>1.539339295506406</v>
      </c>
      <c r="G101" s="20">
        <f t="shared" si="46"/>
        <v>1.5478826587273529</v>
      </c>
      <c r="H101" s="20">
        <f t="shared" si="46"/>
        <v>1.5559316642456218</v>
      </c>
      <c r="I101" s="20">
        <f t="shared" si="46"/>
        <v>1.5634528359549358</v>
      </c>
      <c r="J101" s="20">
        <f t="shared" si="46"/>
        <v>1.570415757418677</v>
      </c>
      <c r="K101" s="21">
        <f t="shared" si="46"/>
        <v>1.5767902191807703</v>
      </c>
      <c r="N101" s="3087"/>
      <c r="O101" s="3089"/>
      <c r="Z101" s="1721" t="s">
        <v>6471</v>
      </c>
      <c r="AA101" s="1723">
        <v>101</v>
      </c>
    </row>
    <row r="102" spans="1:27" ht="13.35" customHeight="1">
      <c r="A102" s="17" t="s">
        <v>718</v>
      </c>
      <c r="B102" s="220">
        <f>IF(OR(B86="Choose mgt fee",B86="Choose One!"),"",(B79+B80+B81+B82+B83) / -(B85+B86+B87))</f>
        <v>1.6766451829197921</v>
      </c>
      <c r="C102" s="220">
        <f t="shared" ref="C102:K102" si="47">IF(OR(C86="Choose mgt fee",C86="Choose One!"),"",(C79+C80+C81+C82+C83) / -(C85+C86+C87))</f>
        <v>1.6621256461445513</v>
      </c>
      <c r="D102" s="220">
        <f t="shared" si="47"/>
        <v>1.6477165190972114</v>
      </c>
      <c r="E102" s="220">
        <f t="shared" si="47"/>
        <v>1.6334176008594872</v>
      </c>
      <c r="F102" s="220">
        <f t="shared" si="47"/>
        <v>1.6192286602335921</v>
      </c>
      <c r="G102" s="220">
        <f t="shared" si="47"/>
        <v>1.6051476722050624</v>
      </c>
      <c r="H102" s="220">
        <f t="shared" si="47"/>
        <v>1.5911762409381072</v>
      </c>
      <c r="I102" s="220">
        <f t="shared" si="47"/>
        <v>1.5773115861124138</v>
      </c>
      <c r="J102" s="220">
        <f t="shared" si="47"/>
        <v>1.5635536271788575</v>
      </c>
      <c r="K102" s="221">
        <f t="shared" si="47"/>
        <v>1.5499029984082282</v>
      </c>
      <c r="N102" s="3087"/>
      <c r="O102" s="3089"/>
      <c r="Z102" s="1721" t="s">
        <v>6471</v>
      </c>
      <c r="AA102" s="1723">
        <v>102</v>
      </c>
    </row>
    <row r="103" spans="1:27" ht="13.35" customHeight="1">
      <c r="A103" s="341" t="s">
        <v>2406</v>
      </c>
      <c r="B103" s="177">
        <f>IF('Part II-Sources of Funds'!$I$40="","",-FV('Part II-Sources of Funds'!$K$40/12,12,B90/12,K72))</f>
        <v>7927124.8753966307</v>
      </c>
      <c r="C103" s="177">
        <f>IF('Part II-Sources of Funds'!$I$40="","",-FV('Part II-Sources of Funds'!$K$40/12,12,C90/12,B103))</f>
        <v>7701293.3050691532</v>
      </c>
      <c r="D103" s="177">
        <f>IF('Part II-Sources of Funds'!$I$40="","",-FV('Part II-Sources of Funds'!$K$40/12,12,D90/12,C103))</f>
        <v>7461043.4167090161</v>
      </c>
      <c r="E103" s="177">
        <f>IF('Part II-Sources of Funds'!$I$40="","",-FV('Part II-Sources of Funds'!$K$40/12,12,E90/12,D103))</f>
        <v>7205454.6663258933</v>
      </c>
      <c r="F103" s="177">
        <f>IF('Part II-Sources of Funds'!$I$40="","",-FV('Part II-Sources of Funds'!$K$40/12,12,F90/12,E103))</f>
        <v>6933547.7373849619</v>
      </c>
      <c r="G103" s="177">
        <f>IF('Part II-Sources of Funds'!$I$40="","",-FV('Part II-Sources of Funds'!$K$40/12,12,G90/12,F103))</f>
        <v>6644280.7884474052</v>
      </c>
      <c r="H103" s="177">
        <f>IF('Part II-Sources of Funds'!$I$40="","",-FV('Part II-Sources of Funds'!$K$40/12,12,H90/12,G103))</f>
        <v>6336545.4612398352</v>
      </c>
      <c r="I103" s="177">
        <f>IF('Part II-Sources of Funds'!$I$40="","",-FV('Part II-Sources of Funds'!$K$40/12,12,I90/12,H103))</f>
        <v>6009162.6338571161</v>
      </c>
      <c r="J103" s="177">
        <f>IF('Part II-Sources of Funds'!$I$40="","",-FV('Part II-Sources of Funds'!$K$40/12,12,J90/12,I103))</f>
        <v>5660877.9028265113</v>
      </c>
      <c r="K103" s="177">
        <f>IF('Part II-Sources of Funds'!$I$40="","",-FV('Part II-Sources of Funds'!$K$40/12,12,K90/12,J103))</f>
        <v>5290356.7767221946</v>
      </c>
      <c r="N103" s="3087"/>
      <c r="O103" s="3089"/>
      <c r="Z103" s="1721" t="s">
        <v>6471</v>
      </c>
      <c r="AA103" s="1723">
        <v>103</v>
      </c>
    </row>
    <row r="104" spans="1:27" ht="13.35" customHeight="1">
      <c r="A104" s="341" t="s">
        <v>2407</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087"/>
      <c r="O104" s="3089"/>
      <c r="Z104" s="1721" t="s">
        <v>6471</v>
      </c>
      <c r="AA104" s="1723">
        <v>104</v>
      </c>
    </row>
    <row r="105" spans="1:27" ht="13.35" customHeight="1">
      <c r="A105" s="341" t="s">
        <v>2408</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087"/>
      <c r="O105" s="3089"/>
      <c r="Z105" s="1721" t="s">
        <v>6471</v>
      </c>
      <c r="AA105" s="1723">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093"/>
      <c r="O106" s="3095"/>
      <c r="Z106" s="1721" t="s">
        <v>6471</v>
      </c>
      <c r="AA106" s="1723">
        <v>106</v>
      </c>
    </row>
    <row r="107" spans="1:27" ht="4.3499999999999996" customHeight="1">
      <c r="B107" s="13"/>
      <c r="C107" s="13"/>
      <c r="D107" s="13"/>
      <c r="E107" s="13"/>
      <c r="F107" s="13"/>
      <c r="G107" s="13"/>
      <c r="H107" s="13"/>
      <c r="I107" s="13"/>
      <c r="J107" s="13"/>
      <c r="K107" s="13"/>
      <c r="AA107" s="1723">
        <v>107</v>
      </c>
    </row>
    <row r="108" spans="1:27" ht="14.45" customHeight="1">
      <c r="A108" s="10" t="s">
        <v>2285</v>
      </c>
      <c r="B108" s="12">
        <f>K78+1</f>
        <v>31</v>
      </c>
      <c r="C108" s="12">
        <f>B108+1</f>
        <v>32</v>
      </c>
      <c r="D108" s="12">
        <f>C108+1</f>
        <v>33</v>
      </c>
      <c r="E108" s="12">
        <f>D108+1</f>
        <v>34</v>
      </c>
      <c r="F108" s="12">
        <f>E108+1</f>
        <v>35</v>
      </c>
      <c r="G108" s="13"/>
      <c r="H108" s="13"/>
      <c r="I108" s="13"/>
      <c r="J108" s="13"/>
      <c r="K108" s="13"/>
      <c r="N108" s="2778" t="s">
        <v>3209</v>
      </c>
      <c r="O108" s="2778"/>
      <c r="AA108" s="1723">
        <v>108</v>
      </c>
    </row>
    <row r="109" spans="1:27" ht="13.35" customHeight="1">
      <c r="A109" s="14" t="s">
        <v>2216</v>
      </c>
      <c r="B109" s="15">
        <f>$B$15*(1+$B$6)^(B108-1)</f>
        <v>3399367.7939940905</v>
      </c>
      <c r="C109" s="15">
        <f>$B$15*(1+$B$6)^(C108-1)</f>
        <v>3467355.1498739715</v>
      </c>
      <c r="D109" s="15">
        <f>$B$15*(1+$B$6)^(D108-1)</f>
        <v>3536702.2528714519</v>
      </c>
      <c r="E109" s="15">
        <f>$B$15*(1+$B$6)^(E108-1)</f>
        <v>3607436.2979288809</v>
      </c>
      <c r="F109" s="497">
        <f>$B$15*(1+$B$6)^(F108-1)</f>
        <v>3679585.0238874583</v>
      </c>
      <c r="G109" s="13"/>
      <c r="H109" s="13"/>
      <c r="I109" s="13"/>
      <c r="J109" s="13"/>
      <c r="K109" s="13"/>
      <c r="N109" s="3113"/>
      <c r="O109" s="3115"/>
      <c r="Z109" s="1721" t="s">
        <v>6472</v>
      </c>
      <c r="AA109" s="1723">
        <v>109</v>
      </c>
    </row>
    <row r="110" spans="1:27" ht="13.35" customHeight="1">
      <c r="A110" s="17" t="s">
        <v>953</v>
      </c>
      <c r="B110" s="18">
        <f>$B$16*(1+$B$6)^(B108-1)</f>
        <v>67987.355879881812</v>
      </c>
      <c r="C110" s="18">
        <f>$B$16*(1+$B$6)^(C108-1)</f>
        <v>69347.102997479436</v>
      </c>
      <c r="D110" s="18">
        <f>$B$16*(1+$B$6)^(D108-1)</f>
        <v>70734.045057429044</v>
      </c>
      <c r="E110" s="18">
        <f>$B$16*(1+$B$6)^(E108-1)</f>
        <v>72148.725958577634</v>
      </c>
      <c r="F110" s="19">
        <f>$B$16*(1+$B$6)^(F108-1)</f>
        <v>73591.700477749167</v>
      </c>
      <c r="G110" s="13"/>
      <c r="H110" s="13"/>
      <c r="I110" s="13"/>
      <c r="J110" s="13"/>
      <c r="K110" s="13"/>
      <c r="N110" s="3087"/>
      <c r="O110" s="3089"/>
      <c r="Z110" s="1721" t="s">
        <v>6472</v>
      </c>
      <c r="AA110" s="1723">
        <v>110</v>
      </c>
    </row>
    <row r="111" spans="1:27" ht="13.35" customHeight="1">
      <c r="A111" s="17" t="s">
        <v>2217</v>
      </c>
      <c r="B111" s="18">
        <f>-(B109+B110)*$B$9</f>
        <v>-242714.86049117809</v>
      </c>
      <c r="C111" s="18">
        <f>-(C109+C110)*$B$9</f>
        <v>-247569.15770100159</v>
      </c>
      <c r="D111" s="18">
        <f>-(D109+D110)*$B$9</f>
        <v>-252520.54085502168</v>
      </c>
      <c r="E111" s="18">
        <f>-(E109+E110)*$B$9</f>
        <v>-257570.95167212214</v>
      </c>
      <c r="F111" s="19">
        <f>-(F109+F110)*$B$9</f>
        <v>-262722.37070556456</v>
      </c>
      <c r="G111" s="13"/>
      <c r="H111" s="13"/>
      <c r="I111" s="13"/>
      <c r="J111" s="13"/>
      <c r="K111" s="13"/>
      <c r="N111" s="3087"/>
      <c r="O111" s="3089"/>
      <c r="Z111" s="1721" t="s">
        <v>6472</v>
      </c>
      <c r="AA111" s="1723">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087"/>
      <c r="O112" s="3089"/>
      <c r="Z112" s="1721" t="s">
        <v>6472</v>
      </c>
      <c r="AA112" s="1723">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087"/>
      <c r="O113" s="3089"/>
      <c r="Z113" s="1721" t="s">
        <v>6472</v>
      </c>
      <c r="AA113" s="1723">
        <v>113</v>
      </c>
    </row>
    <row r="114" spans="1:27" ht="13.35" customHeight="1">
      <c r="A114" s="341" t="s">
        <v>3843</v>
      </c>
      <c r="B114" s="18">
        <f>SUM(B109:B113)</f>
        <v>3224640.2893827944</v>
      </c>
      <c r="C114" s="18">
        <f>SUM(C109:C113)</f>
        <v>3289133.0951704495</v>
      </c>
      <c r="D114" s="18">
        <f>SUM(D109:D113)</f>
        <v>3354915.7570738592</v>
      </c>
      <c r="E114" s="18">
        <f>SUM(E109:E113)</f>
        <v>3422014.0722153364</v>
      </c>
      <c r="F114" s="19">
        <f>SUM(F109:F113)</f>
        <v>3490454.3536596429</v>
      </c>
      <c r="G114" s="13"/>
      <c r="H114" s="13"/>
      <c r="I114" s="13"/>
      <c r="J114" s="13"/>
      <c r="K114" s="13"/>
      <c r="N114" s="3087"/>
      <c r="O114" s="3089"/>
      <c r="Z114" s="1721" t="s">
        <v>6472</v>
      </c>
      <c r="AA114" s="1723">
        <v>114</v>
      </c>
    </row>
    <row r="115" spans="1:27" ht="13.35" customHeight="1">
      <c r="A115" s="17" t="s">
        <v>572</v>
      </c>
      <c r="B115" s="18">
        <f>$B$21*(1+$B$7)^(B108-1)</f>
        <v>-1816466.1429394933</v>
      </c>
      <c r="C115" s="18">
        <f>$B$21*(1+$B$7)^(C108-1)</f>
        <v>-1870960.1272276784</v>
      </c>
      <c r="D115" s="18">
        <f>$B$21*(1+$B$7)^(D108-1)</f>
        <v>-1927088.9310445085</v>
      </c>
      <c r="E115" s="18">
        <f>$B$21*(1+$B$7)^(E108-1)</f>
        <v>-1984901.5989758437</v>
      </c>
      <c r="F115" s="19">
        <f>$B$21*(1+$B$7)^(F108-1)</f>
        <v>-2044448.6469451187</v>
      </c>
      <c r="G115" s="13"/>
      <c r="H115" s="13"/>
      <c r="I115" s="13"/>
      <c r="J115" s="13"/>
      <c r="K115" s="13"/>
      <c r="N115" s="3087"/>
      <c r="O115" s="3089"/>
      <c r="Z115" s="1721" t="s">
        <v>6472</v>
      </c>
      <c r="AA115" s="1723">
        <v>115</v>
      </c>
    </row>
    <row r="116" spans="1:27" ht="13.35" customHeight="1">
      <c r="A116" s="17" t="s">
        <v>1051</v>
      </c>
      <c r="B116" s="18">
        <f>IF(AND('Part VI-Pro Forma'!$G$9="Yes",'Part VI-Pro Forma'!$G$10="Yes"),"Choose One!",IF('Part VI-Pro Forma'!$G$9="Yes",ROUND((-$K$9*(1+'Part VI-Pro Forma'!$B$7)^('Part VI-Pro Forma'!B108-1)),),IF('Part VI-Pro Forma'!$G$10="Yes",ROUND((-(SUM(B109:B112)*'Part VI-Pro Forma'!$K$10)),),"Choose mgt fee")))</f>
        <v>-209602</v>
      </c>
      <c r="C116" s="18">
        <f>IF(AND('Part VI-Pro Forma'!$G$9="Yes",'Part VI-Pro Forma'!$G$10="Yes"),"Choose One!",IF('Part VI-Pro Forma'!$G$9="Yes",ROUND((-$K$9*(1+'Part VI-Pro Forma'!$B$7)^('Part VI-Pro Forma'!C108-1)),),IF('Part VI-Pro Forma'!$G$10="Yes",ROUND((-(SUM(C109:C112)*'Part VI-Pro Forma'!$K$10)),),"Choose mgt fee")))</f>
        <v>-213794</v>
      </c>
      <c r="D116" s="18">
        <f>IF(AND('Part VI-Pro Forma'!$G$9="Yes",'Part VI-Pro Forma'!$G$10="Yes"),"Choose One!",IF('Part VI-Pro Forma'!$G$9="Yes",ROUND((-$K$9*(1+'Part VI-Pro Forma'!$B$7)^('Part VI-Pro Forma'!D108-1)),),IF('Part VI-Pro Forma'!$G$10="Yes",ROUND((-(SUM(D109:D112)*'Part VI-Pro Forma'!$K$10)),),"Choose mgt fee")))</f>
        <v>-218070</v>
      </c>
      <c r="E116" s="18">
        <f>IF(AND('Part VI-Pro Forma'!$G$9="Yes",'Part VI-Pro Forma'!$G$10="Yes"),"Choose One!",IF('Part VI-Pro Forma'!$G$9="Yes",ROUND((-$K$9*(1+'Part VI-Pro Forma'!$B$7)^('Part VI-Pro Forma'!E108-1)),),IF('Part VI-Pro Forma'!$G$10="Yes",ROUND((-(SUM(E109:E112)*'Part VI-Pro Forma'!$K$10)),),"Choose mgt fee")))</f>
        <v>-222431</v>
      </c>
      <c r="F116" s="19">
        <f>IF(AND('Part VI-Pro Forma'!$G$9="Yes",'Part VI-Pro Forma'!$G$10="Yes"),"Choose One!",IF('Part VI-Pro Forma'!$G$9="Yes",ROUND((-$K$9*(1+'Part VI-Pro Forma'!$B$7)^('Part VI-Pro Forma'!F108-1)),),IF('Part VI-Pro Forma'!$G$10="Yes",ROUND((-(SUM(F109:F112)*'Part VI-Pro Forma'!$K$10)),),"Choose mgt fee")))</f>
        <v>-226880</v>
      </c>
      <c r="G116" s="13"/>
      <c r="H116" s="13"/>
      <c r="I116" s="13"/>
      <c r="J116" s="13"/>
      <c r="K116" s="13"/>
      <c r="N116" s="3087"/>
      <c r="O116" s="3089"/>
      <c r="Z116" s="1721" t="s">
        <v>6472</v>
      </c>
      <c r="AA116" s="1723">
        <v>116</v>
      </c>
    </row>
    <row r="117" spans="1:27" ht="13.35" customHeight="1">
      <c r="A117" s="17" t="s">
        <v>1129</v>
      </c>
      <c r="B117" s="18">
        <f>$B$23*(1+$B$8)^(B108-1)</f>
        <v>-72817.874135689766</v>
      </c>
      <c r="C117" s="18">
        <f>$B$23*(1+$B$8)^(C108-1)</f>
        <v>-75002.410359760484</v>
      </c>
      <c r="D117" s="18">
        <f>$B$23*(1+$B$8)^(D108-1)</f>
        <v>-77252.482670553276</v>
      </c>
      <c r="E117" s="18">
        <f>$B$23*(1+$B$8)^(E108-1)</f>
        <v>-79570.057150669876</v>
      </c>
      <c r="F117" s="19">
        <f>$B$23*(1+$B$8)^(F108-1)</f>
        <v>-81957.158865189966</v>
      </c>
      <c r="G117" s="13"/>
      <c r="H117" s="13"/>
      <c r="I117" s="13"/>
      <c r="J117" s="13"/>
      <c r="K117" s="13"/>
      <c r="N117" s="3087"/>
      <c r="O117" s="3089"/>
      <c r="Q117" s="92">
        <v>10</v>
      </c>
      <c r="R117" s="869">
        <f>-SUM(B123:K123)</f>
        <v>0</v>
      </c>
      <c r="S117" s="869">
        <f>SUM(B124:K124)+R117</f>
        <v>0</v>
      </c>
      <c r="Z117" s="1721" t="s">
        <v>6472</v>
      </c>
      <c r="AA117" s="1723">
        <v>117</v>
      </c>
    </row>
    <row r="118" spans="1:27" ht="13.35" customHeight="1">
      <c r="A118" s="341" t="s">
        <v>3842</v>
      </c>
      <c r="B118" s="1288">
        <f>IF(B108&lt;=+'Part V-Revenues &amp; Expenses'!$N$251,-'Part V-Revenues &amp; Expenses'!$K$251,0)</f>
        <v>0</v>
      </c>
      <c r="C118" s="1288">
        <f>IF(C108&lt;=+'Part V-Revenues &amp; Expenses'!$N$251,-'Part V-Revenues &amp; Expenses'!$K$251,0)</f>
        <v>0</v>
      </c>
      <c r="D118" s="1288">
        <f>IF(D108&lt;=+'Part V-Revenues &amp; Expenses'!$N$251,-'Part V-Revenues &amp; Expenses'!$K$251,0)</f>
        <v>0</v>
      </c>
      <c r="E118" s="1288">
        <f>IF(E108&lt;=+'Part V-Revenues &amp; Expenses'!$N$251,-'Part V-Revenues &amp; Expenses'!$K$251,0)</f>
        <v>0</v>
      </c>
      <c r="F118" s="1288">
        <f>IF(F108&lt;=+'Part V-Revenues &amp; Expenses'!$N$251,-'Part V-Revenues &amp; Expenses'!$K$251,0)</f>
        <v>0</v>
      </c>
      <c r="G118" s="13"/>
      <c r="H118" s="13"/>
      <c r="I118" s="13"/>
      <c r="J118" s="13"/>
      <c r="K118" s="13"/>
      <c r="N118" s="3087"/>
      <c r="O118" s="3089"/>
      <c r="Z118" s="1721" t="s">
        <v>6472</v>
      </c>
      <c r="AA118" s="1723">
        <v>118</v>
      </c>
    </row>
    <row r="119" spans="1:27" ht="13.35" customHeight="1">
      <c r="A119" s="17" t="s">
        <v>1130</v>
      </c>
      <c r="B119" s="18">
        <f>SUM(B114:B118)</f>
        <v>1125754.2723076113</v>
      </c>
      <c r="C119" s="18">
        <f>SUM(C114:C118)</f>
        <v>1129376.5575830105</v>
      </c>
      <c r="D119" s="18">
        <f>SUM(D114:D118)</f>
        <v>1132504.3433587975</v>
      </c>
      <c r="E119" s="18">
        <f>SUM(E114:E118)</f>
        <v>1135111.4160888228</v>
      </c>
      <c r="F119" s="1217">
        <f>SUM(F114:F118)</f>
        <v>1137168.5478493343</v>
      </c>
      <c r="G119" s="13"/>
      <c r="H119" s="13"/>
      <c r="I119" s="13"/>
      <c r="J119" s="13"/>
      <c r="K119" s="13"/>
      <c r="N119" s="3087"/>
      <c r="O119" s="3089"/>
      <c r="Z119" s="1721" t="s">
        <v>6472</v>
      </c>
      <c r="AA119" s="1723">
        <v>119</v>
      </c>
    </row>
    <row r="120" spans="1:27" ht="13.35" customHeight="1">
      <c r="A120" s="17" t="str">
        <f>$A90</f>
        <v>Mortgage A</v>
      </c>
      <c r="B120" s="342">
        <f>IF('Part II-Sources of Funds'!$P$40="", 0,-'Part II-Sources of Funds'!$P$40)</f>
        <v>-711358.87799951679</v>
      </c>
      <c r="C120" s="342">
        <f>IF('Part II-Sources of Funds'!$P$40="", 0,-'Part II-Sources of Funds'!$P$40)</f>
        <v>-711358.87799951679</v>
      </c>
      <c r="D120" s="342">
        <f>IF('Part II-Sources of Funds'!$P$40="", 0,-'Part II-Sources of Funds'!$P$40)</f>
        <v>-711358.87799951679</v>
      </c>
      <c r="E120" s="342">
        <f>IF('Part II-Sources of Funds'!$P$40="", 0,-'Part II-Sources of Funds'!$P$40)</f>
        <v>-711358.87799951679</v>
      </c>
      <c r="F120" s="342">
        <f>IF('Part II-Sources of Funds'!$P$40="", 0,-'Part II-Sources of Funds'!$P$40)</f>
        <v>-711358.87799951679</v>
      </c>
      <c r="G120" s="13"/>
      <c r="H120" s="13"/>
      <c r="I120" s="13"/>
      <c r="J120" s="13"/>
      <c r="K120" s="13"/>
      <c r="N120" s="3087"/>
      <c r="O120" s="3089"/>
      <c r="Z120" s="1721" t="s">
        <v>6472</v>
      </c>
      <c r="AA120" s="1723">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087"/>
      <c r="O121" s="3089"/>
      <c r="Z121" s="1721" t="s">
        <v>6472</v>
      </c>
      <c r="AA121" s="172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087"/>
      <c r="O122" s="3089"/>
      <c r="Z122" s="1721" t="s">
        <v>6472</v>
      </c>
      <c r="AA122" s="172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087"/>
      <c r="O123" s="3089"/>
      <c r="Z123" s="1721" t="s">
        <v>6472</v>
      </c>
      <c r="AA123" s="1723">
        <v>123</v>
      </c>
    </row>
    <row r="124" spans="1:27" ht="13.35" customHeight="1">
      <c r="A124" s="17" t="s">
        <v>711</v>
      </c>
      <c r="B124" s="138"/>
      <c r="C124" s="138"/>
      <c r="D124" s="138"/>
      <c r="E124" s="138"/>
      <c r="F124" s="138"/>
      <c r="G124" s="13"/>
      <c r="H124" s="13"/>
      <c r="I124" s="13"/>
      <c r="J124" s="13"/>
      <c r="K124" s="13"/>
      <c r="N124" s="3087"/>
      <c r="O124" s="3089"/>
      <c r="Z124" s="1721" t="s">
        <v>6472</v>
      </c>
      <c r="AA124" s="1723">
        <v>124</v>
      </c>
    </row>
    <row r="125" spans="1:27" ht="13.35" customHeight="1">
      <c r="A125" s="17" t="s">
        <v>1096</v>
      </c>
      <c r="B125" s="179">
        <f>+K95</f>
        <v>-5000</v>
      </c>
      <c r="C125" s="179">
        <f>+B125</f>
        <v>-5000</v>
      </c>
      <c r="D125" s="179">
        <f>+C125</f>
        <v>-5000</v>
      </c>
      <c r="E125" s="179">
        <f>+D125</f>
        <v>-5000</v>
      </c>
      <c r="F125" s="179">
        <f>+E125</f>
        <v>-5000</v>
      </c>
      <c r="G125" s="13"/>
      <c r="H125" s="13"/>
      <c r="I125" s="13"/>
      <c r="J125" s="13"/>
      <c r="K125" s="13"/>
      <c r="N125" s="3087"/>
      <c r="O125" s="3089"/>
      <c r="Z125" s="1721" t="s">
        <v>6472</v>
      </c>
      <c r="AA125" s="1723">
        <v>125</v>
      </c>
    </row>
    <row r="126" spans="1:27" ht="13.35" customHeight="1">
      <c r="A126" s="17" t="s">
        <v>1097</v>
      </c>
      <c r="B126" s="18">
        <f>SUM(B119:B125)</f>
        <v>409395.39430809452</v>
      </c>
      <c r="C126" s="18">
        <f>SUM(C119:C125)</f>
        <v>413017.67958349374</v>
      </c>
      <c r="D126" s="18">
        <f>SUM(D119:D125)</f>
        <v>416145.4653592807</v>
      </c>
      <c r="E126" s="18">
        <f>SUM(E119:E125)</f>
        <v>418752.53808930598</v>
      </c>
      <c r="F126" s="19">
        <f>SUM(F119:F125)</f>
        <v>420809.66984981752</v>
      </c>
      <c r="G126" s="13"/>
      <c r="H126" s="13"/>
      <c r="I126" s="13"/>
      <c r="J126" s="13"/>
      <c r="K126" s="13"/>
      <c r="N126" s="3087"/>
      <c r="O126" s="3089"/>
      <c r="Z126" s="1721" t="s">
        <v>6472</v>
      </c>
      <c r="AA126" s="1723">
        <v>126</v>
      </c>
    </row>
    <row r="127" spans="1:27" ht="13.35" customHeight="1">
      <c r="A127" s="17" t="str">
        <f>$A97</f>
        <v>DCR Mortgage A</v>
      </c>
      <c r="B127" s="20">
        <f>IF(B120=0,"",-B119/B120)</f>
        <v>1.5825405531923031</v>
      </c>
      <c r="C127" s="20">
        <f>IF(C120=0,"",-C119/C120)</f>
        <v>1.5876326176725915</v>
      </c>
      <c r="D127" s="20">
        <f>IF(D120=0,"",-D119/D120)</f>
        <v>1.5920295344364379</v>
      </c>
      <c r="E127" s="20">
        <f>IF(E120=0,"",-E119/E120)</f>
        <v>1.5956944535239128</v>
      </c>
      <c r="F127" s="21">
        <f>IF(F120=0,"",-F119/F120)</f>
        <v>1.5985862874830203</v>
      </c>
      <c r="G127" s="13"/>
      <c r="H127" s="13"/>
      <c r="I127" s="13"/>
      <c r="J127" s="13"/>
      <c r="K127" s="13"/>
      <c r="N127" s="3087"/>
      <c r="O127" s="3089"/>
      <c r="Z127" s="1721" t="s">
        <v>6472</v>
      </c>
      <c r="AA127" s="1723">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087"/>
      <c r="O128" s="3089"/>
      <c r="Z128" s="1721" t="s">
        <v>6472</v>
      </c>
      <c r="AA128" s="172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087"/>
      <c r="O129" s="3089"/>
      <c r="Z129" s="1721" t="s">
        <v>6472</v>
      </c>
      <c r="AA129" s="172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087"/>
      <c r="O130" s="3089"/>
      <c r="Z130" s="1721" t="s">
        <v>6472</v>
      </c>
      <c r="AA130" s="1723">
        <v>130</v>
      </c>
    </row>
    <row r="131" spans="1:27" ht="13.35" customHeight="1">
      <c r="A131" s="341" t="s">
        <v>3217</v>
      </c>
      <c r="B131" s="20">
        <f>IF(AND(B120=0,B121=0,B122=0,B123=0),"",-B119/(B120+B121+B122+B123))</f>
        <v>1.5825405531923031</v>
      </c>
      <c r="C131" s="20">
        <f>IF(AND(C120=0,C121=0,C122=0,C123=0),"",-C119/(C120+C121+C122+C123))</f>
        <v>1.5876326176725915</v>
      </c>
      <c r="D131" s="20">
        <f>IF(AND(D120=0,D121=0,D122=0,D123=0),"",-D119/(D120+D121+D122+D123))</f>
        <v>1.5920295344364379</v>
      </c>
      <c r="E131" s="20">
        <f>IF(AND(E120=0,E121=0,E122=0,E123=0),"",-E119/(E120+E121+E122+E123))</f>
        <v>1.5956944535239128</v>
      </c>
      <c r="F131" s="21">
        <f>IF(AND(F120=0,F121=0,F122=0,F123=0),"",-F119/(F120+F121+F122+F123))</f>
        <v>1.5985862874830203</v>
      </c>
      <c r="G131" s="13"/>
      <c r="H131" s="13"/>
      <c r="I131" s="13"/>
      <c r="J131" s="13"/>
      <c r="K131" s="13"/>
      <c r="N131" s="3087"/>
      <c r="O131" s="3089"/>
      <c r="Z131" s="1721" t="s">
        <v>6472</v>
      </c>
      <c r="AA131" s="1723">
        <v>131</v>
      </c>
    </row>
    <row r="132" spans="1:27" ht="13.35" customHeight="1">
      <c r="A132" s="17" t="s">
        <v>718</v>
      </c>
      <c r="B132" s="220">
        <f>IF(OR(B116="Choose mgt fee",B116="Choose One!"),"",(B109+B110+B111+B112+B113) / -(B115+B116+B117))</f>
        <v>1.536357983782445</v>
      </c>
      <c r="C132" s="220">
        <f>IF(OR(C116="Choose mgt fee",C116="Choose One!"),"",(C109+C110+C111+C112+C113) / -(C115+C116+C117))</f>
        <v>1.5229184576723558</v>
      </c>
      <c r="D132" s="220">
        <f>IF(OR(D116="Choose mgt fee",D116="Choose One!"),"",(D109+D110+D111+D112+D113) / -(D115+D116+D117))</f>
        <v>1.5095835705170639</v>
      </c>
      <c r="E132" s="220">
        <f>IF(OR(E116="Choose mgt fee",E116="Choose One!"),"",(E109+E110+E111+E112+E113) / -(E115+E116+E117))</f>
        <v>1.4963531845345093</v>
      </c>
      <c r="F132" s="498">
        <f>IF(OR(F116="Choose mgt fee",F116="Choose One!"),"",(F109+F110+F111+F112+F113) / -(F115+F116+F117))</f>
        <v>1.4832258559677036</v>
      </c>
      <c r="G132" s="13"/>
      <c r="H132" s="13"/>
      <c r="I132" s="13"/>
      <c r="J132" s="13"/>
      <c r="K132" s="13"/>
      <c r="N132" s="3087"/>
      <c r="O132" s="3089"/>
      <c r="Z132" s="1721" t="s">
        <v>6472</v>
      </c>
      <c r="AA132" s="1723">
        <v>132</v>
      </c>
    </row>
    <row r="133" spans="1:27" ht="13.35" customHeight="1">
      <c r="A133" s="341" t="s">
        <v>2406</v>
      </c>
      <c r="B133" s="177">
        <f>IF('Part II-Sources of Funds'!$I$40="","",-FV('Part II-Sources of Funds'!$K$40/12,12,B120/12,K103))</f>
        <v>4896179.5629139105</v>
      </c>
      <c r="C133" s="177">
        <f>IF('Part II-Sources of Funds'!$I$40="","",-FV('Part II-Sources of Funds'!$K$40/12,12,C120/12,B133))</f>
        <v>4476835.9278578172</v>
      </c>
      <c r="D133" s="177">
        <f>IF('Part II-Sources of Funds'!$I$40="","",-FV('Part II-Sources of Funds'!$K$40/12,12,D120/12,C133))</f>
        <v>4030719.1100866459</v>
      </c>
      <c r="E133" s="177">
        <f>IF('Part II-Sources of Funds'!$I$40="","",-FV('Part II-Sources of Funds'!$K$40/12,12,E120/12,D133))</f>
        <v>3556119.7637256254</v>
      </c>
      <c r="F133" s="177">
        <f>IF('Part II-Sources of Funds'!$I$40="","",-FV('Part II-Sources of Funds'!$K$40/12,12,F120/12,E133))</f>
        <v>3051219.4089449095</v>
      </c>
      <c r="G133" s="13"/>
      <c r="H133" s="13"/>
      <c r="I133" s="13"/>
      <c r="J133" s="13"/>
      <c r="K133" s="13"/>
      <c r="N133" s="3087"/>
      <c r="O133" s="3089"/>
      <c r="Z133" s="1721" t="s">
        <v>6472</v>
      </c>
      <c r="AA133" s="1723">
        <v>133</v>
      </c>
    </row>
    <row r="134" spans="1:27" ht="13.35" customHeight="1">
      <c r="A134" s="341" t="s">
        <v>2407</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087"/>
      <c r="O134" s="3089"/>
      <c r="Z134" s="1721" t="s">
        <v>6472</v>
      </c>
      <c r="AA134" s="1723">
        <v>134</v>
      </c>
    </row>
    <row r="135" spans="1:27" ht="13.35" customHeight="1">
      <c r="A135" s="341" t="s">
        <v>2408</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087"/>
      <c r="O135" s="3089"/>
      <c r="Z135" s="1721" t="s">
        <v>6472</v>
      </c>
      <c r="AA135" s="1723">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093"/>
      <c r="O136" s="3095"/>
      <c r="Z136" s="1721" t="s">
        <v>6472</v>
      </c>
      <c r="AA136" s="1723">
        <v>136</v>
      </c>
    </row>
    <row r="137" spans="1:27" ht="4.3499999999999996" customHeight="1"/>
    <row r="138" spans="1:27" ht="12" customHeight="1">
      <c r="A138" s="10" t="s">
        <v>529</v>
      </c>
      <c r="B138" s="10"/>
      <c r="G138" s="10" t="s">
        <v>968</v>
      </c>
    </row>
    <row r="139" spans="1:27" ht="12" customHeight="1">
      <c r="B139" s="10"/>
    </row>
    <row r="140" spans="1:27" ht="409.5" customHeight="1">
      <c r="A140" s="2680" t="s">
        <v>6982</v>
      </c>
      <c r="B140" s="3196"/>
      <c r="C140" s="3196"/>
      <c r="D140" s="3196"/>
      <c r="E140" s="3196"/>
      <c r="F140" s="3197"/>
      <c r="G140" s="3198"/>
      <c r="H140" s="3199"/>
      <c r="I140" s="3199"/>
      <c r="J140" s="3199"/>
      <c r="K140" s="3200"/>
      <c r="N140" s="2716" t="s">
        <v>2453</v>
      </c>
      <c r="O140" s="2716"/>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2"/>
      <c r="AA145" s="1724"/>
    </row>
    <row r="146" spans="12:27" s="1" customFormat="1" ht="12" customHeight="1">
      <c r="L146" s="6"/>
      <c r="M146" s="6"/>
      <c r="N146" s="6"/>
      <c r="O146" s="6"/>
      <c r="Z146" s="1722"/>
      <c r="AA146" s="1724"/>
    </row>
    <row r="147" spans="12:27" s="1" customFormat="1" ht="12" customHeight="1">
      <c r="L147" s="6"/>
      <c r="M147" s="6"/>
      <c r="N147" s="6"/>
      <c r="O147" s="6"/>
      <c r="Q147" s="6"/>
      <c r="R147" s="6"/>
      <c r="Z147" s="1722"/>
      <c r="AA147" s="1724"/>
    </row>
    <row r="148" spans="12:27" s="1" customFormat="1" ht="12" customHeight="1">
      <c r="L148" s="6"/>
      <c r="M148" s="6"/>
      <c r="N148" s="6"/>
      <c r="O148" s="6"/>
      <c r="S148" s="6"/>
      <c r="Z148" s="1722"/>
      <c r="AA148" s="1724"/>
    </row>
    <row r="149" spans="12:27" ht="12" customHeight="1">
      <c r="Q149" s="1"/>
      <c r="R149" s="1"/>
      <c r="S149" s="1"/>
    </row>
    <row r="150" spans="12:27" s="1" customFormat="1" ht="12" customHeight="1">
      <c r="L150" s="6"/>
      <c r="M150" s="6"/>
      <c r="N150" s="6"/>
      <c r="O150" s="6"/>
      <c r="Q150" s="6"/>
      <c r="R150" s="6"/>
      <c r="Z150" s="1722"/>
      <c r="AA150" s="1724"/>
    </row>
    <row r="151" spans="12:27" s="1" customFormat="1" ht="12" customHeight="1">
      <c r="L151" s="6"/>
      <c r="M151" s="6"/>
      <c r="N151" s="6"/>
      <c r="O151" s="6"/>
      <c r="S151" s="6"/>
      <c r="Z151" s="1722"/>
      <c r="AA151" s="1724"/>
    </row>
    <row r="152" spans="12:27" ht="12" customHeight="1">
      <c r="Q152" s="1"/>
      <c r="R152" s="1"/>
      <c r="S152" s="1"/>
    </row>
    <row r="153" spans="12:27" s="1" customFormat="1" ht="12" customHeight="1">
      <c r="L153" s="6"/>
      <c r="M153" s="6"/>
      <c r="N153" s="6"/>
      <c r="O153" s="6"/>
      <c r="Z153" s="1722"/>
      <c r="AA153" s="1724"/>
    </row>
    <row r="154" spans="12:27" s="1" customFormat="1" ht="12" customHeight="1">
      <c r="L154" s="6"/>
      <c r="M154" s="6"/>
      <c r="N154" s="6"/>
      <c r="O154" s="6"/>
      <c r="Z154" s="1722"/>
      <c r="AA154" s="1724"/>
    </row>
    <row r="155" spans="12:27" s="1" customFormat="1" ht="12" customHeight="1">
      <c r="L155" s="6"/>
      <c r="M155" s="6"/>
      <c r="N155" s="6"/>
      <c r="O155" s="6"/>
      <c r="Z155" s="1722"/>
      <c r="AA155" s="1724"/>
    </row>
    <row r="156" spans="12:27" s="1" customFormat="1" ht="12" customHeight="1">
      <c r="L156" s="6"/>
      <c r="M156" s="6"/>
      <c r="N156" s="6"/>
      <c r="O156" s="6"/>
      <c r="Z156" s="1722"/>
      <c r="AA156" s="1724"/>
    </row>
    <row r="157" spans="12:27" s="1" customFormat="1" ht="12" customHeight="1">
      <c r="L157" s="6"/>
      <c r="M157" s="6"/>
      <c r="N157" s="6"/>
      <c r="O157" s="6"/>
      <c r="Z157" s="1722"/>
      <c r="AA157" s="1724"/>
    </row>
    <row r="158" spans="12:27" s="1" customFormat="1" ht="12" customHeight="1">
      <c r="L158" s="6"/>
      <c r="M158" s="6"/>
      <c r="N158" s="6"/>
      <c r="O158" s="6"/>
      <c r="Q158" s="6"/>
      <c r="R158" s="6"/>
      <c r="Z158" s="1722"/>
      <c r="AA158" s="1724"/>
    </row>
    <row r="159" spans="12:27" s="1" customFormat="1" ht="12" customHeight="1">
      <c r="L159" s="6"/>
      <c r="M159" s="6"/>
      <c r="N159" s="6"/>
      <c r="O159" s="6"/>
      <c r="S159" s="6"/>
      <c r="Z159" s="1722"/>
      <c r="AA159" s="1724"/>
    </row>
    <row r="160" spans="12:27" ht="12" customHeight="1">
      <c r="Q160" s="1"/>
      <c r="R160" s="1"/>
      <c r="S160" s="1"/>
    </row>
    <row r="161" spans="12:27" s="1" customFormat="1" ht="12" customHeight="1">
      <c r="L161" s="6"/>
      <c r="M161" s="6"/>
      <c r="N161" s="6"/>
      <c r="O161" s="6"/>
      <c r="Z161" s="1722"/>
      <c r="AA161" s="1724"/>
    </row>
    <row r="162" spans="12:27" s="1" customFormat="1" ht="12" customHeight="1">
      <c r="L162" s="6"/>
      <c r="M162" s="6"/>
      <c r="N162" s="6"/>
      <c r="O162" s="6"/>
      <c r="Z162" s="1722"/>
      <c r="AA162" s="1724"/>
    </row>
    <row r="163" spans="12:27" s="1" customFormat="1" ht="12" customHeight="1">
      <c r="L163" s="6"/>
      <c r="M163" s="6"/>
      <c r="N163" s="6"/>
      <c r="O163" s="6"/>
      <c r="Z163" s="1722"/>
      <c r="AA163" s="1724"/>
    </row>
    <row r="164" spans="12:27" s="1" customFormat="1" ht="12" customHeight="1">
      <c r="L164" s="6"/>
      <c r="M164" s="6"/>
      <c r="N164" s="6"/>
      <c r="O164" s="6"/>
      <c r="Z164" s="1722"/>
      <c r="AA164" s="1724"/>
    </row>
    <row r="165" spans="12:27" s="1" customFormat="1" ht="12" customHeight="1">
      <c r="L165" s="6"/>
      <c r="M165" s="6"/>
      <c r="N165" s="6"/>
      <c r="O165" s="6"/>
      <c r="Z165" s="1722"/>
      <c r="AA165" s="1724"/>
    </row>
    <row r="166" spans="12:27" s="1" customFormat="1" ht="12" customHeight="1">
      <c r="L166" s="6"/>
      <c r="M166" s="6"/>
      <c r="N166" s="6"/>
      <c r="O166" s="6"/>
      <c r="Z166" s="1722"/>
      <c r="AA166" s="1724"/>
    </row>
    <row r="167" spans="12:27" s="1" customFormat="1" ht="12" customHeight="1">
      <c r="L167" s="6"/>
      <c r="M167" s="6"/>
      <c r="N167" s="6"/>
      <c r="O167" s="6"/>
      <c r="Z167" s="1722"/>
      <c r="AA167" s="1724"/>
    </row>
    <row r="168" spans="12:27" s="1" customFormat="1" ht="12" customHeight="1">
      <c r="L168" s="6"/>
      <c r="M168" s="6"/>
      <c r="N168" s="6"/>
      <c r="O168" s="6"/>
      <c r="Z168" s="1722"/>
      <c r="AA168" s="1724"/>
    </row>
    <row r="169" spans="12:27" s="1" customFormat="1" ht="12" customHeight="1">
      <c r="L169" s="6"/>
      <c r="M169" s="6"/>
      <c r="N169" s="6"/>
      <c r="O169" s="6"/>
      <c r="Z169" s="1722"/>
      <c r="AA169" s="1724"/>
    </row>
    <row r="170" spans="12:27" s="1" customFormat="1" ht="12" customHeight="1">
      <c r="L170" s="6"/>
      <c r="M170" s="6"/>
      <c r="N170" s="6"/>
      <c r="O170" s="6"/>
      <c r="Q170" s="6"/>
      <c r="R170" s="6"/>
      <c r="Z170" s="1722"/>
      <c r="AA170" s="1724"/>
    </row>
    <row r="171" spans="12:27" s="1" customFormat="1" ht="12" customHeight="1">
      <c r="L171" s="6"/>
      <c r="M171" s="6"/>
      <c r="N171" s="6"/>
      <c r="O171" s="6"/>
      <c r="Q171" s="6"/>
      <c r="R171" s="6"/>
      <c r="S171" s="6"/>
      <c r="Z171" s="1722"/>
      <c r="AA171" s="172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08" priority="5">
      <formula>"or(B28&lt;$G$6,C28&lt;$G$6,D28&lt;$G$6,E28&lt;$G$6,F28&lt;$G$6,G28&lt;$G$6,H28&lt;$G$6,I28&lt;$G$6,J28&lt;$G$6,K28&lt;$G$6,)"</formula>
    </cfRule>
  </conditionalFormatting>
  <conditionalFormatting sqref="A31">
    <cfRule type="expression" dxfId="107" priority="10">
      <formula>"or(B28&lt;$G$6,C28&lt;$G$6,D28&lt;$G$6,E28&lt;$G$6,F28&lt;$G$6,G28&lt;$G$6,H28&lt;$G$6,I28&lt;$G$6,J28&lt;$G$6,K28&lt;$G$6,)"</formula>
    </cfRule>
  </conditionalFormatting>
  <conditionalFormatting sqref="A56">
    <cfRule type="expression" dxfId="106" priority="4">
      <formula>"or(B28&lt;$G$6,C28&lt;$G$6,D28&lt;$G$6,E28&lt;$G$6,F28&lt;$G$6,G28&lt;$G$6,H28&lt;$G$6,I28&lt;$G$6,J28&lt;$G$6,K28&lt;$G$6,)"</formula>
    </cfRule>
  </conditionalFormatting>
  <conditionalFormatting sqref="A63">
    <cfRule type="expression" dxfId="105" priority="7">
      <formula>"or(B28&lt;$G$6,C28&lt;$G$6,D28&lt;$G$6,E28&lt;$G$6,F28&lt;$G$6,G28&lt;$G$6,H28&lt;$G$6,I28&lt;$G$6,J28&lt;$G$6,K28&lt;$G$6,)"</formula>
    </cfRule>
  </conditionalFormatting>
  <conditionalFormatting sqref="A88">
    <cfRule type="expression" dxfId="104" priority="3">
      <formula>"or(B28&lt;$G$6,C28&lt;$G$6,D28&lt;$G$6,E28&lt;$G$6,F28&lt;$G$6,G28&lt;$G$6,H28&lt;$G$6,I28&lt;$G$6,J28&lt;$G$6,K28&lt;$G$6,)"</formula>
    </cfRule>
  </conditionalFormatting>
  <conditionalFormatting sqref="A95">
    <cfRule type="expression" dxfId="103" priority="6">
      <formula>"or(B28&lt;$G$6,C28&lt;$G$6,D28&lt;$G$6,E28&lt;$G$6,F28&lt;$G$6,G28&lt;$G$6,H28&lt;$G$6,I28&lt;$G$6,J28&lt;$G$6,K28&lt;$G$6,)"</formula>
    </cfRule>
  </conditionalFormatting>
  <conditionalFormatting sqref="A118">
    <cfRule type="expression" dxfId="102" priority="2">
      <formula>"or(B28&lt;$G$6,C28&lt;$G$6,D28&lt;$G$6,E28&lt;$G$6,F28&lt;$G$6,G28&lt;$G$6,H28&lt;$G$6,I28&lt;$G$6,J28&lt;$G$6,K28&lt;$G$6,)"</formula>
    </cfRule>
  </conditionalFormatting>
  <conditionalFormatting sqref="C9">
    <cfRule type="containsText" dxfId="101" priority="1" operator="containsText" text="Must be &gt;= 7%!">
      <formula>NOT(ISERROR(SEARCH("Must be &gt;= 7%!",C9)))</formula>
    </cfRule>
  </conditionalFormatting>
  <conditionalFormatting sqref="G7">
    <cfRule type="expression" dxfId="100"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32" zoomScaleNormal="100" workbookViewId="0">
      <selection activeCell="S424" sqref="S424"/>
    </sheetView>
  </sheetViews>
  <sheetFormatPr defaultColWidth="9.140625" defaultRowHeight="12.75"/>
  <cols>
    <col min="1" max="1" width="5.140625" style="28" customWidth="1"/>
    <col min="2" max="2" width="2.5703125" style="28" customWidth="1"/>
    <col min="3" max="3" width="2.140625" style="28" customWidth="1"/>
    <col min="4" max="10" width="8.85546875" style="28" customWidth="1"/>
    <col min="11" max="11" width="7.5703125" style="28" customWidth="1"/>
    <col min="12" max="15" width="9.140625" style="28" customWidth="1"/>
    <col min="16" max="16" width="8.85546875" style="28" customWidth="1"/>
    <col min="17" max="17" width="9.140625" style="28" customWidth="1"/>
    <col min="18" max="16384" width="9.140625" style="28"/>
  </cols>
  <sheetData>
    <row r="1" spans="1:19" ht="14.1" customHeight="1">
      <c r="A1" s="2847" t="str">
        <f>CONCATENATE("PART SEVEN - THRESHOLD CRITERIA","  -  ",'Part I-Project Identification'!$O$7," ",'Part I-Project Identification'!$F$29,", ",'Part I-Project Identification'!F30,", ",'Part I-Project Identification'!J30," County")</f>
        <v>PART SEVEN - THRESHOLD CRITERIA  -  2022-522 Harrison Village Apartments, Gainesville, Hall County</v>
      </c>
      <c r="B1" s="2848"/>
      <c r="C1" s="2848"/>
      <c r="D1" s="2848"/>
      <c r="E1" s="2848"/>
      <c r="F1" s="2848"/>
      <c r="G1" s="2848"/>
      <c r="H1" s="2848"/>
      <c r="I1" s="2848"/>
      <c r="J1" s="2848"/>
      <c r="K1" s="2848"/>
      <c r="L1" s="2848"/>
      <c r="M1" s="2848"/>
      <c r="N1" s="2848"/>
      <c r="O1" s="2848"/>
      <c r="P1" s="2848"/>
      <c r="Q1" s="2848"/>
      <c r="R1" s="1806"/>
      <c r="S1" s="1806"/>
    </row>
    <row r="2" spans="1:19" customFormat="1" ht="3" customHeight="1">
      <c r="R2" s="1806"/>
      <c r="S2" s="1806"/>
    </row>
    <row r="3" spans="1:19" ht="13.5" customHeight="1">
      <c r="A3" s="329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291"/>
      <c r="C3" s="3291"/>
      <c r="D3" s="3291"/>
      <c r="E3" s="3291"/>
      <c r="F3" s="3291"/>
      <c r="G3" s="3291"/>
      <c r="H3" s="329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291"/>
      <c r="J3" s="3291"/>
      <c r="K3" s="3291"/>
      <c r="L3" s="3291"/>
      <c r="M3" s="3291"/>
      <c r="N3" s="3291"/>
      <c r="P3" s="3301" t="s">
        <v>876</v>
      </c>
      <c r="Q3" s="3212" t="s">
        <v>6540</v>
      </c>
      <c r="R3" s="1806"/>
      <c r="S3" s="1806"/>
    </row>
    <row r="4" spans="1:19" ht="3" customHeight="1">
      <c r="A4" s="686"/>
      <c r="B4" s="3292"/>
      <c r="C4" s="3292"/>
      <c r="D4" s="3292"/>
      <c r="E4" s="686"/>
      <c r="F4" s="686"/>
      <c r="G4" s="686"/>
      <c r="H4" s="686"/>
      <c r="J4" s="490"/>
      <c r="K4" s="686"/>
      <c r="L4" s="686"/>
      <c r="M4" s="686"/>
      <c r="N4" s="686"/>
      <c r="P4" s="3302"/>
      <c r="Q4" s="3213"/>
      <c r="R4" s="1806"/>
      <c r="S4" s="1806"/>
    </row>
    <row r="5" spans="1:19">
      <c r="E5" s="3300" t="str">
        <f>'Part I-Project Identification'!$A$6</f>
        <v>Sept 20, 2022 Core Application - 4% Only</v>
      </c>
      <c r="F5" s="3300"/>
      <c r="G5" s="3300"/>
      <c r="H5" s="3300"/>
      <c r="I5" s="3300"/>
      <c r="J5" s="490"/>
      <c r="K5" s="1807"/>
      <c r="L5" s="1808" t="s">
        <v>6539</v>
      </c>
      <c r="M5" s="1809" t="str">
        <f>'Part I-Project Identification'!$F$12</f>
        <v>4% Credit/TE Bond</v>
      </c>
      <c r="N5" s="1810"/>
      <c r="O5" s="1811"/>
      <c r="P5" s="3303"/>
      <c r="Q5" s="3214"/>
      <c r="R5" s="1606"/>
      <c r="S5" s="1606"/>
    </row>
    <row r="6" spans="1:19" ht="17.25" customHeight="1">
      <c r="A6" s="96" t="s">
        <v>6538</v>
      </c>
      <c r="I6" s="490"/>
      <c r="J6" s="490"/>
      <c r="K6" s="3298" t="s">
        <v>3284</v>
      </c>
      <c r="L6" s="3298"/>
      <c r="M6" s="3298"/>
      <c r="N6" s="3298"/>
      <c r="O6" s="3299"/>
      <c r="P6" s="3293"/>
      <c r="Q6" s="3294"/>
      <c r="R6" s="1606"/>
      <c r="S6" s="1606"/>
    </row>
    <row r="7" spans="1:19" ht="12.6" customHeight="1">
      <c r="A7" s="97" t="s">
        <v>3070</v>
      </c>
      <c r="H7" s="1003"/>
      <c r="I7" s="1805"/>
      <c r="J7" s="1805"/>
      <c r="K7" s="1003"/>
      <c r="L7" s="1003"/>
      <c r="M7" s="686"/>
      <c r="N7" s="686"/>
    </row>
    <row r="8" spans="1:19" ht="23.25" customHeight="1">
      <c r="A8" s="3295" t="s">
        <v>1330</v>
      </c>
      <c r="B8" s="3296"/>
      <c r="C8" s="3296"/>
      <c r="D8" s="3296"/>
      <c r="E8" s="3296"/>
      <c r="F8" s="3296"/>
      <c r="G8" s="3296"/>
      <c r="H8" s="3296"/>
      <c r="I8" s="3296"/>
      <c r="J8" s="3296"/>
      <c r="K8" s="3296"/>
      <c r="L8" s="3296"/>
      <c r="M8" s="3296"/>
      <c r="N8" s="3296"/>
      <c r="O8" s="3296"/>
      <c r="P8" s="3296"/>
      <c r="Q8" s="3297"/>
      <c r="R8" s="2534" t="s">
        <v>1884</v>
      </c>
      <c r="S8" s="2533"/>
    </row>
    <row r="9" spans="1:19" ht="23.25" customHeight="1">
      <c r="A9" s="3274" t="s">
        <v>218</v>
      </c>
      <c r="B9" s="3275"/>
      <c r="C9" s="3275"/>
      <c r="D9" s="3275"/>
      <c r="E9" s="3275"/>
      <c r="F9" s="3275"/>
      <c r="G9" s="3275"/>
      <c r="H9" s="3275"/>
      <c r="I9" s="3275"/>
      <c r="J9" s="3275"/>
      <c r="K9" s="3275"/>
      <c r="L9" s="3275"/>
      <c r="M9" s="3275"/>
      <c r="N9" s="3275"/>
      <c r="O9" s="3275"/>
      <c r="P9" s="3275"/>
      <c r="Q9" s="3276"/>
      <c r="R9" s="2534"/>
      <c r="S9" s="2533"/>
    </row>
    <row r="10" spans="1:19" ht="23.25" customHeight="1">
      <c r="A10" s="3274" t="s">
        <v>1326</v>
      </c>
      <c r="B10" s="3275"/>
      <c r="C10" s="3275"/>
      <c r="D10" s="3275"/>
      <c r="E10" s="3275"/>
      <c r="F10" s="3275"/>
      <c r="G10" s="3275"/>
      <c r="H10" s="3275"/>
      <c r="I10" s="3275"/>
      <c r="J10" s="3275"/>
      <c r="K10" s="3275"/>
      <c r="L10" s="3275"/>
      <c r="M10" s="3275"/>
      <c r="N10" s="3275"/>
      <c r="O10" s="3275"/>
      <c r="P10" s="3275"/>
      <c r="Q10" s="3276"/>
      <c r="R10" s="2534"/>
      <c r="S10" s="2533"/>
    </row>
    <row r="11" spans="1:19" ht="23.25" customHeight="1">
      <c r="A11" s="3274" t="s">
        <v>1327</v>
      </c>
      <c r="B11" s="3275"/>
      <c r="C11" s="3275"/>
      <c r="D11" s="3275"/>
      <c r="E11" s="3275"/>
      <c r="F11" s="3275"/>
      <c r="G11" s="3275"/>
      <c r="H11" s="3275"/>
      <c r="I11" s="3275"/>
      <c r="J11" s="3275"/>
      <c r="K11" s="3275"/>
      <c r="L11" s="3275"/>
      <c r="M11" s="3275"/>
      <c r="N11" s="3275"/>
      <c r="O11" s="3275"/>
      <c r="P11" s="3275"/>
      <c r="Q11" s="3276"/>
      <c r="R11" s="2534"/>
      <c r="S11" s="2533"/>
    </row>
    <row r="12" spans="1:19" ht="23.25" customHeight="1">
      <c r="A12" s="3274" t="s">
        <v>1328</v>
      </c>
      <c r="B12" s="3275"/>
      <c r="C12" s="3275"/>
      <c r="D12" s="3275"/>
      <c r="E12" s="3275"/>
      <c r="F12" s="3275"/>
      <c r="G12" s="3275"/>
      <c r="H12" s="3275"/>
      <c r="I12" s="3275"/>
      <c r="J12" s="3275"/>
      <c r="K12" s="3275"/>
      <c r="L12" s="3275"/>
      <c r="M12" s="3275"/>
      <c r="N12" s="3275"/>
      <c r="O12" s="3275"/>
      <c r="P12" s="3275"/>
      <c r="Q12" s="3276"/>
      <c r="R12" s="888"/>
      <c r="S12" s="888"/>
    </row>
    <row r="13" spans="1:19" ht="23.25" customHeight="1">
      <c r="A13" s="3274" t="s">
        <v>1329</v>
      </c>
      <c r="B13" s="3275"/>
      <c r="C13" s="3275"/>
      <c r="D13" s="3275"/>
      <c r="E13" s="3275"/>
      <c r="F13" s="3275"/>
      <c r="G13" s="3275"/>
      <c r="H13" s="3275"/>
      <c r="I13" s="3275"/>
      <c r="J13" s="3275"/>
      <c r="K13" s="3275"/>
      <c r="L13" s="3275"/>
      <c r="M13" s="3275"/>
      <c r="N13" s="3275"/>
      <c r="O13" s="3275"/>
      <c r="P13" s="3275"/>
      <c r="Q13" s="3276"/>
      <c r="R13" s="888"/>
      <c r="S13" s="888"/>
    </row>
    <row r="14" spans="1:19" ht="23.25" customHeight="1">
      <c r="A14" s="3274" t="s">
        <v>1331</v>
      </c>
      <c r="B14" s="3275"/>
      <c r="C14" s="3275"/>
      <c r="D14" s="3275"/>
      <c r="E14" s="3275"/>
      <c r="F14" s="3275"/>
      <c r="G14" s="3275"/>
      <c r="H14" s="3275"/>
      <c r="I14" s="3275"/>
      <c r="J14" s="3275"/>
      <c r="K14" s="3275"/>
      <c r="L14" s="3275"/>
      <c r="M14" s="3275"/>
      <c r="N14" s="3275"/>
      <c r="O14" s="3275"/>
      <c r="P14" s="3275"/>
      <c r="Q14" s="3276"/>
    </row>
    <row r="15" spans="1:19" ht="11.25" customHeight="1">
      <c r="A15" s="3274" t="s">
        <v>1873</v>
      </c>
      <c r="B15" s="3275"/>
      <c r="C15" s="3275"/>
      <c r="D15" s="3275"/>
      <c r="E15" s="3275"/>
      <c r="F15" s="3275"/>
      <c r="G15" s="3275"/>
      <c r="H15" s="3275"/>
      <c r="I15" s="3275"/>
      <c r="J15" s="3275"/>
      <c r="K15" s="3275"/>
      <c r="L15" s="3275"/>
      <c r="M15" s="3275"/>
      <c r="N15" s="3275"/>
      <c r="O15" s="3275"/>
      <c r="P15" s="3275"/>
      <c r="Q15" s="3276"/>
      <c r="R15" s="2534"/>
      <c r="S15" s="2533"/>
    </row>
    <row r="16" spans="1:19" ht="11.25" customHeight="1">
      <c r="A16" s="3274" t="s">
        <v>1874</v>
      </c>
      <c r="B16" s="3275"/>
      <c r="C16" s="3275"/>
      <c r="D16" s="3275"/>
      <c r="E16" s="3275"/>
      <c r="F16" s="3275"/>
      <c r="G16" s="3275"/>
      <c r="H16" s="3275"/>
      <c r="I16" s="3275"/>
      <c r="J16" s="3275"/>
      <c r="K16" s="3275"/>
      <c r="L16" s="3275"/>
      <c r="M16" s="3275"/>
      <c r="N16" s="3275"/>
      <c r="O16" s="3275"/>
      <c r="P16" s="3275"/>
      <c r="Q16" s="3276"/>
      <c r="R16" s="2534"/>
      <c r="S16" s="2533"/>
    </row>
    <row r="17" spans="1:31" ht="11.25" customHeight="1">
      <c r="A17" s="3274" t="s">
        <v>1875</v>
      </c>
      <c r="B17" s="3275"/>
      <c r="C17" s="3275"/>
      <c r="D17" s="3275"/>
      <c r="E17" s="3275"/>
      <c r="F17" s="3275"/>
      <c r="G17" s="3275"/>
      <c r="H17" s="3275"/>
      <c r="I17" s="3275"/>
      <c r="J17" s="3275"/>
      <c r="K17" s="3275"/>
      <c r="L17" s="3275"/>
      <c r="M17" s="3275"/>
      <c r="N17" s="3275"/>
      <c r="O17" s="3275"/>
      <c r="P17" s="3275"/>
      <c r="Q17" s="3276"/>
      <c r="R17" s="2534"/>
      <c r="S17" s="2533"/>
    </row>
    <row r="18" spans="1:31" ht="11.25" customHeight="1">
      <c r="A18" s="3274" t="s">
        <v>1876</v>
      </c>
      <c r="B18" s="3275"/>
      <c r="C18" s="3275"/>
      <c r="D18" s="3275"/>
      <c r="E18" s="3275"/>
      <c r="F18" s="3275"/>
      <c r="G18" s="3275"/>
      <c r="H18" s="3275"/>
      <c r="I18" s="3275"/>
      <c r="J18" s="3275"/>
      <c r="K18" s="3275"/>
      <c r="L18" s="3275"/>
      <c r="M18" s="3275"/>
      <c r="N18" s="3275"/>
      <c r="O18" s="3275"/>
      <c r="P18" s="3275"/>
      <c r="Q18" s="3276"/>
      <c r="R18" s="2534"/>
      <c r="S18" s="2533"/>
    </row>
    <row r="19" spans="1:31" ht="11.25" customHeight="1">
      <c r="A19" s="3274" t="s">
        <v>1877</v>
      </c>
      <c r="B19" s="3275"/>
      <c r="C19" s="3275"/>
      <c r="D19" s="3275"/>
      <c r="E19" s="3275"/>
      <c r="F19" s="3275"/>
      <c r="G19" s="3275"/>
      <c r="H19" s="3275"/>
      <c r="I19" s="3275"/>
      <c r="J19" s="3275"/>
      <c r="K19" s="3275"/>
      <c r="L19" s="3275"/>
      <c r="M19" s="3275"/>
      <c r="N19" s="3275"/>
      <c r="O19" s="3275"/>
      <c r="P19" s="3275"/>
      <c r="Q19" s="3276"/>
      <c r="R19" s="2534"/>
      <c r="S19" s="2533"/>
    </row>
    <row r="20" spans="1:31" ht="11.25" customHeight="1">
      <c r="A20" s="3274" t="s">
        <v>1878</v>
      </c>
      <c r="B20" s="3275"/>
      <c r="C20" s="3275"/>
      <c r="D20" s="3275"/>
      <c r="E20" s="3275"/>
      <c r="F20" s="3275"/>
      <c r="G20" s="3275"/>
      <c r="H20" s="3275"/>
      <c r="I20" s="3275"/>
      <c r="J20" s="3275"/>
      <c r="K20" s="3275"/>
      <c r="L20" s="3275"/>
      <c r="M20" s="3275"/>
      <c r="N20" s="3275"/>
      <c r="O20" s="3275"/>
      <c r="P20" s="3275"/>
      <c r="Q20" s="3276"/>
      <c r="R20" s="2534"/>
      <c r="S20" s="2533"/>
    </row>
    <row r="21" spans="1:31" ht="11.25" customHeight="1">
      <c r="A21" s="3274" t="s">
        <v>1879</v>
      </c>
      <c r="B21" s="3275"/>
      <c r="C21" s="3275"/>
      <c r="D21" s="3275"/>
      <c r="E21" s="3275"/>
      <c r="F21" s="3275"/>
      <c r="G21" s="3275"/>
      <c r="H21" s="3275"/>
      <c r="I21" s="3275"/>
      <c r="J21" s="3275"/>
      <c r="K21" s="3275"/>
      <c r="L21" s="3275"/>
      <c r="M21" s="3275"/>
      <c r="N21" s="3275"/>
      <c r="O21" s="3275"/>
      <c r="P21" s="3275"/>
      <c r="Q21" s="3276"/>
    </row>
    <row r="22" spans="1:31" ht="11.25" customHeight="1">
      <c r="A22" s="3274" t="s">
        <v>1880</v>
      </c>
      <c r="B22" s="3275"/>
      <c r="C22" s="3275"/>
      <c r="D22" s="3275"/>
      <c r="E22" s="3275"/>
      <c r="F22" s="3275"/>
      <c r="G22" s="3275"/>
      <c r="H22" s="3275"/>
      <c r="I22" s="3275"/>
      <c r="J22" s="3275"/>
      <c r="K22" s="3275"/>
      <c r="L22" s="3275"/>
      <c r="M22" s="3275"/>
      <c r="N22" s="3275"/>
      <c r="O22" s="3275"/>
      <c r="P22" s="3275"/>
      <c r="Q22" s="3276"/>
      <c r="R22" s="2534"/>
      <c r="S22" s="2533"/>
    </row>
    <row r="23" spans="1:31" ht="11.25" customHeight="1">
      <c r="A23" s="3274" t="s">
        <v>1881</v>
      </c>
      <c r="B23" s="3275"/>
      <c r="C23" s="3275"/>
      <c r="D23" s="3275"/>
      <c r="E23" s="3275"/>
      <c r="F23" s="3275"/>
      <c r="G23" s="3275"/>
      <c r="H23" s="3275"/>
      <c r="I23" s="3275"/>
      <c r="J23" s="3275"/>
      <c r="K23" s="3275"/>
      <c r="L23" s="3275"/>
      <c r="M23" s="3275"/>
      <c r="N23" s="3275"/>
      <c r="O23" s="3275"/>
      <c r="P23" s="3275"/>
      <c r="Q23" s="3276"/>
      <c r="R23" s="2534"/>
      <c r="S23" s="2533"/>
    </row>
    <row r="24" spans="1:31" ht="11.25" customHeight="1">
      <c r="A24" s="3274" t="s">
        <v>1882</v>
      </c>
      <c r="B24" s="3275"/>
      <c r="C24" s="3275"/>
      <c r="D24" s="3275"/>
      <c r="E24" s="3275"/>
      <c r="F24" s="3275"/>
      <c r="G24" s="3275"/>
      <c r="H24" s="3275"/>
      <c r="I24" s="3275"/>
      <c r="J24" s="3275"/>
      <c r="K24" s="3275"/>
      <c r="L24" s="3275"/>
      <c r="M24" s="3275"/>
      <c r="N24" s="3275"/>
      <c r="O24" s="3275"/>
      <c r="P24" s="3275"/>
      <c r="Q24" s="3276"/>
      <c r="R24" s="2534"/>
      <c r="S24" s="2533"/>
    </row>
    <row r="25" spans="1:31" ht="11.25" customHeight="1">
      <c r="A25" s="3304" t="s">
        <v>1883</v>
      </c>
      <c r="B25" s="3305"/>
      <c r="C25" s="3305"/>
      <c r="D25" s="3305"/>
      <c r="E25" s="3305"/>
      <c r="F25" s="3305"/>
      <c r="G25" s="3305"/>
      <c r="H25" s="3305"/>
      <c r="I25" s="3305"/>
      <c r="J25" s="3305"/>
      <c r="K25" s="3305"/>
      <c r="L25" s="3305"/>
      <c r="M25" s="3305"/>
      <c r="N25" s="3305"/>
      <c r="O25" s="3305"/>
      <c r="P25" s="3305"/>
      <c r="Q25" s="3306"/>
      <c r="R25" s="2534"/>
      <c r="S25" s="2533"/>
    </row>
    <row r="26" spans="1:31" ht="6" customHeight="1"/>
    <row r="27" spans="1:31" ht="14.1" customHeight="1">
      <c r="A27" s="98" t="s">
        <v>689</v>
      </c>
      <c r="B27" s="99" t="s">
        <v>6644</v>
      </c>
      <c r="C27" s="100"/>
      <c r="D27" s="66"/>
      <c r="E27" s="66"/>
      <c r="F27" s="66"/>
      <c r="G27" s="66"/>
      <c r="I27" s="893"/>
      <c r="J27" s="893"/>
      <c r="K27" s="893"/>
      <c r="L27" s="686"/>
      <c r="M27" s="686"/>
      <c r="O27" s="101" t="s">
        <v>1731</v>
      </c>
      <c r="P27" s="3236"/>
      <c r="Q27" s="3225"/>
    </row>
    <row r="28" spans="1:31" ht="3" customHeight="1"/>
    <row r="29" spans="1:31" ht="11.25" customHeight="1">
      <c r="B29" s="42" t="s">
        <v>3243</v>
      </c>
      <c r="C29" s="42"/>
      <c r="D29" s="42"/>
      <c r="E29" s="42"/>
      <c r="F29" s="42"/>
      <c r="G29" s="893"/>
      <c r="H29" s="893"/>
      <c r="I29" s="893"/>
      <c r="J29" s="893"/>
      <c r="K29" s="686"/>
      <c r="L29" s="686"/>
      <c r="M29" s="686"/>
      <c r="N29" s="686"/>
      <c r="O29" s="686"/>
      <c r="P29" s="686"/>
      <c r="S29" s="125"/>
      <c r="T29" s="125"/>
    </row>
    <row r="30" spans="1:31" ht="108.75" customHeight="1">
      <c r="A30" s="3215" t="s">
        <v>6954</v>
      </c>
      <c r="B30" s="3216"/>
      <c r="C30" s="3216"/>
      <c r="D30" s="3216"/>
      <c r="E30" s="3216"/>
      <c r="F30" s="3216"/>
      <c r="G30" s="3216"/>
      <c r="H30" s="3216"/>
      <c r="I30" s="3216"/>
      <c r="J30" s="3216"/>
      <c r="K30" s="3216"/>
      <c r="L30" s="3216"/>
      <c r="M30" s="3216"/>
      <c r="N30" s="3216"/>
      <c r="O30" s="3216"/>
      <c r="P30" s="3216"/>
      <c r="Q30" s="3217"/>
      <c r="R30" s="354" t="s">
        <v>1181</v>
      </c>
      <c r="S30" s="355"/>
      <c r="T30" s="125"/>
      <c r="U30" s="104"/>
      <c r="V30" s="104"/>
      <c r="W30" s="104"/>
      <c r="X30" s="104"/>
      <c r="Y30" s="104"/>
      <c r="Z30" s="104"/>
      <c r="AA30" s="104"/>
      <c r="AB30" s="104"/>
      <c r="AC30" s="104"/>
      <c r="AD30" s="104"/>
      <c r="AE30" s="104"/>
    </row>
    <row r="31" spans="1:31" ht="11.25" customHeight="1">
      <c r="B31" s="105" t="s">
        <v>1730</v>
      </c>
      <c r="C31" s="106"/>
      <c r="D31" s="889"/>
      <c r="E31" s="889"/>
      <c r="F31" s="889"/>
      <c r="G31" s="889"/>
      <c r="H31" s="889"/>
      <c r="I31" s="889"/>
      <c r="J31" s="889"/>
      <c r="K31" s="889"/>
      <c r="L31" s="889"/>
      <c r="M31" s="889"/>
      <c r="N31" s="889"/>
      <c r="O31" s="889"/>
      <c r="P31" s="889"/>
    </row>
    <row r="32" spans="1:31" ht="36" customHeight="1">
      <c r="A32" s="3315"/>
      <c r="B32" s="3315"/>
      <c r="C32" s="3315"/>
      <c r="D32" s="3315"/>
      <c r="E32" s="3315"/>
      <c r="F32" s="3315"/>
      <c r="G32" s="3315"/>
      <c r="H32" s="3315"/>
      <c r="I32" s="3315"/>
      <c r="J32" s="3315"/>
      <c r="K32" s="3315"/>
      <c r="L32" s="3315"/>
      <c r="M32" s="3315"/>
      <c r="N32" s="3315"/>
      <c r="O32" s="3315"/>
      <c r="P32" s="3315"/>
      <c r="Q32" s="3315"/>
      <c r="R32" s="354" t="s">
        <v>1181</v>
      </c>
      <c r="S32" s="355"/>
    </row>
    <row r="33" spans="1:31" ht="4.5" customHeight="1">
      <c r="B33" s="893"/>
      <c r="C33" s="889"/>
      <c r="D33" s="889"/>
      <c r="E33" s="889"/>
      <c r="F33" s="889"/>
      <c r="G33" s="889"/>
      <c r="H33" s="889"/>
      <c r="I33" s="889"/>
      <c r="J33" s="889"/>
      <c r="K33" s="889"/>
      <c r="L33" s="889"/>
      <c r="M33" s="889"/>
      <c r="N33" s="889"/>
      <c r="O33" s="889"/>
      <c r="P33" s="889"/>
      <c r="Q33" s="686"/>
    </row>
    <row r="34" spans="1:31" ht="12.75" customHeight="1">
      <c r="A34" s="2" t="s">
        <v>691</v>
      </c>
      <c r="B34" s="4" t="s">
        <v>1119</v>
      </c>
      <c r="C34" s="4"/>
      <c r="D34" s="4"/>
      <c r="E34" s="889"/>
      <c r="F34" s="889"/>
      <c r="G34" s="1666"/>
      <c r="O34" s="101" t="s">
        <v>1731</v>
      </c>
      <c r="P34" s="3236"/>
      <c r="Q34" s="3225"/>
    </row>
    <row r="35" spans="1:31" ht="12.75" customHeight="1">
      <c r="A35" s="2"/>
      <c r="B35" s="108" t="s">
        <v>6652</v>
      </c>
      <c r="C35" s="4"/>
      <c r="D35" s="4"/>
      <c r="E35" s="889"/>
      <c r="F35" s="889"/>
      <c r="H35" s="889"/>
      <c r="J35" s="2598" t="s">
        <v>2583</v>
      </c>
      <c r="K35" s="2599"/>
      <c r="L35" s="2600"/>
      <c r="M35" s="147" t="s">
        <v>1648</v>
      </c>
      <c r="N35" s="3389"/>
      <c r="O35" s="3390"/>
      <c r="P35" s="3390"/>
      <c r="Q35" s="3391"/>
    </row>
    <row r="36" spans="1:31" ht="12.75" customHeight="1">
      <c r="A36" s="2"/>
      <c r="B36" s="108" t="s">
        <v>6651</v>
      </c>
      <c r="C36" s="4"/>
      <c r="D36" s="4"/>
      <c r="E36" s="889"/>
      <c r="F36" s="889"/>
      <c r="G36" s="1666"/>
      <c r="H36" s="889"/>
      <c r="J36" s="2598" t="s">
        <v>6473</v>
      </c>
      <c r="K36" s="2599"/>
      <c r="L36" s="2600"/>
      <c r="M36" s="147" t="s">
        <v>1648</v>
      </c>
      <c r="N36" s="3389"/>
      <c r="O36" s="3390"/>
      <c r="P36" s="3390"/>
      <c r="Q36" s="3391"/>
    </row>
    <row r="37" spans="1:31" ht="12.75" customHeight="1">
      <c r="B37" s="73" t="s">
        <v>3243</v>
      </c>
      <c r="D37" s="73"/>
      <c r="E37" s="73"/>
      <c r="F37" s="73"/>
      <c r="G37" s="73"/>
      <c r="H37" s="33"/>
      <c r="I37" s="893"/>
      <c r="J37" s="893"/>
      <c r="K37" s="1773" t="s">
        <v>1730</v>
      </c>
      <c r="L37" s="686"/>
      <c r="M37" s="686"/>
      <c r="N37" s="686"/>
      <c r="O37" s="686"/>
      <c r="P37" s="686"/>
      <c r="Q37" s="686"/>
    </row>
    <row r="38" spans="1:31" ht="27" customHeight="1">
      <c r="A38" s="3215" t="s">
        <v>6956</v>
      </c>
      <c r="B38" s="3216"/>
      <c r="C38" s="3216"/>
      <c r="D38" s="3216"/>
      <c r="E38" s="3216"/>
      <c r="F38" s="3216"/>
      <c r="G38" s="3216"/>
      <c r="H38" s="3216"/>
      <c r="I38" s="3216"/>
      <c r="J38" s="3217"/>
      <c r="K38" s="3219"/>
      <c r="L38" s="3220"/>
      <c r="M38" s="3220"/>
      <c r="N38" s="3220"/>
      <c r="O38" s="3220"/>
      <c r="P38" s="3220"/>
      <c r="Q38" s="3221"/>
      <c r="R38" s="354" t="s">
        <v>1181</v>
      </c>
      <c r="U38" s="104"/>
      <c r="V38" s="104"/>
      <c r="W38" s="104"/>
      <c r="X38" s="104"/>
      <c r="Y38" s="104"/>
      <c r="Z38" s="104"/>
      <c r="AA38" s="104"/>
      <c r="AB38" s="104"/>
      <c r="AC38" s="104"/>
      <c r="AD38" s="104"/>
      <c r="AE38" s="104"/>
    </row>
    <row r="39" spans="1:31" ht="4.5" customHeight="1">
      <c r="A39" s="686"/>
      <c r="B39" s="893"/>
      <c r="C39" s="889"/>
      <c r="D39" s="889"/>
      <c r="E39" s="889"/>
      <c r="F39" s="889"/>
      <c r="G39" s="889"/>
      <c r="H39" s="889"/>
      <c r="I39" s="889"/>
      <c r="J39" s="889"/>
      <c r="K39" s="889"/>
      <c r="L39" s="889"/>
      <c r="M39" s="889"/>
      <c r="N39" s="889"/>
      <c r="O39" s="889"/>
      <c r="P39" s="889"/>
      <c r="Q39" s="686"/>
    </row>
    <row r="40" spans="1:31" ht="12.75" customHeight="1">
      <c r="A40" s="2" t="s">
        <v>1667</v>
      </c>
      <c r="B40" s="2" t="s">
        <v>2423</v>
      </c>
      <c r="C40" s="89"/>
      <c r="D40" s="889"/>
      <c r="E40" s="889"/>
      <c r="F40" s="889"/>
      <c r="G40" s="889"/>
      <c r="H40" s="889"/>
      <c r="I40" s="889"/>
      <c r="J40" s="889"/>
      <c r="L40" s="1320" t="s">
        <v>3794</v>
      </c>
      <c r="M40" s="1321" t="s">
        <v>3795</v>
      </c>
      <c r="O40" s="101" t="s">
        <v>1731</v>
      </c>
      <c r="P40" s="3236"/>
      <c r="Q40" s="3225"/>
    </row>
    <row r="41" spans="1:31" ht="1.5" customHeight="1"/>
    <row r="42" spans="1:31" ht="12" customHeight="1">
      <c r="A42" s="110" t="s">
        <v>1842</v>
      </c>
      <c r="B42" s="3218" t="s">
        <v>3789</v>
      </c>
      <c r="C42" s="3218"/>
      <c r="D42" s="3218"/>
      <c r="E42" s="3218"/>
      <c r="F42" s="3218"/>
      <c r="G42" s="3218"/>
      <c r="H42" s="3218"/>
      <c r="I42" s="3218"/>
      <c r="J42" s="3218"/>
      <c r="K42" s="115"/>
      <c r="L42" s="347" t="s">
        <v>2583</v>
      </c>
      <c r="M42" s="1205">
        <v>2</v>
      </c>
      <c r="N42" s="108" t="s">
        <v>4026</v>
      </c>
      <c r="P42" s="3258" t="s">
        <v>6933</v>
      </c>
      <c r="Q42" s="3270"/>
    </row>
    <row r="43" spans="1:31" ht="12" customHeight="1">
      <c r="A43" s="110"/>
      <c r="B43" s="3218"/>
      <c r="C43" s="3218"/>
      <c r="D43" s="3218"/>
      <c r="E43" s="3218"/>
      <c r="F43" s="3218"/>
      <c r="G43" s="3218"/>
      <c r="H43" s="3218"/>
      <c r="I43" s="3218"/>
      <c r="J43" s="3218"/>
      <c r="K43" s="115"/>
      <c r="L43" s="347" t="s">
        <v>3793</v>
      </c>
      <c r="M43" s="1206">
        <v>4</v>
      </c>
      <c r="O43" s="111"/>
      <c r="P43" s="3259"/>
      <c r="Q43" s="3271"/>
    </row>
    <row r="44" spans="1:31" ht="12" customHeight="1">
      <c r="A44" s="110"/>
      <c r="D44" s="889"/>
      <c r="E44" s="889"/>
      <c r="F44" s="889"/>
      <c r="G44" s="889"/>
      <c r="H44" s="889"/>
      <c r="I44" s="889"/>
      <c r="J44" s="889"/>
      <c r="K44" s="115"/>
      <c r="L44" s="372" t="s">
        <v>6169</v>
      </c>
      <c r="M44" s="1206"/>
      <c r="O44" s="111"/>
      <c r="P44" s="1555">
        <v>2</v>
      </c>
      <c r="Q44" s="1556"/>
    </row>
    <row r="45" spans="1:31" ht="12" customHeight="1">
      <c r="A45" s="40" t="s">
        <v>1844</v>
      </c>
      <c r="B45" s="108" t="s">
        <v>3796</v>
      </c>
      <c r="C45" s="108"/>
      <c r="D45" s="108"/>
      <c r="E45" s="108"/>
      <c r="F45" s="108"/>
      <c r="G45" s="108"/>
      <c r="H45" s="108"/>
      <c r="I45" s="108"/>
      <c r="J45" s="108"/>
      <c r="K45" s="457"/>
      <c r="L45" s="108"/>
      <c r="M45" s="115"/>
      <c r="N45" s="717"/>
      <c r="O45" s="717"/>
      <c r="P45" s="717"/>
    </row>
    <row r="46" spans="1:31" ht="12.75" customHeight="1">
      <c r="A46" s="396"/>
      <c r="B46" s="1222" t="s">
        <v>1615</v>
      </c>
      <c r="C46" s="108" t="s">
        <v>3800</v>
      </c>
      <c r="D46" s="1177"/>
      <c r="E46" s="1177"/>
      <c r="F46" s="1177"/>
      <c r="G46" s="1177"/>
      <c r="H46" s="1177"/>
      <c r="I46" s="1177"/>
      <c r="J46" s="1177"/>
      <c r="K46" s="1176"/>
      <c r="L46" s="716"/>
      <c r="N46" s="108" t="s">
        <v>4027</v>
      </c>
      <c r="O46" s="717"/>
      <c r="P46" s="175" t="s">
        <v>6933</v>
      </c>
      <c r="Q46" s="419"/>
    </row>
    <row r="47" spans="1:31" ht="12.75" customHeight="1">
      <c r="A47" s="396"/>
      <c r="B47" s="1222" t="s">
        <v>1616</v>
      </c>
      <c r="C47" s="108" t="s">
        <v>3797</v>
      </c>
      <c r="D47" s="1177"/>
      <c r="E47" s="1177"/>
      <c r="F47" s="1177"/>
      <c r="G47" s="1177"/>
      <c r="H47" s="1177"/>
      <c r="I47" s="1177"/>
      <c r="J47" s="1177"/>
      <c r="K47" s="1176"/>
      <c r="L47" s="716"/>
      <c r="N47" s="108" t="s">
        <v>4028</v>
      </c>
      <c r="O47" s="717"/>
      <c r="P47" s="299" t="s">
        <v>6933</v>
      </c>
      <c r="Q47" s="420"/>
    </row>
    <row r="48" spans="1:31" ht="12.75" customHeight="1">
      <c r="A48" s="1175"/>
      <c r="B48" s="372" t="s">
        <v>1617</v>
      </c>
      <c r="C48" s="108" t="s">
        <v>3798</v>
      </c>
      <c r="E48" s="1177"/>
      <c r="F48" s="1177"/>
      <c r="G48" s="1177"/>
      <c r="H48" s="1177"/>
      <c r="I48" s="1177"/>
      <c r="J48" s="1177"/>
      <c r="K48" s="1176"/>
      <c r="L48" s="716"/>
      <c r="M48" s="717"/>
      <c r="N48" s="108" t="s">
        <v>4029</v>
      </c>
      <c r="O48" s="717"/>
      <c r="P48" s="299" t="s">
        <v>6933</v>
      </c>
      <c r="Q48" s="420"/>
    </row>
    <row r="49" spans="1:31" ht="12.75" customHeight="1">
      <c r="A49" s="112"/>
      <c r="B49" s="372" t="s">
        <v>2183</v>
      </c>
      <c r="C49" s="372" t="s">
        <v>3801</v>
      </c>
      <c r="D49" s="103"/>
      <c r="E49" s="103"/>
      <c r="F49" s="103"/>
      <c r="G49" s="103"/>
      <c r="H49" s="103"/>
      <c r="I49" s="35"/>
      <c r="J49" s="35"/>
      <c r="N49" s="108" t="s">
        <v>4030</v>
      </c>
      <c r="O49" s="717"/>
      <c r="P49" s="176" t="s">
        <v>6934</v>
      </c>
      <c r="Q49" s="421"/>
    </row>
    <row r="50" spans="1:31" ht="12.75" customHeight="1">
      <c r="A50" s="112"/>
      <c r="B50" s="372"/>
      <c r="C50" s="108" t="s">
        <v>3802</v>
      </c>
      <c r="D50" s="103"/>
      <c r="E50" s="103"/>
      <c r="F50" s="103"/>
      <c r="G50" s="103"/>
      <c r="H50" s="103"/>
      <c r="I50" s="35"/>
      <c r="J50" s="35"/>
      <c r="L50" s="3281"/>
      <c r="M50" s="3282"/>
      <c r="N50" s="3282"/>
      <c r="O50" s="3282"/>
      <c r="P50" s="3282"/>
      <c r="Q50" s="3283"/>
    </row>
    <row r="51" spans="1:31" ht="12.75" customHeight="1">
      <c r="A51" s="112"/>
      <c r="B51" s="372" t="s">
        <v>1449</v>
      </c>
      <c r="C51" s="3218" t="s">
        <v>3799</v>
      </c>
      <c r="D51" s="3218"/>
      <c r="E51" s="3218"/>
      <c r="F51" s="3218"/>
      <c r="G51" s="3218"/>
      <c r="H51" s="3218"/>
      <c r="I51" s="3218"/>
      <c r="J51" s="3218"/>
      <c r="K51" s="3218"/>
      <c r="L51" s="3218"/>
      <c r="M51" s="413"/>
      <c r="N51" s="108" t="s">
        <v>4031</v>
      </c>
      <c r="O51" s="717"/>
      <c r="P51" s="373" t="s">
        <v>6933</v>
      </c>
      <c r="Q51" s="418"/>
    </row>
    <row r="52" spans="1:31" ht="12.75" customHeight="1">
      <c r="A52" s="40"/>
      <c r="C52" s="3218"/>
      <c r="D52" s="3218"/>
      <c r="E52" s="3218"/>
      <c r="F52" s="3218"/>
      <c r="G52" s="3218"/>
      <c r="H52" s="3218"/>
      <c r="I52" s="3218"/>
      <c r="J52" s="3218"/>
      <c r="K52" s="3218"/>
      <c r="L52" s="3218"/>
      <c r="M52" s="413"/>
    </row>
    <row r="53" spans="1:31" ht="10.5" customHeight="1">
      <c r="B53" s="73" t="s">
        <v>3243</v>
      </c>
      <c r="D53" s="73"/>
      <c r="E53" s="73"/>
      <c r="F53" s="73"/>
      <c r="G53" s="73"/>
      <c r="H53" s="33"/>
      <c r="I53" s="893"/>
      <c r="J53" s="893"/>
      <c r="K53" s="105" t="s">
        <v>1730</v>
      </c>
      <c r="L53" s="686"/>
      <c r="M53" s="686"/>
      <c r="N53" s="686"/>
      <c r="O53" s="686"/>
      <c r="P53" s="686"/>
      <c r="Q53" s="686"/>
    </row>
    <row r="54" spans="1:31" ht="21.75" customHeight="1">
      <c r="A54" s="3215" t="s">
        <v>6955</v>
      </c>
      <c r="B54" s="3216"/>
      <c r="C54" s="3216"/>
      <c r="D54" s="3216"/>
      <c r="E54" s="3216"/>
      <c r="F54" s="3216"/>
      <c r="G54" s="3216"/>
      <c r="H54" s="3216"/>
      <c r="I54" s="3216"/>
      <c r="J54" s="3217"/>
      <c r="K54" s="3219"/>
      <c r="L54" s="3220"/>
      <c r="M54" s="3220"/>
      <c r="N54" s="3220"/>
      <c r="O54" s="3220"/>
      <c r="P54" s="3220"/>
      <c r="Q54" s="3221"/>
      <c r="R54" s="354" t="s">
        <v>1181</v>
      </c>
      <c r="U54" s="104"/>
      <c r="V54" s="104"/>
      <c r="W54" s="104"/>
      <c r="X54" s="104"/>
      <c r="Y54" s="104"/>
      <c r="Z54" s="104"/>
      <c r="AA54" s="104"/>
      <c r="AB54" s="104"/>
      <c r="AC54" s="104"/>
      <c r="AD54" s="104"/>
      <c r="AE54" s="104"/>
    </row>
    <row r="55" spans="1:31" ht="4.5" customHeight="1">
      <c r="A55" s="686"/>
      <c r="B55" s="893"/>
      <c r="C55" s="889"/>
      <c r="D55" s="889"/>
      <c r="E55" s="889"/>
      <c r="F55" s="889"/>
      <c r="G55" s="889"/>
      <c r="H55" s="889"/>
      <c r="I55" s="889"/>
      <c r="J55" s="889"/>
      <c r="K55" s="889"/>
      <c r="L55" s="889"/>
      <c r="M55" s="889"/>
      <c r="N55" s="889"/>
      <c r="O55" s="889"/>
      <c r="P55" s="889"/>
      <c r="Q55" s="686"/>
    </row>
    <row r="56" spans="1:31" ht="14.1" customHeight="1">
      <c r="A56" s="2" t="s">
        <v>1669</v>
      </c>
      <c r="B56" s="2" t="s">
        <v>4024</v>
      </c>
      <c r="C56" s="2"/>
      <c r="D56" s="889"/>
      <c r="E56" s="889"/>
      <c r="F56" s="889"/>
      <c r="G56" s="889"/>
      <c r="H56" s="1328" t="str">
        <f>'Part I-Project Identification'!$K$32</f>
        <v>Urban</v>
      </c>
      <c r="J56" s="1812" t="s">
        <v>6645</v>
      </c>
      <c r="K56" s="430" t="str">
        <f>'Part VIII Scoring Criteria'!$M$59</f>
        <v>N/A-4%</v>
      </c>
      <c r="L56" s="1812" t="s">
        <v>3826</v>
      </c>
      <c r="M56" s="867" t="str">
        <f>J35</f>
        <v>Family</v>
      </c>
      <c r="O56" s="101" t="s">
        <v>1731</v>
      </c>
      <c r="P56" s="3236"/>
      <c r="Q56" s="3225"/>
    </row>
    <row r="57" spans="1:31" ht="3" customHeight="1"/>
    <row r="58" spans="1:31" ht="12.75" customHeight="1">
      <c r="A58" s="40" t="s">
        <v>1842</v>
      </c>
      <c r="B58" s="32" t="s">
        <v>2265</v>
      </c>
      <c r="D58" s="103"/>
      <c r="E58" s="103"/>
      <c r="F58" s="103"/>
      <c r="G58" s="103"/>
      <c r="H58" s="103"/>
      <c r="I58" s="35"/>
      <c r="J58" s="35"/>
      <c r="K58" s="35"/>
      <c r="L58" s="48" t="s">
        <v>1842</v>
      </c>
      <c r="M58" s="3312" t="s">
        <v>6976</v>
      </c>
      <c r="N58" s="3313"/>
      <c r="O58" s="3313"/>
      <c r="P58" s="3314"/>
      <c r="Q58" s="419"/>
    </row>
    <row r="59" spans="1:31" ht="12.75" customHeight="1">
      <c r="A59" s="40" t="s">
        <v>1844</v>
      </c>
      <c r="B59" s="29" t="s">
        <v>3951</v>
      </c>
      <c r="D59" s="103"/>
      <c r="E59" s="103"/>
      <c r="F59" s="103"/>
      <c r="L59" s="48" t="s">
        <v>1844</v>
      </c>
      <c r="M59" s="3255" t="s">
        <v>7002</v>
      </c>
      <c r="N59" s="3256"/>
      <c r="O59" s="3256"/>
      <c r="P59" s="2824"/>
      <c r="Q59" s="420"/>
    </row>
    <row r="60" spans="1:31" ht="12.75" customHeight="1">
      <c r="A60" s="40" t="s">
        <v>698</v>
      </c>
      <c r="B60" s="29" t="s">
        <v>2560</v>
      </c>
      <c r="D60" s="103"/>
      <c r="E60" s="103"/>
      <c r="F60" s="103"/>
      <c r="L60" s="48" t="s">
        <v>698</v>
      </c>
      <c r="M60" s="3251">
        <v>0.96799999999999997</v>
      </c>
      <c r="N60" s="3252"/>
      <c r="O60" s="3252"/>
      <c r="P60" s="3253"/>
      <c r="Q60" s="420"/>
    </row>
    <row r="61" spans="1:31" ht="12.75" customHeight="1">
      <c r="A61" s="40" t="s">
        <v>1963</v>
      </c>
      <c r="B61" s="29" t="s">
        <v>3308</v>
      </c>
      <c r="D61" s="103"/>
      <c r="E61" s="103"/>
      <c r="F61" s="103"/>
      <c r="J61" s="48" t="s">
        <v>3309</v>
      </c>
      <c r="K61" s="1533">
        <v>1.4E-2</v>
      </c>
      <c r="L61" s="1530"/>
      <c r="M61" s="1532"/>
      <c r="N61" s="1531"/>
      <c r="O61" s="877" t="s">
        <v>3394</v>
      </c>
      <c r="P61" s="878">
        <v>0</v>
      </c>
      <c r="Q61" s="1529"/>
    </row>
    <row r="62" spans="1:31" ht="12.75" customHeight="1">
      <c r="A62" s="40" t="s">
        <v>1613</v>
      </c>
      <c r="B62" s="29" t="s">
        <v>3952</v>
      </c>
      <c r="D62" s="108"/>
      <c r="E62" s="108"/>
      <c r="F62" s="108"/>
      <c r="G62" s="108"/>
      <c r="H62" s="108"/>
      <c r="I62" s="108"/>
      <c r="J62" s="108"/>
      <c r="K62" s="108"/>
      <c r="L62" s="108"/>
      <c r="M62" s="108"/>
      <c r="N62" s="108"/>
      <c r="O62" s="108"/>
      <c r="P62" s="108"/>
      <c r="Q62" s="108"/>
    </row>
    <row r="63" spans="1:31" ht="12.75" customHeight="1">
      <c r="B63" s="40"/>
      <c r="C63" s="29"/>
      <c r="D63" s="893" t="s">
        <v>2194</v>
      </c>
      <c r="E63" s="33" t="s">
        <v>574</v>
      </c>
      <c r="F63" s="33"/>
      <c r="H63" s="29"/>
      <c r="I63" s="893" t="s">
        <v>2194</v>
      </c>
      <c r="J63" s="33" t="s">
        <v>574</v>
      </c>
      <c r="K63" s="33"/>
      <c r="M63" s="29"/>
      <c r="N63" s="893" t="s">
        <v>2194</v>
      </c>
      <c r="O63" s="33" t="s">
        <v>574</v>
      </c>
      <c r="P63" s="33"/>
      <c r="Q63" s="48"/>
    </row>
    <row r="64" spans="1:31" ht="12.75" customHeight="1">
      <c r="C64" s="48" t="s">
        <v>1615</v>
      </c>
      <c r="D64" s="384" t="s">
        <v>6965</v>
      </c>
      <c r="E64" s="3257" t="s">
        <v>6964</v>
      </c>
      <c r="F64" s="3257"/>
      <c r="G64" s="3257"/>
      <c r="H64" s="48" t="s">
        <v>2183</v>
      </c>
      <c r="I64" s="384" t="s">
        <v>6969</v>
      </c>
      <c r="J64" s="3257" t="s">
        <v>6968</v>
      </c>
      <c r="K64" s="3257"/>
      <c r="L64" s="3257"/>
      <c r="M64" s="48" t="s">
        <v>93</v>
      </c>
      <c r="N64" s="384" t="s">
        <v>6974</v>
      </c>
      <c r="O64" s="3257" t="s">
        <v>6972</v>
      </c>
      <c r="P64" s="3257"/>
      <c r="Q64" s="3257"/>
    </row>
    <row r="65" spans="1:31" ht="12.75" customHeight="1">
      <c r="C65" s="49" t="s">
        <v>1616</v>
      </c>
      <c r="D65" s="1775" t="s">
        <v>6967</v>
      </c>
      <c r="E65" s="3367" t="s">
        <v>6966</v>
      </c>
      <c r="F65" s="3367"/>
      <c r="G65" s="3367"/>
      <c r="H65" s="48" t="s">
        <v>1449</v>
      </c>
      <c r="I65" s="1775" t="s">
        <v>6970</v>
      </c>
      <c r="J65" s="3367" t="s">
        <v>6971</v>
      </c>
      <c r="K65" s="3367"/>
      <c r="L65" s="3367"/>
      <c r="M65" s="48" t="s">
        <v>481</v>
      </c>
      <c r="N65" s="1775" t="s">
        <v>6975</v>
      </c>
      <c r="O65" s="3367" t="s">
        <v>6973</v>
      </c>
      <c r="P65" s="3367"/>
      <c r="Q65" s="3367"/>
    </row>
    <row r="66" spans="1:31" ht="12.75" customHeight="1">
      <c r="C66" s="49" t="s">
        <v>1617</v>
      </c>
      <c r="D66" s="385"/>
      <c r="E66" s="3307"/>
      <c r="F66" s="3307"/>
      <c r="G66" s="3307"/>
      <c r="H66" s="48" t="s">
        <v>1450</v>
      </c>
      <c r="I66" s="385"/>
      <c r="J66" s="3307"/>
      <c r="K66" s="3307"/>
      <c r="L66" s="3307"/>
      <c r="M66" s="48" t="s">
        <v>482</v>
      </c>
      <c r="N66" s="385"/>
      <c r="O66" s="3307"/>
      <c r="P66" s="3307"/>
      <c r="Q66" s="3307"/>
    </row>
    <row r="67" spans="1:31" ht="12.75" customHeight="1">
      <c r="A67" s="40" t="s">
        <v>1614</v>
      </c>
      <c r="B67" s="29" t="s">
        <v>6112</v>
      </c>
      <c r="D67" s="103"/>
      <c r="E67" s="103"/>
      <c r="F67" s="103"/>
      <c r="G67" s="103"/>
      <c r="H67" s="103"/>
      <c r="I67" s="35"/>
      <c r="J67" s="35"/>
      <c r="K67" s="103"/>
      <c r="L67" s="891"/>
      <c r="M67" s="891"/>
      <c r="O67" s="48" t="s">
        <v>1614</v>
      </c>
      <c r="P67" s="1289" t="s">
        <v>2652</v>
      </c>
      <c r="Q67" s="1290"/>
    </row>
    <row r="68" spans="1:31" ht="12.75" customHeight="1">
      <c r="A68" s="40" t="s">
        <v>1808</v>
      </c>
      <c r="B68" s="29" t="s">
        <v>6113</v>
      </c>
      <c r="D68" s="103"/>
      <c r="E68" s="103"/>
      <c r="F68" s="103"/>
      <c r="G68" s="103"/>
      <c r="H68" s="103"/>
      <c r="I68" s="35"/>
      <c r="J68" s="35"/>
      <c r="K68" s="103"/>
      <c r="L68" s="891"/>
      <c r="M68" s="891"/>
      <c r="O68" s="48" t="s">
        <v>1808</v>
      </c>
      <c r="P68" s="299" t="s">
        <v>2652</v>
      </c>
      <c r="Q68" s="420"/>
    </row>
    <row r="69" spans="1:31" ht="10.5" customHeight="1">
      <c r="A69" s="40" t="s">
        <v>3007</v>
      </c>
      <c r="B69" s="29" t="s">
        <v>6114</v>
      </c>
      <c r="D69" s="103"/>
      <c r="E69" s="103"/>
      <c r="F69" s="103"/>
      <c r="G69" s="103"/>
      <c r="H69" s="103"/>
      <c r="I69" s="35"/>
      <c r="J69" s="35"/>
      <c r="K69" s="103"/>
      <c r="L69" s="891"/>
      <c r="M69" s="891"/>
      <c r="O69" s="48" t="s">
        <v>3007</v>
      </c>
      <c r="P69" s="878">
        <v>0.98</v>
      </c>
      <c r="Q69" s="1529"/>
    </row>
    <row r="70" spans="1:31" ht="9.75" customHeight="1">
      <c r="B70" s="109" t="s">
        <v>3243</v>
      </c>
      <c r="D70" s="109"/>
      <c r="E70" s="109"/>
      <c r="F70" s="109"/>
      <c r="G70" s="109"/>
      <c r="H70" s="33"/>
      <c r="I70" s="893"/>
      <c r="J70" s="893"/>
      <c r="K70" s="893"/>
      <c r="L70" s="686"/>
      <c r="M70" s="686"/>
      <c r="N70" s="686"/>
      <c r="O70" s="686"/>
      <c r="P70" s="686"/>
      <c r="Q70" s="686"/>
    </row>
    <row r="71" spans="1:31" ht="55.5" customHeight="1">
      <c r="A71" s="3215" t="s">
        <v>7003</v>
      </c>
      <c r="B71" s="3216"/>
      <c r="C71" s="3216"/>
      <c r="D71" s="3216"/>
      <c r="E71" s="3216"/>
      <c r="F71" s="3216"/>
      <c r="G71" s="3216"/>
      <c r="H71" s="3216"/>
      <c r="I71" s="3216"/>
      <c r="J71" s="3216"/>
      <c r="K71" s="3216"/>
      <c r="L71" s="3216"/>
      <c r="M71" s="3216"/>
      <c r="N71" s="3216"/>
      <c r="O71" s="3216"/>
      <c r="P71" s="3216"/>
      <c r="Q71" s="3217"/>
      <c r="U71" s="104"/>
      <c r="V71" s="104"/>
      <c r="W71" s="104"/>
      <c r="X71" s="104"/>
      <c r="Y71" s="104"/>
      <c r="Z71" s="104"/>
      <c r="AA71" s="104"/>
      <c r="AB71" s="104"/>
      <c r="AC71" s="104"/>
      <c r="AD71" s="104"/>
      <c r="AE71" s="104"/>
    </row>
    <row r="72" spans="1:31" ht="9.75" customHeight="1">
      <c r="B72" s="105" t="s">
        <v>1730</v>
      </c>
      <c r="C72" s="106"/>
      <c r="D72" s="889"/>
      <c r="E72" s="889"/>
      <c r="F72" s="889"/>
      <c r="G72" s="889"/>
      <c r="H72" s="889"/>
      <c r="I72" s="889"/>
      <c r="J72" s="889"/>
      <c r="K72" s="889"/>
      <c r="L72" s="889"/>
      <c r="M72" s="889"/>
      <c r="N72" s="889"/>
      <c r="O72" s="889"/>
      <c r="P72" s="889"/>
      <c r="Q72" s="889"/>
    </row>
    <row r="73" spans="1:31" ht="33" customHeight="1">
      <c r="A73" s="3219"/>
      <c r="B73" s="3220"/>
      <c r="C73" s="3220"/>
      <c r="D73" s="3220"/>
      <c r="E73" s="3220"/>
      <c r="F73" s="3220"/>
      <c r="G73" s="3220"/>
      <c r="H73" s="3220"/>
      <c r="I73" s="3220"/>
      <c r="J73" s="3220"/>
      <c r="K73" s="3220"/>
      <c r="L73" s="3220"/>
      <c r="M73" s="3220"/>
      <c r="N73" s="3220"/>
      <c r="O73" s="3220"/>
      <c r="P73" s="3220"/>
      <c r="Q73" s="3221"/>
    </row>
    <row r="74" spans="1:31" ht="14.1" customHeight="1">
      <c r="A74" s="2" t="s">
        <v>496</v>
      </c>
      <c r="B74" s="2" t="s">
        <v>2424</v>
      </c>
      <c r="C74" s="2"/>
      <c r="D74" s="889"/>
      <c r="E74" s="889"/>
      <c r="F74" s="889"/>
      <c r="G74" s="889"/>
      <c r="H74" s="889"/>
      <c r="I74" s="889"/>
      <c r="J74" s="889"/>
      <c r="K74" s="889"/>
      <c r="L74" s="889"/>
      <c r="M74" s="889"/>
      <c r="O74" s="101" t="s">
        <v>1731</v>
      </c>
      <c r="P74" s="3236"/>
      <c r="Q74" s="3225"/>
    </row>
    <row r="75" spans="1:31" ht="3" customHeight="1"/>
    <row r="76" spans="1:31" ht="12.75" customHeight="1">
      <c r="A76" s="40" t="s">
        <v>1842</v>
      </c>
      <c r="B76" s="29" t="s">
        <v>4032</v>
      </c>
      <c r="C76" s="29"/>
      <c r="E76" s="29"/>
      <c r="F76" s="29"/>
      <c r="G76" s="29"/>
      <c r="H76" s="29"/>
      <c r="I76" s="29"/>
      <c r="J76" s="29"/>
      <c r="K76" s="29"/>
      <c r="L76" s="33"/>
      <c r="M76" s="33"/>
      <c r="O76" s="48" t="s">
        <v>1842</v>
      </c>
      <c r="P76" s="373" t="s">
        <v>2652</v>
      </c>
      <c r="Q76" s="1290"/>
    </row>
    <row r="77" spans="1:31" ht="12.75" customHeight="1">
      <c r="B77" s="1222" t="s">
        <v>1615</v>
      </c>
      <c r="C77" s="32" t="s">
        <v>515</v>
      </c>
      <c r="E77" s="35"/>
      <c r="F77" s="35"/>
      <c r="G77" s="35"/>
      <c r="H77" s="35"/>
      <c r="I77" s="35"/>
      <c r="L77" s="49" t="s">
        <v>516</v>
      </c>
      <c r="M77" s="3281" t="s">
        <v>6935</v>
      </c>
      <c r="N77" s="3282"/>
      <c r="O77" s="3282"/>
      <c r="P77" s="3376"/>
      <c r="Q77" s="420"/>
    </row>
    <row r="78" spans="1:31" s="35" customFormat="1" ht="12.75" customHeight="1">
      <c r="B78" s="113" t="s">
        <v>1616</v>
      </c>
      <c r="C78" s="29" t="s">
        <v>3841</v>
      </c>
      <c r="O78" s="49" t="s">
        <v>1616</v>
      </c>
      <c r="P78" s="1289" t="s">
        <v>2652</v>
      </c>
      <c r="Q78" s="1290"/>
    </row>
    <row r="79" spans="1:31" s="35" customFormat="1" ht="12.75" customHeight="1">
      <c r="B79" s="1222" t="s">
        <v>1617</v>
      </c>
      <c r="C79" s="29" t="s">
        <v>4059</v>
      </c>
      <c r="O79" s="117" t="s">
        <v>1617</v>
      </c>
      <c r="P79" s="1404">
        <v>45062</v>
      </c>
      <c r="Q79" s="1405"/>
    </row>
    <row r="80" spans="1:31" ht="12.75" customHeight="1">
      <c r="A80" s="893"/>
      <c r="B80" s="372" t="s">
        <v>2183</v>
      </c>
      <c r="C80" s="33" t="s">
        <v>3803</v>
      </c>
      <c r="D80" s="800"/>
      <c r="E80" s="800"/>
      <c r="F80" s="800"/>
      <c r="G80" s="800"/>
      <c r="H80" s="800"/>
      <c r="I80" s="800"/>
      <c r="J80" s="800"/>
      <c r="K80" s="800"/>
      <c r="L80" s="800"/>
      <c r="M80" s="800"/>
      <c r="O80" s="128" t="s">
        <v>2183</v>
      </c>
      <c r="P80" s="794" t="s">
        <v>2652</v>
      </c>
      <c r="Q80" s="420"/>
    </row>
    <row r="81" spans="1:31" ht="12.75" customHeight="1">
      <c r="A81" s="893"/>
      <c r="B81" s="372" t="s">
        <v>1449</v>
      </c>
      <c r="C81" s="33" t="s">
        <v>3082</v>
      </c>
      <c r="D81" s="800"/>
      <c r="E81" s="800"/>
      <c r="F81" s="800"/>
      <c r="G81" s="800"/>
      <c r="H81" s="800"/>
      <c r="I81" s="800"/>
      <c r="J81" s="800"/>
      <c r="K81" s="800"/>
      <c r="L81" s="800"/>
      <c r="M81" s="800"/>
      <c r="O81" s="128" t="s">
        <v>1449</v>
      </c>
      <c r="P81" s="299" t="s">
        <v>2652</v>
      </c>
      <c r="Q81" s="420"/>
    </row>
    <row r="82" spans="1:31" ht="12.75" customHeight="1">
      <c r="A82" s="893"/>
      <c r="B82" s="372" t="s">
        <v>1450</v>
      </c>
      <c r="C82" s="33" t="s">
        <v>3083</v>
      </c>
      <c r="D82" s="800"/>
      <c r="E82" s="800"/>
      <c r="F82" s="800"/>
      <c r="G82" s="800"/>
      <c r="H82" s="800"/>
      <c r="I82" s="800"/>
      <c r="J82" s="800"/>
      <c r="K82" s="800"/>
      <c r="L82" s="800"/>
      <c r="M82" s="800"/>
      <c r="O82" s="128" t="s">
        <v>1450</v>
      </c>
      <c r="P82" s="299" t="s">
        <v>2652</v>
      </c>
      <c r="Q82" s="420"/>
    </row>
    <row r="83" spans="1:31" ht="12.75" customHeight="1">
      <c r="A83" s="893"/>
      <c r="B83" s="372" t="s">
        <v>93</v>
      </c>
      <c r="C83" s="33" t="s">
        <v>2561</v>
      </c>
      <c r="D83" s="33"/>
      <c r="E83" s="33"/>
      <c r="F83" s="33"/>
      <c r="G83" s="33"/>
      <c r="H83" s="33"/>
      <c r="I83" s="33"/>
      <c r="J83" s="33"/>
      <c r="K83" s="33"/>
      <c r="L83" s="33"/>
      <c r="M83" s="920"/>
      <c r="O83" s="128" t="s">
        <v>93</v>
      </c>
      <c r="P83" s="299" t="s">
        <v>2652</v>
      </c>
      <c r="Q83" s="420"/>
    </row>
    <row r="84" spans="1:31" s="102" customFormat="1" ht="23.25" customHeight="1">
      <c r="A84" s="347"/>
      <c r="B84" s="372" t="s">
        <v>481</v>
      </c>
      <c r="C84" s="3218" t="s">
        <v>3954</v>
      </c>
      <c r="D84" s="3218"/>
      <c r="E84" s="3218"/>
      <c r="F84" s="3218"/>
      <c r="G84" s="3218"/>
      <c r="H84" s="3218"/>
      <c r="I84" s="3218"/>
      <c r="J84" s="3218"/>
      <c r="K84" s="3218"/>
      <c r="L84" s="3218"/>
      <c r="M84" s="3218"/>
      <c r="N84" s="3218"/>
      <c r="O84" s="128" t="s">
        <v>481</v>
      </c>
      <c r="P84" s="898" t="s">
        <v>907</v>
      </c>
      <c r="Q84" s="897"/>
    </row>
    <row r="85" spans="1:31" ht="12.75" customHeight="1">
      <c r="A85" s="40" t="s">
        <v>1844</v>
      </c>
      <c r="B85" s="29" t="s">
        <v>3953</v>
      </c>
      <c r="C85" s="29"/>
      <c r="E85" s="29"/>
      <c r="F85" s="29"/>
      <c r="G85" s="29"/>
      <c r="H85" s="29"/>
      <c r="I85" s="29"/>
      <c r="J85" s="29"/>
      <c r="K85" s="29"/>
      <c r="L85" s="29"/>
      <c r="M85" s="29"/>
      <c r="O85" s="48" t="s">
        <v>1844</v>
      </c>
      <c r="P85" s="1289" t="s">
        <v>2652</v>
      </c>
      <c r="Q85" s="1290"/>
    </row>
    <row r="86" spans="1:31" ht="12.75" customHeight="1">
      <c r="B86" s="1222" t="s">
        <v>1615</v>
      </c>
      <c r="C86" s="29" t="s">
        <v>4078</v>
      </c>
      <c r="D86" s="29"/>
      <c r="E86" s="29"/>
      <c r="F86" s="29"/>
      <c r="G86" s="29"/>
      <c r="H86" s="29"/>
      <c r="I86" s="29"/>
      <c r="J86" s="29"/>
      <c r="K86" s="29"/>
      <c r="L86" s="29"/>
      <c r="M86" s="29"/>
      <c r="O86" s="117" t="s">
        <v>1615</v>
      </c>
      <c r="P86" s="1289" t="s">
        <v>6926</v>
      </c>
      <c r="Q86" s="1290"/>
    </row>
    <row r="87" spans="1:31" ht="12.75" customHeight="1">
      <c r="A87" s="40"/>
      <c r="B87" s="113" t="s">
        <v>1616</v>
      </c>
      <c r="C87" s="29" t="s">
        <v>4077</v>
      </c>
      <c r="D87" s="29"/>
      <c r="E87" s="29"/>
      <c r="F87" s="29"/>
      <c r="G87" s="29"/>
      <c r="H87" s="29"/>
      <c r="I87" s="29"/>
      <c r="J87" s="29"/>
      <c r="K87" s="29"/>
      <c r="L87" s="29"/>
      <c r="M87" s="29"/>
      <c r="O87" s="49" t="s">
        <v>1616</v>
      </c>
      <c r="P87" s="1402" t="s">
        <v>2652</v>
      </c>
      <c r="Q87" s="1401"/>
    </row>
    <row r="88" spans="1:31" ht="10.5" customHeight="1">
      <c r="B88" s="109" t="s">
        <v>3243</v>
      </c>
      <c r="D88" s="109"/>
      <c r="E88" s="109"/>
      <c r="F88" s="109"/>
      <c r="G88" s="109"/>
      <c r="H88" s="33"/>
      <c r="I88" s="893"/>
      <c r="J88" s="893"/>
      <c r="K88" s="893"/>
      <c r="L88" s="686"/>
      <c r="M88" s="686"/>
      <c r="N88" s="686"/>
      <c r="O88" s="686"/>
      <c r="P88" s="686"/>
      <c r="Q88" s="686"/>
    </row>
    <row r="89" spans="1:31" ht="22.5" customHeight="1">
      <c r="A89" s="3215" t="s">
        <v>7001</v>
      </c>
      <c r="B89" s="3216"/>
      <c r="C89" s="3216"/>
      <c r="D89" s="3216"/>
      <c r="E89" s="3216"/>
      <c r="F89" s="3216"/>
      <c r="G89" s="3216"/>
      <c r="H89" s="3216"/>
      <c r="I89" s="3216"/>
      <c r="J89" s="3216"/>
      <c r="K89" s="3216"/>
      <c r="L89" s="3216"/>
      <c r="M89" s="3216"/>
      <c r="N89" s="3216"/>
      <c r="O89" s="3216"/>
      <c r="P89" s="3216"/>
      <c r="Q89" s="3217"/>
      <c r="U89" s="104"/>
      <c r="V89" s="104"/>
      <c r="W89" s="104"/>
      <c r="X89" s="104"/>
      <c r="Y89" s="104"/>
      <c r="Z89" s="104"/>
      <c r="AA89" s="104"/>
      <c r="AB89" s="104"/>
      <c r="AC89" s="104"/>
      <c r="AD89" s="104"/>
      <c r="AE89" s="104"/>
    </row>
    <row r="90" spans="1:31" ht="11.25" customHeight="1">
      <c r="B90" s="105" t="s">
        <v>1730</v>
      </c>
      <c r="C90" s="106"/>
      <c r="D90" s="889"/>
      <c r="E90" s="889"/>
      <c r="F90" s="889"/>
      <c r="G90" s="889"/>
      <c r="H90" s="889"/>
      <c r="I90" s="889"/>
      <c r="J90" s="889"/>
      <c r="K90" s="889"/>
      <c r="L90" s="889"/>
      <c r="M90" s="889"/>
      <c r="N90" s="889"/>
      <c r="O90" s="889"/>
      <c r="P90" s="889"/>
      <c r="Q90" s="889"/>
    </row>
    <row r="91" spans="1:31" ht="22.5" customHeight="1">
      <c r="A91" s="3219"/>
      <c r="B91" s="3220"/>
      <c r="C91" s="3220"/>
      <c r="D91" s="3220"/>
      <c r="E91" s="3220"/>
      <c r="F91" s="3220"/>
      <c r="G91" s="3220"/>
      <c r="H91" s="3220"/>
      <c r="I91" s="3220"/>
      <c r="J91" s="3220"/>
      <c r="K91" s="3220"/>
      <c r="L91" s="3220"/>
      <c r="M91" s="3220"/>
      <c r="N91" s="3220"/>
      <c r="O91" s="3220"/>
      <c r="P91" s="3220"/>
      <c r="Q91" s="3221"/>
    </row>
    <row r="92" spans="1:31" ht="14.1" customHeight="1">
      <c r="A92" s="2" t="s">
        <v>720</v>
      </c>
      <c r="B92" s="2" t="s">
        <v>2425</v>
      </c>
      <c r="C92" s="33"/>
      <c r="D92" s="889"/>
      <c r="E92" s="889"/>
      <c r="F92" s="889"/>
      <c r="G92" s="889"/>
      <c r="H92" s="889"/>
      <c r="I92" s="889"/>
      <c r="J92" s="889"/>
      <c r="K92" s="889"/>
      <c r="L92" s="889"/>
      <c r="M92" s="889"/>
      <c r="N92" s="858" t="s">
        <v>6541</v>
      </c>
      <c r="O92" s="101" t="s">
        <v>1731</v>
      </c>
      <c r="P92" s="3236"/>
      <c r="Q92" s="3225"/>
      <c r="R92" s="860" t="s">
        <v>6528</v>
      </c>
    </row>
    <row r="93" spans="1:31" ht="6.6" customHeight="1"/>
    <row r="94" spans="1:31">
      <c r="A94" s="40" t="s">
        <v>1842</v>
      </c>
      <c r="B94" s="29" t="s">
        <v>6194</v>
      </c>
      <c r="D94" s="103"/>
      <c r="E94" s="103"/>
      <c r="F94" s="103"/>
      <c r="G94" s="103"/>
      <c r="H94" s="103"/>
      <c r="I94" s="35"/>
      <c r="J94" s="35"/>
      <c r="K94" s="48" t="s">
        <v>1842</v>
      </c>
      <c r="L94" s="3368" t="s">
        <v>6936</v>
      </c>
      <c r="M94" s="3368"/>
      <c r="N94" s="3368"/>
      <c r="O94" s="3368"/>
      <c r="P94" s="3369"/>
      <c r="Q94" s="1792"/>
    </row>
    <row r="95" spans="1:31" ht="12" customHeight="1">
      <c r="B95" s="44" t="s">
        <v>6635</v>
      </c>
      <c r="O95" s="49" t="s">
        <v>1616</v>
      </c>
      <c r="P95" s="299" t="s">
        <v>2655</v>
      </c>
      <c r="Q95" s="420"/>
    </row>
    <row r="96" spans="1:31" ht="12" customHeight="1">
      <c r="B96" s="44" t="s">
        <v>6529</v>
      </c>
      <c r="I96" s="44" t="s">
        <v>6531</v>
      </c>
      <c r="K96" s="1800">
        <v>45044</v>
      </c>
      <c r="L96" s="1801"/>
      <c r="N96" s="44" t="s">
        <v>6530</v>
      </c>
      <c r="P96" s="1798">
        <v>45056</v>
      </c>
      <c r="Q96" s="1799"/>
    </row>
    <row r="97" spans="1:17" ht="12" customHeight="1">
      <c r="A97" s="40" t="s">
        <v>1844</v>
      </c>
      <c r="B97" s="29" t="s">
        <v>6642</v>
      </c>
      <c r="D97" s="103"/>
      <c r="E97" s="103"/>
      <c r="F97" s="103"/>
      <c r="G97" s="103"/>
      <c r="H97" s="103"/>
      <c r="I97" s="35"/>
      <c r="J97" s="35"/>
      <c r="K97" s="103"/>
      <c r="L97" s="891"/>
      <c r="O97" s="48" t="s">
        <v>1844</v>
      </c>
      <c r="P97" s="373" t="s">
        <v>2655</v>
      </c>
      <c r="Q97" s="418"/>
    </row>
    <row r="98" spans="1:17" ht="12" customHeight="1">
      <c r="A98" s="40" t="s">
        <v>698</v>
      </c>
      <c r="B98" s="29" t="s">
        <v>144</v>
      </c>
      <c r="D98" s="103"/>
      <c r="E98" s="103"/>
      <c r="F98" s="103"/>
      <c r="G98" s="103"/>
      <c r="H98" s="103"/>
      <c r="I98" s="35"/>
      <c r="J98" s="35"/>
      <c r="K98" s="891"/>
      <c r="L98" s="154"/>
      <c r="M98" s="1795"/>
      <c r="N98" s="1795"/>
      <c r="O98" s="1796" t="s">
        <v>698</v>
      </c>
      <c r="P98" s="1794" t="s">
        <v>2652</v>
      </c>
      <c r="Q98" s="1793"/>
    </row>
    <row r="99" spans="1:17" ht="12" customHeight="1">
      <c r="A99" s="40"/>
      <c r="B99" s="33" t="s">
        <v>1615</v>
      </c>
      <c r="C99" s="29" t="s">
        <v>2452</v>
      </c>
      <c r="E99" s="103"/>
      <c r="F99" s="103"/>
      <c r="G99" s="103"/>
      <c r="H99" s="103"/>
      <c r="I99" s="35"/>
      <c r="J99" s="35"/>
      <c r="K99" s="49" t="s">
        <v>1615</v>
      </c>
      <c r="L99" s="3272" t="s">
        <v>6985</v>
      </c>
      <c r="M99" s="3272"/>
      <c r="N99" s="3272"/>
      <c r="O99" s="3272"/>
      <c r="P99" s="3273"/>
      <c r="Q99" s="420"/>
    </row>
    <row r="100" spans="1:17" ht="12" customHeight="1">
      <c r="A100" s="107"/>
      <c r="B100" s="113" t="s">
        <v>1616</v>
      </c>
      <c r="C100" s="29" t="s">
        <v>3084</v>
      </c>
      <c r="E100" s="35"/>
      <c r="F100" s="35"/>
      <c r="G100" s="35"/>
      <c r="H100" s="29"/>
      <c r="I100" s="35"/>
      <c r="J100" s="35"/>
      <c r="K100" s="103"/>
      <c r="L100" s="1538"/>
      <c r="M100" s="1538"/>
      <c r="N100" s="1535"/>
      <c r="O100" s="1797" t="s">
        <v>1616</v>
      </c>
      <c r="P100" s="794">
        <v>70</v>
      </c>
      <c r="Q100" s="720"/>
    </row>
    <row r="101" spans="1:17" ht="12" customHeight="1">
      <c r="A101" s="107"/>
      <c r="B101" s="33" t="s">
        <v>1617</v>
      </c>
      <c r="C101" s="29" t="s">
        <v>3790</v>
      </c>
      <c r="D101" s="115"/>
      <c r="E101" s="35"/>
      <c r="F101" s="35"/>
      <c r="G101" s="35"/>
      <c r="H101" s="29"/>
      <c r="I101" s="35"/>
      <c r="J101" s="35"/>
      <c r="K101" s="103"/>
      <c r="L101" s="891"/>
      <c r="M101" s="891"/>
      <c r="O101" s="48" t="s">
        <v>1617</v>
      </c>
      <c r="P101" s="176" t="s">
        <v>2652</v>
      </c>
      <c r="Q101" s="421"/>
    </row>
    <row r="102" spans="1:17" s="115" customFormat="1" ht="12" customHeight="1">
      <c r="A102" s="40" t="s">
        <v>1963</v>
      </c>
      <c r="B102" s="29" t="s">
        <v>6628</v>
      </c>
      <c r="D102" s="103"/>
      <c r="E102" s="103"/>
      <c r="F102" s="103"/>
      <c r="G102" s="103"/>
      <c r="H102" s="103"/>
      <c r="I102" s="72"/>
      <c r="J102" s="72"/>
      <c r="K102" s="103"/>
      <c r="L102" s="891"/>
      <c r="M102" s="891"/>
      <c r="N102" s="891"/>
      <c r="O102" s="48" t="s">
        <v>1963</v>
      </c>
    </row>
    <row r="103" spans="1:17" s="115" customFormat="1" ht="12" customHeight="1">
      <c r="A103" s="40"/>
      <c r="B103" s="33" t="s">
        <v>1615</v>
      </c>
      <c r="C103" s="29" t="s">
        <v>142</v>
      </c>
      <c r="E103" s="103"/>
      <c r="F103" s="103"/>
      <c r="G103" s="103"/>
      <c r="H103" s="103"/>
      <c r="I103" s="72"/>
      <c r="J103" s="72"/>
      <c r="K103" s="103"/>
      <c r="L103" s="891"/>
      <c r="M103" s="891"/>
      <c r="O103" s="48" t="s">
        <v>1615</v>
      </c>
      <c r="P103" s="1289" t="s">
        <v>2655</v>
      </c>
      <c r="Q103" s="1290"/>
    </row>
    <row r="104" spans="1:17" s="115" customFormat="1" ht="12" customHeight="1">
      <c r="A104" s="40"/>
      <c r="B104" s="33" t="s">
        <v>1616</v>
      </c>
      <c r="C104" s="29" t="s">
        <v>6629</v>
      </c>
      <c r="E104" s="103"/>
      <c r="F104" s="103"/>
      <c r="G104" s="103"/>
      <c r="H104" s="72"/>
      <c r="I104" s="72"/>
      <c r="J104" s="72"/>
      <c r="K104" s="103"/>
      <c r="L104" s="891"/>
      <c r="M104" s="891"/>
      <c r="O104" s="48" t="s">
        <v>1616</v>
      </c>
      <c r="P104" s="299" t="s">
        <v>2655</v>
      </c>
      <c r="Q104" s="420"/>
    </row>
    <row r="105" spans="1:17" s="115" customFormat="1" ht="12" customHeight="1">
      <c r="A105" s="40"/>
      <c r="B105" s="33"/>
      <c r="C105" s="29" t="s">
        <v>6630</v>
      </c>
      <c r="E105" s="48" t="s">
        <v>2241</v>
      </c>
      <c r="F105" s="29" t="s">
        <v>6631</v>
      </c>
      <c r="G105" s="72"/>
      <c r="H105" s="29"/>
      <c r="I105" s="72"/>
      <c r="J105" s="72"/>
      <c r="K105" s="103"/>
      <c r="L105" s="891"/>
      <c r="M105" s="891"/>
      <c r="O105" s="48" t="s">
        <v>2241</v>
      </c>
      <c r="P105" s="1862" t="s">
        <v>907</v>
      </c>
      <c r="Q105" s="1863"/>
    </row>
    <row r="106" spans="1:17" s="115" customFormat="1" ht="12" customHeight="1">
      <c r="A106" s="40"/>
      <c r="B106" s="33"/>
      <c r="E106" s="48" t="s">
        <v>2242</v>
      </c>
      <c r="F106" s="29" t="s">
        <v>6632</v>
      </c>
      <c r="G106" s="72"/>
      <c r="H106" s="29"/>
      <c r="I106" s="72"/>
      <c r="J106" s="72"/>
      <c r="K106" s="103"/>
      <c r="L106" s="891"/>
      <c r="M106" s="891"/>
      <c r="O106" s="48" t="s">
        <v>2242</v>
      </c>
      <c r="P106" s="299" t="s">
        <v>2655</v>
      </c>
      <c r="Q106" s="420"/>
    </row>
    <row r="107" spans="1:17" s="115" customFormat="1" ht="12" customHeight="1">
      <c r="A107" s="40"/>
      <c r="B107" s="33" t="s">
        <v>1617</v>
      </c>
      <c r="C107" s="29" t="s">
        <v>1187</v>
      </c>
      <c r="E107" s="103"/>
      <c r="F107" s="103"/>
      <c r="G107" s="103"/>
      <c r="H107" s="29"/>
      <c r="I107" s="72"/>
      <c r="J107" s="72"/>
      <c r="K107" s="103"/>
      <c r="L107" s="891"/>
      <c r="M107" s="891"/>
      <c r="O107" s="48" t="s">
        <v>1617</v>
      </c>
      <c r="P107" s="299" t="s">
        <v>2655</v>
      </c>
      <c r="Q107" s="420"/>
    </row>
    <row r="108" spans="1:17" s="115" customFormat="1" ht="12" customHeight="1">
      <c r="A108" s="40"/>
      <c r="B108" s="48"/>
      <c r="C108" s="29" t="s">
        <v>6630</v>
      </c>
      <c r="E108" s="48" t="s">
        <v>2241</v>
      </c>
      <c r="F108" s="29" t="s">
        <v>6633</v>
      </c>
      <c r="G108" s="72"/>
      <c r="H108" s="29"/>
      <c r="I108" s="72"/>
      <c r="J108" s="72"/>
      <c r="K108" s="103"/>
      <c r="L108" s="891"/>
      <c r="O108" s="48" t="s">
        <v>2241</v>
      </c>
      <c r="P108" s="1862">
        <v>0</v>
      </c>
      <c r="Q108" s="1863"/>
    </row>
    <row r="109" spans="1:17" s="115" customFormat="1" ht="12" customHeight="1">
      <c r="A109" s="40"/>
      <c r="B109" s="48"/>
      <c r="E109" s="48" t="s">
        <v>2242</v>
      </c>
      <c r="F109" s="29" t="s">
        <v>6634</v>
      </c>
      <c r="G109" s="72"/>
      <c r="H109" s="29"/>
      <c r="I109" s="72"/>
      <c r="J109" s="72"/>
      <c r="O109" s="48" t="s">
        <v>2242</v>
      </c>
      <c r="P109" s="176" t="s">
        <v>2655</v>
      </c>
      <c r="Q109" s="421"/>
    </row>
    <row r="110" spans="1:17" ht="12" customHeight="1">
      <c r="A110" s="40" t="s">
        <v>1613</v>
      </c>
      <c r="B110" s="113" t="s">
        <v>2224</v>
      </c>
      <c r="D110" s="103"/>
      <c r="E110" s="103"/>
      <c r="F110" s="103"/>
      <c r="G110" s="103"/>
      <c r="H110" s="103"/>
      <c r="I110" s="35"/>
      <c r="J110" s="35"/>
      <c r="K110" s="103"/>
      <c r="M110" s="891"/>
      <c r="N110" s="891"/>
      <c r="O110" s="891"/>
      <c r="P110" s="891"/>
      <c r="Q110" s="891"/>
    </row>
    <row r="111" spans="1:17" ht="12" customHeight="1">
      <c r="A111" s="40"/>
      <c r="B111" s="113" t="s">
        <v>1615</v>
      </c>
      <c r="C111" s="29" t="s">
        <v>1187</v>
      </c>
      <c r="D111" s="103"/>
      <c r="E111" s="113"/>
      <c r="F111" s="1289" t="s">
        <v>2655</v>
      </c>
      <c r="G111" s="1290"/>
      <c r="H111" s="48" t="s">
        <v>3863</v>
      </c>
      <c r="I111" s="29" t="s">
        <v>2503</v>
      </c>
      <c r="J111" s="1289" t="s">
        <v>2652</v>
      </c>
      <c r="K111" s="1290"/>
      <c r="L111" s="48" t="s">
        <v>3867</v>
      </c>
      <c r="M111" s="108" t="s">
        <v>6199</v>
      </c>
      <c r="P111" s="1289" t="s">
        <v>2655</v>
      </c>
      <c r="Q111" s="1290"/>
    </row>
    <row r="112" spans="1:17" ht="12.75" customHeight="1">
      <c r="B112" s="113" t="s">
        <v>1616</v>
      </c>
      <c r="C112" s="29" t="s">
        <v>6195</v>
      </c>
      <c r="E112" s="103"/>
      <c r="F112" s="299" t="s">
        <v>2652</v>
      </c>
      <c r="G112" s="420"/>
      <c r="H112" s="48" t="s">
        <v>3864</v>
      </c>
      <c r="I112" s="29" t="s">
        <v>6115</v>
      </c>
      <c r="J112" s="299" t="s">
        <v>2655</v>
      </c>
      <c r="K112" s="420"/>
      <c r="L112" s="48" t="s">
        <v>3868</v>
      </c>
      <c r="M112" s="44" t="s">
        <v>3285</v>
      </c>
      <c r="O112" s="891"/>
      <c r="P112" s="299" t="s">
        <v>2655</v>
      </c>
      <c r="Q112" s="420"/>
    </row>
    <row r="113" spans="1:31" ht="12" customHeight="1">
      <c r="A113" s="29"/>
      <c r="B113" s="113" t="s">
        <v>1617</v>
      </c>
      <c r="C113" s="29" t="s">
        <v>6196</v>
      </c>
      <c r="E113" s="103"/>
      <c r="F113" s="299" t="s">
        <v>2655</v>
      </c>
      <c r="G113" s="420"/>
      <c r="H113" s="48" t="s">
        <v>3865</v>
      </c>
      <c r="I113" s="29" t="s">
        <v>6116</v>
      </c>
      <c r="J113" s="299" t="s">
        <v>2655</v>
      </c>
      <c r="K113" s="420"/>
      <c r="L113" s="48" t="s">
        <v>3869</v>
      </c>
      <c r="M113" s="29" t="s">
        <v>1451</v>
      </c>
      <c r="P113" s="299" t="s">
        <v>2655</v>
      </c>
      <c r="Q113" s="420"/>
    </row>
    <row r="114" spans="1:31" ht="12" customHeight="1">
      <c r="A114" s="29"/>
      <c r="B114" s="113" t="s">
        <v>2183</v>
      </c>
      <c r="C114" s="44" t="s">
        <v>2416</v>
      </c>
      <c r="E114" s="103"/>
      <c r="F114" s="176" t="s">
        <v>2655</v>
      </c>
      <c r="G114" s="421"/>
      <c r="H114" s="48" t="s">
        <v>3866</v>
      </c>
      <c r="I114" s="44" t="s">
        <v>6197</v>
      </c>
      <c r="J114" s="176" t="s">
        <v>2655</v>
      </c>
      <c r="K114" s="421"/>
      <c r="L114" s="48" t="s">
        <v>6198</v>
      </c>
      <c r="M114" s="44" t="s">
        <v>6117</v>
      </c>
      <c r="P114" s="176" t="s">
        <v>2655</v>
      </c>
      <c r="Q114" s="421"/>
    </row>
    <row r="115" spans="1:31" ht="12" customHeight="1">
      <c r="A115" s="29"/>
      <c r="B115" s="48" t="s">
        <v>6532</v>
      </c>
      <c r="C115" s="29" t="s">
        <v>2504</v>
      </c>
      <c r="E115" s="103"/>
      <c r="F115" s="103"/>
      <c r="G115" s="103"/>
      <c r="H115" s="103"/>
      <c r="I115" s="103"/>
      <c r="J115" s="103"/>
      <c r="K115" s="103"/>
      <c r="L115" s="103"/>
      <c r="M115" s="29"/>
      <c r="O115" s="49"/>
      <c r="P115" s="49"/>
    </row>
    <row r="116" spans="1:31" ht="12" customHeight="1">
      <c r="A116" s="29"/>
      <c r="C116" s="3254" t="s">
        <v>907</v>
      </c>
      <c r="D116" s="3254"/>
      <c r="E116" s="3254"/>
      <c r="F116" s="3254"/>
      <c r="G116" s="3254"/>
      <c r="H116" s="3254"/>
      <c r="I116" s="3254"/>
      <c r="J116" s="3254"/>
      <c r="K116" s="3254"/>
      <c r="L116" s="3254"/>
      <c r="M116" s="3254"/>
      <c r="N116" s="3254"/>
      <c r="O116" s="3254"/>
      <c r="P116" s="3254"/>
      <c r="Q116" s="3254"/>
    </row>
    <row r="117" spans="1:31" ht="12" customHeight="1">
      <c r="A117" s="110" t="s">
        <v>1614</v>
      </c>
      <c r="B117" s="29" t="s">
        <v>3142</v>
      </c>
      <c r="D117" s="103"/>
      <c r="E117" s="103"/>
      <c r="F117" s="103"/>
      <c r="G117" s="103"/>
      <c r="H117" s="103"/>
      <c r="I117" s="35"/>
      <c r="J117" s="35"/>
      <c r="K117" s="103"/>
      <c r="L117" s="103"/>
      <c r="M117" s="891"/>
    </row>
    <row r="118" spans="1:31" ht="12.75" customHeight="1">
      <c r="A118" s="35"/>
      <c r="B118" s="113" t="s">
        <v>1615</v>
      </c>
      <c r="C118" s="29" t="s">
        <v>2505</v>
      </c>
      <c r="E118" s="103"/>
      <c r="F118" s="103"/>
      <c r="G118" s="103"/>
      <c r="H118" s="103"/>
      <c r="O118" s="48" t="s">
        <v>6636</v>
      </c>
      <c r="P118" s="175" t="s">
        <v>2655</v>
      </c>
      <c r="Q118" s="419"/>
    </row>
    <row r="119" spans="1:31" ht="12.75" customHeight="1">
      <c r="A119" s="893"/>
      <c r="B119" s="113" t="s">
        <v>1616</v>
      </c>
      <c r="C119" s="29" t="s">
        <v>461</v>
      </c>
      <c r="E119" s="29"/>
      <c r="F119" s="29"/>
      <c r="G119" s="29"/>
      <c r="H119" s="29"/>
      <c r="I119" s="35"/>
      <c r="J119" s="35"/>
      <c r="K119" s="29"/>
      <c r="L119" s="29"/>
      <c r="M119" s="29"/>
      <c r="O119" s="49" t="s">
        <v>1616</v>
      </c>
      <c r="P119" s="299" t="s">
        <v>2655</v>
      </c>
      <c r="Q119" s="420"/>
    </row>
    <row r="120" spans="1:31" ht="12.75" customHeight="1">
      <c r="A120" s="893"/>
      <c r="B120" s="113" t="s">
        <v>1617</v>
      </c>
      <c r="C120" s="29" t="s">
        <v>635</v>
      </c>
      <c r="E120" s="29"/>
      <c r="F120" s="29"/>
      <c r="G120" s="29"/>
      <c r="H120" s="29"/>
      <c r="I120" s="35"/>
      <c r="J120" s="35"/>
      <c r="K120" s="29"/>
      <c r="L120" s="29"/>
      <c r="M120" s="29"/>
      <c r="O120" s="49" t="s">
        <v>1617</v>
      </c>
      <c r="P120" s="299" t="s">
        <v>2655</v>
      </c>
      <c r="Q120" s="420"/>
    </row>
    <row r="121" spans="1:31" ht="12.75" customHeight="1">
      <c r="A121" s="893"/>
      <c r="B121" s="33" t="s">
        <v>2183</v>
      </c>
      <c r="C121" s="29" t="s">
        <v>3851</v>
      </c>
      <c r="E121" s="29"/>
      <c r="F121" s="29"/>
      <c r="G121" s="29"/>
      <c r="H121" s="29"/>
      <c r="I121" s="35"/>
      <c r="J121" s="35"/>
      <c r="K121" s="29"/>
      <c r="L121" s="29"/>
      <c r="M121" s="29"/>
      <c r="O121" s="48" t="s">
        <v>2183</v>
      </c>
      <c r="P121" s="176" t="s">
        <v>2655</v>
      </c>
      <c r="Q121" s="421"/>
    </row>
    <row r="122" spans="1:31" ht="12" customHeight="1">
      <c r="A122" s="67" t="s">
        <v>3955</v>
      </c>
      <c r="C122" s="29"/>
      <c r="D122" s="103"/>
      <c r="E122" s="103"/>
      <c r="F122" s="103"/>
      <c r="G122" s="103"/>
      <c r="H122" s="103"/>
      <c r="I122" s="35"/>
      <c r="J122" s="35"/>
      <c r="K122" s="103"/>
      <c r="L122" s="103"/>
      <c r="M122" s="891"/>
      <c r="N122" s="891"/>
      <c r="O122" s="891"/>
      <c r="P122" s="891"/>
      <c r="Q122" s="891"/>
      <c r="R122" s="891"/>
    </row>
    <row r="123" spans="1:31" s="1" customFormat="1" ht="24" customHeight="1">
      <c r="A123" s="110" t="s">
        <v>1808</v>
      </c>
      <c r="B123" s="3218" t="s">
        <v>141</v>
      </c>
      <c r="C123" s="3218"/>
      <c r="D123" s="3218"/>
      <c r="E123" s="3218"/>
      <c r="F123" s="3218"/>
      <c r="G123" s="3218"/>
      <c r="H123" s="3218"/>
      <c r="I123" s="3218"/>
      <c r="J123" s="3218"/>
      <c r="K123" s="3218"/>
      <c r="L123" s="3218"/>
      <c r="M123" s="128" t="s">
        <v>1808</v>
      </c>
      <c r="N123" s="3232" t="s">
        <v>1647</v>
      </c>
      <c r="O123" s="3233"/>
      <c r="P123" s="3234" t="s">
        <v>1647</v>
      </c>
      <c r="Q123" s="3235"/>
    </row>
    <row r="124" spans="1:31" ht="11.25" customHeight="1">
      <c r="B124" s="109" t="s">
        <v>3243</v>
      </c>
      <c r="D124" s="109"/>
      <c r="E124" s="109"/>
      <c r="F124" s="109"/>
      <c r="G124" s="109"/>
      <c r="H124" s="33"/>
      <c r="I124" s="893"/>
      <c r="J124" s="893"/>
      <c r="K124" s="893"/>
      <c r="L124" s="686"/>
      <c r="M124" s="686"/>
      <c r="N124" s="686"/>
      <c r="O124" s="686"/>
      <c r="P124" s="686"/>
      <c r="Q124" s="686"/>
    </row>
    <row r="125" spans="1:31" ht="57" customHeight="1">
      <c r="A125" s="3215" t="s">
        <v>6986</v>
      </c>
      <c r="B125" s="3216"/>
      <c r="C125" s="3216"/>
      <c r="D125" s="3216"/>
      <c r="E125" s="3216"/>
      <c r="F125" s="3216"/>
      <c r="G125" s="3216"/>
      <c r="H125" s="3216"/>
      <c r="I125" s="3216"/>
      <c r="J125" s="3216"/>
      <c r="K125" s="3216"/>
      <c r="L125" s="3216"/>
      <c r="M125" s="3216"/>
      <c r="N125" s="3216"/>
      <c r="O125" s="3216"/>
      <c r="P125" s="3216"/>
      <c r="Q125" s="3217"/>
      <c r="R125" s="355" t="s">
        <v>1181</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9"/>
      <c r="E127" s="889"/>
      <c r="F127" s="889"/>
      <c r="G127" s="889"/>
      <c r="H127" s="889"/>
      <c r="I127" s="889"/>
      <c r="J127" s="889"/>
      <c r="K127" s="889"/>
      <c r="L127" s="889"/>
      <c r="M127" s="889"/>
      <c r="N127" s="889"/>
      <c r="O127" s="889"/>
      <c r="P127" s="889"/>
      <c r="Q127" s="889"/>
    </row>
    <row r="128" spans="1:31" ht="45" customHeight="1">
      <c r="A128" s="3219"/>
      <c r="B128" s="3220"/>
      <c r="C128" s="3220"/>
      <c r="D128" s="3220"/>
      <c r="E128" s="3220"/>
      <c r="F128" s="3220"/>
      <c r="G128" s="3220"/>
      <c r="H128" s="3220"/>
      <c r="I128" s="3220"/>
      <c r="J128" s="3220"/>
      <c r="K128" s="3220"/>
      <c r="L128" s="3220"/>
      <c r="M128" s="3220"/>
      <c r="N128" s="3220"/>
      <c r="O128" s="3220"/>
      <c r="P128" s="3220"/>
      <c r="Q128" s="3221"/>
    </row>
    <row r="129" spans="1:31" ht="3" customHeight="1">
      <c r="A129" s="686"/>
      <c r="B129" s="893"/>
      <c r="C129" s="889"/>
      <c r="D129" s="889"/>
      <c r="E129" s="889"/>
      <c r="F129" s="889"/>
      <c r="G129" s="889"/>
      <c r="H129" s="889"/>
      <c r="I129" s="889"/>
      <c r="J129" s="889"/>
      <c r="K129" s="889"/>
      <c r="L129" s="889"/>
      <c r="M129" s="889"/>
      <c r="N129" s="889"/>
      <c r="O129" s="889"/>
      <c r="P129" s="889"/>
      <c r="Q129" s="686"/>
    </row>
    <row r="130" spans="1:31" ht="14.1" customHeight="1">
      <c r="A130" s="2" t="s">
        <v>280</v>
      </c>
      <c r="B130" s="2" t="s">
        <v>2426</v>
      </c>
      <c r="C130" s="2"/>
      <c r="D130" s="889"/>
      <c r="E130" s="889"/>
      <c r="F130" s="889"/>
      <c r="G130" s="889"/>
      <c r="H130" s="889"/>
      <c r="I130" s="889"/>
      <c r="J130" s="889"/>
      <c r="K130" s="889"/>
      <c r="N130" s="858" t="s">
        <v>6541</v>
      </c>
      <c r="O130" s="101" t="s">
        <v>1731</v>
      </c>
      <c r="P130" s="3236"/>
      <c r="Q130" s="3225"/>
      <c r="R130" s="860" t="s">
        <v>6528</v>
      </c>
    </row>
    <row r="131" spans="1:31" ht="12" customHeight="1">
      <c r="A131" s="40" t="s">
        <v>1842</v>
      </c>
      <c r="B131" s="113" t="s">
        <v>1615</v>
      </c>
      <c r="C131" s="29" t="s">
        <v>6543</v>
      </c>
      <c r="D131" s="29"/>
      <c r="E131" s="29"/>
      <c r="F131" s="29"/>
      <c r="G131" s="29"/>
      <c r="K131" s="29" t="s">
        <v>2462</v>
      </c>
      <c r="M131" s="3260"/>
      <c r="N131" s="3261"/>
      <c r="O131" s="49" t="s">
        <v>1615</v>
      </c>
      <c r="P131" s="74"/>
      <c r="Q131" s="417"/>
    </row>
    <row r="132" spans="1:31" ht="12" customHeight="1">
      <c r="A132" s="40"/>
      <c r="B132" s="113" t="s">
        <v>1616</v>
      </c>
      <c r="C132" s="29" t="s">
        <v>4060</v>
      </c>
      <c r="D132" s="29"/>
      <c r="E132" s="29"/>
      <c r="F132" s="29"/>
      <c r="G132" s="29"/>
      <c r="K132" s="29" t="s">
        <v>2462</v>
      </c>
      <c r="M132" s="3260">
        <v>45291</v>
      </c>
      <c r="N132" s="3261"/>
      <c r="O132" s="49" t="s">
        <v>1616</v>
      </c>
      <c r="P132" s="74" t="s">
        <v>2652</v>
      </c>
      <c r="Q132" s="417"/>
    </row>
    <row r="133" spans="1:31" ht="12" customHeight="1">
      <c r="A133" s="40" t="s">
        <v>1844</v>
      </c>
      <c r="B133" s="108" t="s">
        <v>143</v>
      </c>
      <c r="D133" s="108"/>
      <c r="E133" s="108"/>
      <c r="F133" s="29" t="str">
        <f>IF(M133="Ground lease/Option","Ground lease/Option:","")</f>
        <v>Ground lease/Option:</v>
      </c>
      <c r="H133" s="29" t="str">
        <f>IF(M133="Ground lease/Option","Annual Pymt:","")</f>
        <v>Annual Pymt:</v>
      </c>
      <c r="I133" s="1238">
        <f>IF(M133="Ground lease/Option",'Part V-Revenues &amp; Expenses'!$K$251,"")</f>
        <v>0</v>
      </c>
      <c r="J133" s="48" t="str">
        <f>IF(M133="Ground lease/Option","Term:","")</f>
        <v>Term:</v>
      </c>
      <c r="K133" s="1607">
        <f>IF(M133="Ground lease/Option",'Part V-Revenues &amp; Expenses'!$N$251,"")</f>
        <v>75</v>
      </c>
      <c r="L133" s="48" t="s">
        <v>1844</v>
      </c>
      <c r="M133" s="3308" t="s">
        <v>6937</v>
      </c>
      <c r="N133" s="3309"/>
      <c r="P133" s="3310" t="s">
        <v>1647</v>
      </c>
      <c r="Q133" s="3311"/>
    </row>
    <row r="134" spans="1:31" ht="12" customHeight="1">
      <c r="A134" s="40" t="s">
        <v>698</v>
      </c>
      <c r="B134" s="108" t="s">
        <v>636</v>
      </c>
      <c r="D134" s="108"/>
      <c r="E134" s="108"/>
      <c r="F134" s="108"/>
      <c r="G134" s="108"/>
      <c r="H134" s="108"/>
      <c r="J134" s="48" t="s">
        <v>698</v>
      </c>
      <c r="K134" s="3281" t="s">
        <v>6987</v>
      </c>
      <c r="L134" s="3282"/>
      <c r="M134" s="3282"/>
      <c r="N134" s="3282"/>
      <c r="O134" s="3282"/>
      <c r="P134" s="3283"/>
      <c r="Q134" s="417"/>
    </row>
    <row r="135" spans="1:31" ht="21.75" customHeight="1">
      <c r="A135" s="110" t="s">
        <v>1963</v>
      </c>
      <c r="B135" s="3218" t="s">
        <v>6200</v>
      </c>
      <c r="C135" s="3218"/>
      <c r="D135" s="3218"/>
      <c r="E135" s="3218"/>
      <c r="F135" s="3218"/>
      <c r="G135" s="3218"/>
      <c r="H135" s="3218"/>
      <c r="I135" s="3218"/>
      <c r="J135" s="3218"/>
      <c r="K135" s="3218"/>
      <c r="L135" s="3218"/>
      <c r="M135" s="3218"/>
      <c r="N135" s="3218"/>
      <c r="O135" s="128" t="s">
        <v>1963</v>
      </c>
      <c r="P135" s="898" t="s">
        <v>6926</v>
      </c>
      <c r="Q135" s="897"/>
    </row>
    <row r="136" spans="1:31" ht="12" customHeight="1">
      <c r="B136" s="109" t="s">
        <v>3243</v>
      </c>
      <c r="D136" s="109"/>
      <c r="E136" s="109"/>
      <c r="F136" s="109"/>
      <c r="G136" s="109"/>
      <c r="H136" s="33"/>
      <c r="I136" s="893"/>
      <c r="J136" s="893"/>
      <c r="K136" s="893"/>
      <c r="L136" s="686"/>
      <c r="M136" s="686"/>
      <c r="N136" s="686"/>
      <c r="O136" s="686"/>
      <c r="P136" s="686"/>
      <c r="Q136" s="686"/>
    </row>
    <row r="137" spans="1:31" ht="24" customHeight="1">
      <c r="A137" s="3215" t="s">
        <v>6988</v>
      </c>
      <c r="B137" s="3216"/>
      <c r="C137" s="3216"/>
      <c r="D137" s="3216"/>
      <c r="E137" s="3216"/>
      <c r="F137" s="3216"/>
      <c r="G137" s="3216"/>
      <c r="H137" s="3216"/>
      <c r="I137" s="3216"/>
      <c r="J137" s="3216"/>
      <c r="K137" s="3216"/>
      <c r="L137" s="3216"/>
      <c r="M137" s="3216"/>
      <c r="N137" s="3216"/>
      <c r="O137" s="3216"/>
      <c r="P137" s="3216"/>
      <c r="Q137" s="3217"/>
      <c r="U137" s="104"/>
      <c r="V137" s="104"/>
      <c r="W137" s="104"/>
      <c r="X137" s="104"/>
      <c r="Y137" s="104"/>
      <c r="Z137" s="104"/>
      <c r="AA137" s="104"/>
      <c r="AB137" s="104"/>
      <c r="AC137" s="104"/>
      <c r="AD137" s="104"/>
      <c r="AE137" s="104"/>
    </row>
    <row r="138" spans="1:31" ht="12" customHeight="1">
      <c r="B138" s="105" t="s">
        <v>1730</v>
      </c>
      <c r="C138" s="106"/>
      <c r="D138" s="889"/>
      <c r="E138" s="889"/>
      <c r="F138" s="889"/>
      <c r="G138" s="889"/>
      <c r="H138" s="889"/>
      <c r="I138" s="889"/>
      <c r="J138" s="889"/>
      <c r="K138" s="889"/>
      <c r="L138" s="889"/>
      <c r="M138" s="889"/>
      <c r="N138" s="889"/>
      <c r="O138" s="889"/>
      <c r="P138" s="889"/>
      <c r="Q138" s="889"/>
    </row>
    <row r="139" spans="1:31" ht="11.45" customHeight="1">
      <c r="A139" s="3219"/>
      <c r="B139" s="3220"/>
      <c r="C139" s="3220"/>
      <c r="D139" s="3220"/>
      <c r="E139" s="3220"/>
      <c r="F139" s="3220"/>
      <c r="G139" s="3220"/>
      <c r="H139" s="3220"/>
      <c r="I139" s="3220"/>
      <c r="J139" s="3220"/>
      <c r="K139" s="3220"/>
      <c r="L139" s="3220"/>
      <c r="M139" s="3220"/>
      <c r="N139" s="3220"/>
      <c r="O139" s="3220"/>
      <c r="P139" s="3220"/>
      <c r="Q139" s="3221"/>
    </row>
    <row r="140" spans="1:31" ht="3" customHeight="1">
      <c r="A140" s="686"/>
      <c r="B140" s="893"/>
      <c r="C140" s="889"/>
      <c r="D140" s="889"/>
      <c r="E140" s="889"/>
      <c r="F140" s="889"/>
      <c r="G140" s="889"/>
      <c r="H140" s="889"/>
      <c r="I140" s="889"/>
      <c r="J140" s="889"/>
      <c r="K140" s="889"/>
      <c r="L140" s="889"/>
      <c r="M140" s="889"/>
      <c r="Q140" s="686"/>
    </row>
    <row r="141" spans="1:31" ht="14.1" customHeight="1">
      <c r="A141" s="2" t="s">
        <v>401</v>
      </c>
      <c r="B141" s="2" t="s">
        <v>2427</v>
      </c>
      <c r="C141" s="2"/>
      <c r="D141" s="889"/>
      <c r="E141" s="889"/>
      <c r="F141" s="889"/>
      <c r="G141" s="889"/>
      <c r="H141" s="889"/>
      <c r="I141" s="889"/>
      <c r="J141" s="889"/>
      <c r="K141" s="889"/>
      <c r="L141" s="889"/>
      <c r="M141" s="889"/>
      <c r="O141" s="101" t="s">
        <v>1731</v>
      </c>
      <c r="P141" s="3236"/>
      <c r="Q141" s="3225"/>
    </row>
    <row r="142" spans="1:31" ht="21.75" customHeight="1">
      <c r="A142" s="110" t="s">
        <v>1842</v>
      </c>
      <c r="B142" s="3218" t="s">
        <v>3236</v>
      </c>
      <c r="C142" s="3218"/>
      <c r="D142" s="3218"/>
      <c r="E142" s="3218"/>
      <c r="F142" s="3218"/>
      <c r="G142" s="3218"/>
      <c r="H142" s="3218"/>
      <c r="I142" s="3218"/>
      <c r="J142" s="3218"/>
      <c r="K142" s="3218"/>
      <c r="L142" s="3218"/>
      <c r="M142" s="3218"/>
      <c r="N142" s="3218"/>
      <c r="O142" s="128" t="s">
        <v>1842</v>
      </c>
      <c r="P142" s="896" t="s">
        <v>2652</v>
      </c>
      <c r="Q142" s="895"/>
    </row>
    <row r="143" spans="1:31" ht="22.35" customHeight="1">
      <c r="A143" s="110" t="s">
        <v>1844</v>
      </c>
      <c r="B143" s="3218" t="s">
        <v>3804</v>
      </c>
      <c r="C143" s="3218"/>
      <c r="D143" s="3218"/>
      <c r="E143" s="3218"/>
      <c r="F143" s="3218"/>
      <c r="G143" s="3218"/>
      <c r="H143" s="3218"/>
      <c r="I143" s="3218"/>
      <c r="J143" s="3218"/>
      <c r="K143" s="3218"/>
      <c r="L143" s="3218"/>
      <c r="M143" s="3218"/>
      <c r="N143" s="3218"/>
      <c r="O143" s="128" t="s">
        <v>1844</v>
      </c>
      <c r="P143" s="431" t="s">
        <v>2652</v>
      </c>
      <c r="Q143" s="422"/>
    </row>
    <row r="144" spans="1:31" ht="22.35" customHeight="1">
      <c r="A144" s="110" t="s">
        <v>698</v>
      </c>
      <c r="B144" s="3218" t="s">
        <v>3237</v>
      </c>
      <c r="C144" s="3218"/>
      <c r="D144" s="3218"/>
      <c r="E144" s="3218"/>
      <c r="F144" s="3218"/>
      <c r="G144" s="3218"/>
      <c r="H144" s="3218"/>
      <c r="I144" s="3218"/>
      <c r="J144" s="3218"/>
      <c r="K144" s="3218"/>
      <c r="L144" s="3218"/>
      <c r="M144" s="3218"/>
      <c r="N144" s="3218"/>
      <c r="O144" s="128" t="s">
        <v>698</v>
      </c>
      <c r="P144" s="431" t="s">
        <v>2652</v>
      </c>
      <c r="Q144" s="422"/>
    </row>
    <row r="145" spans="1:44" ht="21.75" customHeight="1">
      <c r="A145" s="110" t="s">
        <v>1963</v>
      </c>
      <c r="B145" s="3218" t="s">
        <v>3837</v>
      </c>
      <c r="C145" s="3218"/>
      <c r="D145" s="3218"/>
      <c r="E145" s="3218"/>
      <c r="F145" s="3218"/>
      <c r="G145" s="3218"/>
      <c r="H145" s="3218"/>
      <c r="I145" s="3218"/>
      <c r="J145" s="3218"/>
      <c r="K145" s="3218"/>
      <c r="L145" s="3218"/>
      <c r="M145" s="3218"/>
      <c r="N145" s="3218"/>
      <c r="O145" s="128" t="s">
        <v>1963</v>
      </c>
      <c r="P145" s="898" t="s">
        <v>2652</v>
      </c>
      <c r="Q145" s="897"/>
    </row>
    <row r="146" spans="1:44" ht="12" customHeight="1">
      <c r="B146" s="109" t="s">
        <v>3243</v>
      </c>
      <c r="D146" s="109"/>
      <c r="E146" s="109"/>
      <c r="F146" s="109"/>
      <c r="G146" s="109"/>
      <c r="H146" s="33"/>
      <c r="I146" s="893"/>
      <c r="J146" s="893"/>
      <c r="K146" s="893"/>
      <c r="L146" s="686"/>
      <c r="M146" s="686"/>
      <c r="N146" s="686"/>
      <c r="O146" s="686"/>
      <c r="P146" s="686"/>
      <c r="Q146" s="686"/>
    </row>
    <row r="147" spans="1:44" ht="11.45" customHeight="1">
      <c r="A147" s="3215" t="s">
        <v>6983</v>
      </c>
      <c r="B147" s="3216"/>
      <c r="C147" s="3216"/>
      <c r="D147" s="3216"/>
      <c r="E147" s="3216"/>
      <c r="F147" s="3216"/>
      <c r="G147" s="3216"/>
      <c r="H147" s="3216"/>
      <c r="I147" s="3216"/>
      <c r="J147" s="3216"/>
      <c r="K147" s="3216"/>
      <c r="L147" s="3216"/>
      <c r="M147" s="3216"/>
      <c r="N147" s="3216"/>
      <c r="O147" s="3216"/>
      <c r="P147" s="3216"/>
      <c r="Q147" s="3217"/>
      <c r="U147" s="104"/>
      <c r="V147" s="104"/>
      <c r="W147" s="104"/>
      <c r="X147" s="104"/>
      <c r="Y147" s="104"/>
      <c r="Z147" s="104"/>
      <c r="AA147" s="104"/>
      <c r="AB147" s="104"/>
      <c r="AC147" s="104"/>
      <c r="AD147" s="104"/>
      <c r="AE147" s="104"/>
    </row>
    <row r="148" spans="1:44" ht="12" customHeight="1">
      <c r="B148" s="105" t="s">
        <v>1730</v>
      </c>
      <c r="C148" s="106"/>
      <c r="D148" s="889"/>
      <c r="E148" s="889"/>
      <c r="F148" s="889"/>
      <c r="G148" s="889"/>
      <c r="H148" s="889"/>
      <c r="I148" s="889"/>
      <c r="J148" s="889"/>
      <c r="K148" s="889"/>
      <c r="L148" s="889"/>
      <c r="M148" s="889"/>
      <c r="N148" s="889"/>
      <c r="O148" s="889"/>
      <c r="P148" s="889"/>
      <c r="Q148" s="889"/>
    </row>
    <row r="149" spans="1:44" ht="11.45" customHeight="1">
      <c r="A149" s="3219"/>
      <c r="B149" s="3220"/>
      <c r="C149" s="3220"/>
      <c r="D149" s="3220"/>
      <c r="E149" s="3220"/>
      <c r="F149" s="3220"/>
      <c r="G149" s="3220"/>
      <c r="H149" s="3220"/>
      <c r="I149" s="3220"/>
      <c r="J149" s="3220"/>
      <c r="K149" s="3220"/>
      <c r="L149" s="3220"/>
      <c r="M149" s="3220"/>
      <c r="N149" s="3220"/>
      <c r="O149" s="3220"/>
      <c r="P149" s="3220"/>
      <c r="Q149" s="3221"/>
    </row>
    <row r="150" spans="1:44" ht="3" customHeight="1">
      <c r="B150" s="893"/>
      <c r="C150" s="889"/>
      <c r="D150" s="889"/>
      <c r="E150" s="889"/>
      <c r="F150" s="889"/>
      <c r="G150" s="889"/>
      <c r="H150" s="889"/>
      <c r="I150" s="889"/>
      <c r="J150" s="889"/>
      <c r="K150" s="889"/>
      <c r="L150" s="889"/>
      <c r="M150" s="889"/>
      <c r="N150" s="889"/>
      <c r="O150" s="889"/>
      <c r="P150" s="889"/>
      <c r="Q150" s="686"/>
    </row>
    <row r="151" spans="1:44" ht="14.1" customHeight="1">
      <c r="A151" s="23" t="s">
        <v>342</v>
      </c>
      <c r="B151" s="3165" t="s">
        <v>2428</v>
      </c>
      <c r="C151" s="3165"/>
      <c r="D151" s="3165"/>
      <c r="E151" s="236"/>
      <c r="N151" s="858" t="s">
        <v>6541</v>
      </c>
      <c r="O151" s="101" t="s">
        <v>1731</v>
      </c>
      <c r="P151" s="3236"/>
      <c r="Q151" s="3225"/>
      <c r="R151" s="860" t="s">
        <v>6528</v>
      </c>
    </row>
    <row r="152" spans="1:44" customFormat="1" ht="11.45" customHeight="1">
      <c r="B152" s="44" t="s">
        <v>6666</v>
      </c>
      <c r="N152" s="92"/>
      <c r="O152" s="92"/>
      <c r="P152" s="92"/>
      <c r="Q152" s="92"/>
      <c r="S152" s="1413"/>
      <c r="T152" s="1413"/>
      <c r="U152" s="1413"/>
      <c r="V152" s="1413"/>
      <c r="W152" s="1413"/>
      <c r="X152" s="1413"/>
      <c r="Y152" s="1413"/>
      <c r="Z152" s="1413"/>
      <c r="AA152" s="1413"/>
      <c r="AB152" s="1413"/>
      <c r="AC152" s="1413"/>
      <c r="AD152" s="1413"/>
      <c r="AE152" s="1413"/>
      <c r="AF152" s="1413"/>
      <c r="AG152" s="1413"/>
      <c r="AH152" s="1413"/>
      <c r="AI152" s="1413"/>
      <c r="AJ152" s="1413"/>
      <c r="AK152" s="1413"/>
      <c r="AL152" s="1413"/>
      <c r="AM152" s="1413"/>
      <c r="AN152" s="1413"/>
      <c r="AO152" s="1413"/>
      <c r="AP152" s="1413"/>
      <c r="AQ152" s="1413"/>
      <c r="AR152" s="1413"/>
    </row>
    <row r="153" spans="1:44" ht="12" customHeight="1">
      <c r="A153" s="110" t="s">
        <v>1842</v>
      </c>
      <c r="B153" s="372" t="s">
        <v>441</v>
      </c>
      <c r="D153" s="372"/>
      <c r="E153" s="372"/>
      <c r="F153" s="372"/>
      <c r="G153" s="372"/>
      <c r="H153" s="372"/>
      <c r="I153" s="372"/>
      <c r="J153" s="372"/>
      <c r="K153" s="372"/>
      <c r="L153" s="372"/>
      <c r="M153" s="372"/>
      <c r="O153" s="128" t="s">
        <v>1842</v>
      </c>
      <c r="P153" s="175" t="s">
        <v>2652</v>
      </c>
      <c r="Q153" s="419"/>
    </row>
    <row r="154" spans="1:44" ht="12" customHeight="1">
      <c r="A154" s="110" t="s">
        <v>1844</v>
      </c>
      <c r="B154" s="372" t="s">
        <v>6118</v>
      </c>
      <c r="D154" s="372"/>
      <c r="E154" s="372"/>
      <c r="F154" s="372"/>
      <c r="G154" s="372"/>
      <c r="H154" s="372"/>
      <c r="I154" s="372"/>
      <c r="J154" s="372"/>
      <c r="K154" s="372"/>
      <c r="L154" s="372"/>
      <c r="M154" s="372"/>
      <c r="O154" s="128" t="s">
        <v>1844</v>
      </c>
      <c r="P154" s="299" t="s">
        <v>2652</v>
      </c>
      <c r="Q154" s="420"/>
    </row>
    <row r="155" spans="1:44" ht="12" customHeight="1">
      <c r="A155" s="110" t="s">
        <v>698</v>
      </c>
      <c r="B155" s="372" t="s">
        <v>2417</v>
      </c>
      <c r="D155" s="372"/>
      <c r="E155" s="372"/>
      <c r="F155" s="372"/>
      <c r="G155" s="372"/>
      <c r="H155" s="372"/>
      <c r="I155" s="372"/>
      <c r="J155" s="108" t="s">
        <v>3839</v>
      </c>
      <c r="L155" s="372"/>
      <c r="M155" s="372"/>
      <c r="O155" s="128" t="s">
        <v>698</v>
      </c>
      <c r="P155" s="299" t="s">
        <v>2652</v>
      </c>
      <c r="Q155" s="420"/>
    </row>
    <row r="156" spans="1:44" ht="12" customHeight="1">
      <c r="B156" s="33" t="s">
        <v>1615</v>
      </c>
      <c r="C156" s="33" t="s">
        <v>2418</v>
      </c>
      <c r="G156" s="372"/>
      <c r="H156" s="372"/>
      <c r="J156" s="372"/>
      <c r="K156" s="372"/>
      <c r="L156" s="372"/>
      <c r="M156" s="372"/>
      <c r="O156" s="352" t="s">
        <v>1615</v>
      </c>
      <c r="P156" s="299" t="s">
        <v>2652</v>
      </c>
      <c r="Q156" s="420"/>
    </row>
    <row r="157" spans="1:44" ht="12" customHeight="1">
      <c r="A157" s="108"/>
      <c r="B157" s="33" t="s">
        <v>1616</v>
      </c>
      <c r="C157" s="33" t="s">
        <v>2419</v>
      </c>
      <c r="G157" s="372"/>
      <c r="H157" s="372"/>
      <c r="I157" s="372"/>
      <c r="J157" s="372"/>
      <c r="K157" s="372"/>
      <c r="L157" s="372"/>
      <c r="M157" s="372"/>
      <c r="O157" s="352" t="s">
        <v>1616</v>
      </c>
      <c r="P157" s="299" t="s">
        <v>2652</v>
      </c>
      <c r="Q157" s="420"/>
    </row>
    <row r="158" spans="1:44" s="102" customFormat="1" ht="21.75" customHeight="1">
      <c r="A158" s="110"/>
      <c r="B158" s="372" t="s">
        <v>1617</v>
      </c>
      <c r="C158" s="3218" t="s">
        <v>3238</v>
      </c>
      <c r="D158" s="3218"/>
      <c r="E158" s="3218"/>
      <c r="F158" s="3218"/>
      <c r="G158" s="3218"/>
      <c r="H158" s="3218"/>
      <c r="I158" s="3218"/>
      <c r="J158" s="3218"/>
      <c r="K158" s="3218"/>
      <c r="L158" s="3218"/>
      <c r="M158" s="3218"/>
      <c r="N158" s="3218"/>
      <c r="O158" s="128" t="s">
        <v>1617</v>
      </c>
      <c r="P158" s="431" t="s">
        <v>2652</v>
      </c>
      <c r="Q158" s="422"/>
    </row>
    <row r="159" spans="1:44" ht="12" customHeight="1">
      <c r="A159" s="110"/>
      <c r="B159" s="33" t="s">
        <v>2183</v>
      </c>
      <c r="C159" s="33" t="s">
        <v>2420</v>
      </c>
      <c r="G159" s="372"/>
      <c r="H159" s="372"/>
      <c r="I159" s="372"/>
      <c r="J159" s="372"/>
      <c r="K159" s="372"/>
      <c r="L159" s="372"/>
      <c r="M159" s="372"/>
      <c r="O159" s="352" t="s">
        <v>2183</v>
      </c>
      <c r="P159" s="299" t="s">
        <v>2652</v>
      </c>
      <c r="Q159" s="420"/>
    </row>
    <row r="160" spans="1:44" s="102" customFormat="1" ht="21.75" customHeight="1">
      <c r="A160" s="110"/>
      <c r="B160" s="372" t="s">
        <v>1449</v>
      </c>
      <c r="C160" s="3218" t="s">
        <v>2421</v>
      </c>
      <c r="D160" s="3218"/>
      <c r="E160" s="3218"/>
      <c r="F160" s="3218"/>
      <c r="G160" s="3218"/>
      <c r="H160" s="3218"/>
      <c r="I160" s="3218"/>
      <c r="J160" s="3218"/>
      <c r="K160" s="3218"/>
      <c r="L160" s="3218"/>
      <c r="M160" s="3218"/>
      <c r="N160" s="3218"/>
      <c r="O160" s="128" t="s">
        <v>1449</v>
      </c>
      <c r="P160" s="431" t="s">
        <v>6934</v>
      </c>
      <c r="Q160" s="422"/>
    </row>
    <row r="161" spans="1:44" s="102" customFormat="1" ht="21.75" customHeight="1">
      <c r="A161" s="110"/>
      <c r="B161" s="372" t="s">
        <v>1450</v>
      </c>
      <c r="C161" s="3218" t="s">
        <v>3310</v>
      </c>
      <c r="D161" s="3218"/>
      <c r="E161" s="3218"/>
      <c r="F161" s="3218"/>
      <c r="G161" s="3218"/>
      <c r="H161" s="3218"/>
      <c r="I161" s="3218"/>
      <c r="J161" s="3218"/>
      <c r="K161" s="3218"/>
      <c r="L161" s="3218"/>
      <c r="M161" s="3218"/>
      <c r="N161" s="3218"/>
      <c r="O161" s="128" t="s">
        <v>1450</v>
      </c>
      <c r="P161" s="431" t="s">
        <v>6934</v>
      </c>
      <c r="Q161" s="422"/>
    </row>
    <row r="162" spans="1:44" ht="21.75" customHeight="1">
      <c r="A162" s="110" t="s">
        <v>1963</v>
      </c>
      <c r="B162" s="3218" t="s">
        <v>2422</v>
      </c>
      <c r="C162" s="3218"/>
      <c r="D162" s="3218"/>
      <c r="E162" s="3218"/>
      <c r="F162" s="3218"/>
      <c r="G162" s="3218"/>
      <c r="H162" s="3218"/>
      <c r="I162" s="3218"/>
      <c r="J162" s="3218"/>
      <c r="K162" s="3218"/>
      <c r="L162" s="3218"/>
      <c r="M162" s="3218"/>
      <c r="N162" s="3218"/>
      <c r="O162" s="128" t="s">
        <v>1963</v>
      </c>
      <c r="P162" s="431" t="s">
        <v>2652</v>
      </c>
      <c r="Q162" s="422"/>
    </row>
    <row r="163" spans="1:44" ht="12" customHeight="1">
      <c r="A163" s="110" t="s">
        <v>1613</v>
      </c>
      <c r="B163" s="372" t="s">
        <v>2195</v>
      </c>
      <c r="D163" s="372"/>
      <c r="E163" s="372"/>
      <c r="F163" s="372"/>
      <c r="G163" s="372"/>
      <c r="H163" s="372"/>
      <c r="I163" s="372"/>
      <c r="J163" s="372"/>
      <c r="K163" s="372"/>
      <c r="L163" s="372"/>
      <c r="M163" s="372"/>
      <c r="O163" s="128" t="s">
        <v>1613</v>
      </c>
      <c r="P163" s="176" t="s">
        <v>2652</v>
      </c>
      <c r="Q163" s="421"/>
    </row>
    <row r="164" spans="1:44" ht="12" customHeight="1">
      <c r="B164" s="109" t="s">
        <v>3243</v>
      </c>
      <c r="D164" s="109"/>
      <c r="E164" s="109"/>
      <c r="F164" s="109"/>
      <c r="G164" s="109"/>
      <c r="H164" s="33"/>
      <c r="I164" s="893"/>
      <c r="J164" s="893"/>
      <c r="K164" s="893"/>
      <c r="L164" s="686"/>
      <c r="M164" s="686"/>
      <c r="N164" s="686"/>
      <c r="O164" s="686"/>
      <c r="P164" s="686"/>
      <c r="Q164" s="686"/>
    </row>
    <row r="165" spans="1:44" ht="24" customHeight="1">
      <c r="A165" s="3215" t="s">
        <v>6989</v>
      </c>
      <c r="B165" s="3216"/>
      <c r="C165" s="3216"/>
      <c r="D165" s="3216"/>
      <c r="E165" s="3216"/>
      <c r="F165" s="3216"/>
      <c r="G165" s="3216"/>
      <c r="H165" s="3216"/>
      <c r="I165" s="3216"/>
      <c r="J165" s="3216"/>
      <c r="K165" s="3216"/>
      <c r="L165" s="3216"/>
      <c r="M165" s="3216"/>
      <c r="N165" s="3216"/>
      <c r="O165" s="3216"/>
      <c r="P165" s="3216"/>
      <c r="Q165" s="3217"/>
      <c r="U165" s="104"/>
      <c r="V165" s="104"/>
      <c r="W165" s="104"/>
      <c r="X165" s="104"/>
      <c r="Y165" s="104"/>
      <c r="Z165" s="104"/>
      <c r="AA165" s="104"/>
      <c r="AB165" s="104"/>
      <c r="AC165" s="104"/>
      <c r="AD165" s="104"/>
      <c r="AE165" s="104"/>
    </row>
    <row r="166" spans="1:44" ht="12" customHeight="1">
      <c r="B166" s="105" t="s">
        <v>1730</v>
      </c>
      <c r="C166" s="106"/>
      <c r="D166" s="889"/>
      <c r="E166" s="889"/>
      <c r="F166" s="889"/>
      <c r="G166" s="889"/>
      <c r="H166" s="889"/>
      <c r="I166" s="889"/>
      <c r="J166" s="889"/>
      <c r="K166" s="889"/>
      <c r="L166" s="889"/>
      <c r="M166" s="889"/>
      <c r="N166" s="889"/>
      <c r="O166" s="889"/>
      <c r="P166" s="889"/>
      <c r="Q166" s="889"/>
    </row>
    <row r="167" spans="1:44" ht="11.45" customHeight="1">
      <c r="A167" s="3219"/>
      <c r="B167" s="3220"/>
      <c r="C167" s="3220"/>
      <c r="D167" s="3220"/>
      <c r="E167" s="3220"/>
      <c r="F167" s="3220"/>
      <c r="G167" s="3220"/>
      <c r="H167" s="3220"/>
      <c r="I167" s="3220"/>
      <c r="J167" s="3220"/>
      <c r="K167" s="3220"/>
      <c r="L167" s="3220"/>
      <c r="M167" s="3220"/>
      <c r="N167" s="3220"/>
      <c r="O167" s="3220"/>
      <c r="P167" s="3220"/>
      <c r="Q167" s="3221"/>
    </row>
    <row r="168" spans="1:44" ht="3" customHeight="1">
      <c r="A168" s="686"/>
      <c r="B168" s="893"/>
      <c r="C168" s="889"/>
      <c r="D168" s="889"/>
      <c r="E168" s="889"/>
      <c r="F168" s="889"/>
      <c r="G168" s="889"/>
      <c r="H168" s="889"/>
      <c r="I168" s="889"/>
      <c r="J168" s="889"/>
      <c r="K168" s="889"/>
      <c r="L168" s="889"/>
      <c r="M168" s="889"/>
      <c r="N168" s="889"/>
      <c r="O168" s="889"/>
      <c r="P168" s="889"/>
      <c r="Q168" s="686"/>
    </row>
    <row r="169" spans="1:44" ht="14.1" customHeight="1">
      <c r="A169" s="2" t="s">
        <v>343</v>
      </c>
      <c r="B169" s="2" t="s">
        <v>2429</v>
      </c>
      <c r="C169" s="2"/>
      <c r="D169" s="889"/>
      <c r="E169" s="114"/>
      <c r="F169" s="236"/>
      <c r="G169" s="889"/>
      <c r="J169" s="457"/>
      <c r="K169" s="457"/>
      <c r="L169" s="457"/>
      <c r="M169" s="457"/>
      <c r="N169" s="858" t="s">
        <v>6541</v>
      </c>
      <c r="O169" s="101" t="s">
        <v>1731</v>
      </c>
      <c r="P169" s="3236"/>
      <c r="Q169" s="3225"/>
      <c r="R169" s="860" t="s">
        <v>6528</v>
      </c>
    </row>
    <row r="170" spans="1:44" customFormat="1" ht="12.75" customHeight="1">
      <c r="B170" s="44" t="s">
        <v>6666</v>
      </c>
      <c r="N170" s="92"/>
      <c r="O170" s="92"/>
      <c r="P170" s="92"/>
      <c r="Q170" s="92"/>
      <c r="S170" s="1413"/>
      <c r="T170" s="1413"/>
      <c r="U170" s="1413"/>
      <c r="V170" s="1413"/>
      <c r="W170" s="1413"/>
      <c r="X170" s="1413"/>
      <c r="Y170" s="1413"/>
      <c r="Z170" s="1413"/>
      <c r="AA170" s="1413"/>
      <c r="AB170" s="1413"/>
      <c r="AC170" s="1413"/>
      <c r="AD170" s="1413"/>
      <c r="AE170" s="1413"/>
      <c r="AF170" s="1413"/>
      <c r="AG170" s="1413"/>
      <c r="AH170" s="1413"/>
      <c r="AI170" s="1413"/>
      <c r="AJ170" s="1413"/>
      <c r="AK170" s="1413"/>
      <c r="AL170" s="1413"/>
      <c r="AM170" s="1413"/>
      <c r="AN170" s="1413"/>
      <c r="AO170" s="1413"/>
      <c r="AP170" s="1413"/>
      <c r="AQ170" s="1413"/>
      <c r="AR170" s="1413"/>
    </row>
    <row r="171" spans="1:44" ht="12.75" customHeight="1">
      <c r="A171" s="107"/>
      <c r="B171" s="108" t="s">
        <v>92</v>
      </c>
      <c r="D171" s="108"/>
      <c r="E171" s="108"/>
      <c r="F171" s="108"/>
      <c r="G171" s="108"/>
      <c r="H171" s="49" t="s">
        <v>1615</v>
      </c>
      <c r="I171" s="29" t="s">
        <v>145</v>
      </c>
      <c r="J171" s="3312" t="s">
        <v>907</v>
      </c>
      <c r="K171" s="3313"/>
      <c r="L171" s="3313"/>
      <c r="M171" s="3313"/>
      <c r="N171" s="3320"/>
      <c r="O171" s="49" t="s">
        <v>1615</v>
      </c>
      <c r="P171" s="175" t="s">
        <v>2655</v>
      </c>
      <c r="Q171" s="419"/>
    </row>
    <row r="172" spans="1:44" ht="12.75" customHeight="1">
      <c r="A172" s="107"/>
      <c r="B172" s="109" t="s">
        <v>3243</v>
      </c>
      <c r="C172" s="82"/>
      <c r="D172" s="82"/>
      <c r="E172" s="82"/>
      <c r="F172" s="82"/>
      <c r="H172" s="49" t="s">
        <v>1616</v>
      </c>
      <c r="I172" s="29" t="s">
        <v>1492</v>
      </c>
      <c r="J172" s="3226" t="s">
        <v>6958</v>
      </c>
      <c r="K172" s="3227"/>
      <c r="L172" s="3227"/>
      <c r="M172" s="3227"/>
      <c r="N172" s="3228"/>
      <c r="O172" s="49" t="s">
        <v>1616</v>
      </c>
      <c r="P172" s="176" t="s">
        <v>2652</v>
      </c>
      <c r="Q172" s="421"/>
    </row>
    <row r="173" spans="1:44" ht="18" customHeight="1">
      <c r="A173" s="3215" t="s">
        <v>6960</v>
      </c>
      <c r="B173" s="3216"/>
      <c r="C173" s="3216"/>
      <c r="D173" s="3216"/>
      <c r="E173" s="3216"/>
      <c r="F173" s="3216"/>
      <c r="G173" s="3216"/>
      <c r="H173" s="3216"/>
      <c r="I173" s="3216"/>
      <c r="J173" s="3216"/>
      <c r="K173" s="3216"/>
      <c r="L173" s="3216"/>
      <c r="M173" s="3216"/>
      <c r="N173" s="3216"/>
      <c r="O173" s="3216"/>
      <c r="P173" s="3216"/>
      <c r="Q173" s="3217"/>
      <c r="U173" s="104"/>
      <c r="V173" s="104"/>
      <c r="W173" s="104"/>
      <c r="X173" s="104"/>
      <c r="Y173" s="104"/>
      <c r="Z173" s="104"/>
      <c r="AA173" s="104"/>
      <c r="AB173" s="104"/>
      <c r="AC173" s="104"/>
      <c r="AD173" s="104"/>
      <c r="AE173" s="104"/>
    </row>
    <row r="174" spans="1:44" ht="12.75" customHeight="1">
      <c r="B174" s="105" t="s">
        <v>1730</v>
      </c>
      <c r="C174" s="106"/>
      <c r="D174" s="889"/>
      <c r="E174" s="889"/>
      <c r="F174" s="889"/>
      <c r="G174" s="889"/>
      <c r="H174" s="889"/>
      <c r="I174" s="889"/>
      <c r="J174" s="889"/>
      <c r="K174" s="889"/>
      <c r="L174" s="889"/>
      <c r="M174" s="889"/>
      <c r="N174" s="889"/>
      <c r="O174" s="889"/>
      <c r="P174" s="889"/>
      <c r="Q174" s="889"/>
    </row>
    <row r="175" spans="1:44" ht="12.75" customHeight="1">
      <c r="A175" s="3219"/>
      <c r="B175" s="3220"/>
      <c r="C175" s="3220"/>
      <c r="D175" s="3220"/>
      <c r="E175" s="3220"/>
      <c r="F175" s="3220"/>
      <c r="G175" s="3220"/>
      <c r="H175" s="3220"/>
      <c r="I175" s="3220"/>
      <c r="J175" s="3220"/>
      <c r="K175" s="3220"/>
      <c r="L175" s="3220"/>
      <c r="M175" s="3220"/>
      <c r="N175" s="3220"/>
      <c r="O175" s="3220"/>
      <c r="P175" s="3220"/>
      <c r="Q175" s="3221"/>
    </row>
    <row r="176" spans="1:44" ht="4.3499999999999996" customHeight="1">
      <c r="B176" s="893"/>
      <c r="C176" s="889"/>
      <c r="D176" s="889"/>
      <c r="E176" s="889"/>
      <c r="F176" s="889"/>
      <c r="G176" s="889"/>
      <c r="H176" s="889"/>
      <c r="I176" s="889"/>
      <c r="J176" s="889"/>
      <c r="K176" s="889"/>
      <c r="L176" s="889"/>
      <c r="M176" s="889"/>
      <c r="Q176" s="686"/>
    </row>
    <row r="177" spans="1:44" ht="14.1" customHeight="1">
      <c r="A177" s="2" t="s">
        <v>344</v>
      </c>
      <c r="B177" s="4" t="s">
        <v>2430</v>
      </c>
      <c r="C177" s="4"/>
      <c r="D177" s="66"/>
      <c r="E177" s="66"/>
      <c r="F177" s="66"/>
      <c r="G177" s="889"/>
      <c r="H177" s="889"/>
      <c r="I177" s="1546"/>
      <c r="J177" s="889"/>
      <c r="K177" s="889"/>
      <c r="L177" s="889"/>
      <c r="M177" s="889"/>
      <c r="N177" s="858" t="s">
        <v>6541</v>
      </c>
      <c r="O177" s="101" t="s">
        <v>1731</v>
      </c>
      <c r="P177" s="3236"/>
      <c r="Q177" s="3225"/>
      <c r="R177" s="860" t="s">
        <v>6528</v>
      </c>
    </row>
    <row r="178" spans="1:44" customFormat="1" ht="12.75" customHeight="1">
      <c r="B178" s="44" t="s">
        <v>6666</v>
      </c>
      <c r="N178" s="92"/>
      <c r="O178" s="92"/>
      <c r="P178" s="92"/>
      <c r="Q178" s="92"/>
      <c r="S178" s="1413"/>
      <c r="T178" s="1413"/>
      <c r="U178" s="1413"/>
      <c r="V178" s="1413"/>
      <c r="W178" s="1413"/>
      <c r="X178" s="1413"/>
      <c r="Y178" s="1413"/>
      <c r="Z178" s="1413"/>
      <c r="AA178" s="1413"/>
      <c r="AB178" s="1413"/>
      <c r="AC178" s="1413"/>
      <c r="AD178" s="1413"/>
      <c r="AE178" s="1413"/>
      <c r="AF178" s="1413"/>
      <c r="AG178" s="1413"/>
      <c r="AH178" s="1413"/>
      <c r="AI178" s="1413"/>
      <c r="AJ178" s="1413"/>
      <c r="AK178" s="1413"/>
      <c r="AL178" s="1413"/>
      <c r="AM178" s="1413"/>
      <c r="AN178" s="1413"/>
      <c r="AO178" s="1413"/>
      <c r="AP178" s="1413"/>
      <c r="AQ178" s="1413"/>
      <c r="AR178" s="1413"/>
    </row>
    <row r="179" spans="1:44" ht="12.75" customHeight="1">
      <c r="A179" s="110" t="s">
        <v>1842</v>
      </c>
      <c r="B179" s="3218" t="s">
        <v>1713</v>
      </c>
      <c r="C179" s="3218"/>
      <c r="D179" s="3218"/>
      <c r="E179" s="3218"/>
      <c r="F179" s="3218"/>
      <c r="G179" s="3218"/>
      <c r="H179" s="49" t="s">
        <v>1615</v>
      </c>
      <c r="I179" s="29" t="s">
        <v>592</v>
      </c>
      <c r="J179" s="3312" t="s">
        <v>6957</v>
      </c>
      <c r="K179" s="3313"/>
      <c r="L179" s="3313"/>
      <c r="M179" s="3313"/>
      <c r="N179" s="3320"/>
      <c r="O179" s="128" t="s">
        <v>1392</v>
      </c>
      <c r="P179" s="1289" t="s">
        <v>2652</v>
      </c>
      <c r="Q179" s="1290"/>
    </row>
    <row r="180" spans="1:44" ht="12.75" customHeight="1">
      <c r="A180" s="118"/>
      <c r="B180" s="3218"/>
      <c r="C180" s="3218"/>
      <c r="D180" s="3218"/>
      <c r="E180" s="3218"/>
      <c r="F180" s="3218"/>
      <c r="G180" s="3218"/>
      <c r="H180" s="49" t="s">
        <v>1616</v>
      </c>
      <c r="I180" s="29" t="s">
        <v>110</v>
      </c>
      <c r="J180" s="3226" t="s">
        <v>6957</v>
      </c>
      <c r="K180" s="3227"/>
      <c r="L180" s="3227"/>
      <c r="M180" s="3227"/>
      <c r="N180" s="3228"/>
      <c r="O180" s="128" t="s">
        <v>1616</v>
      </c>
      <c r="P180" s="1762" t="s">
        <v>2652</v>
      </c>
      <c r="Q180" s="687"/>
    </row>
    <row r="181" spans="1:44" ht="12.75" customHeight="1">
      <c r="A181" s="40" t="s">
        <v>1844</v>
      </c>
      <c r="B181" s="113" t="s">
        <v>1615</v>
      </c>
      <c r="C181" s="29" t="s">
        <v>6511</v>
      </c>
      <c r="E181" s="29"/>
      <c r="F181" s="29"/>
      <c r="G181" s="29"/>
      <c r="H181" s="29"/>
      <c r="I181" s="29"/>
      <c r="J181" s="29"/>
      <c r="K181" s="35"/>
      <c r="L181" s="29"/>
      <c r="M181" s="29"/>
      <c r="O181" s="128" t="s">
        <v>6512</v>
      </c>
      <c r="P181" s="1289" t="s">
        <v>2652</v>
      </c>
      <c r="Q181" s="1290"/>
    </row>
    <row r="182" spans="1:44" ht="12.75" customHeight="1">
      <c r="A182" s="40"/>
      <c r="B182" s="113" t="s">
        <v>1616</v>
      </c>
      <c r="C182" s="29" t="s">
        <v>6510</v>
      </c>
      <c r="D182" s="29"/>
      <c r="E182" s="29"/>
      <c r="F182" s="29"/>
      <c r="G182" s="29"/>
      <c r="H182" s="29"/>
      <c r="I182" s="29"/>
      <c r="J182" s="29"/>
      <c r="K182" s="35"/>
      <c r="L182" s="29"/>
      <c r="M182" s="29"/>
      <c r="O182" s="128" t="s">
        <v>1616</v>
      </c>
      <c r="P182" s="176" t="s">
        <v>2655</v>
      </c>
      <c r="Q182" s="421"/>
    </row>
    <row r="183" spans="1:44" ht="12.75" customHeight="1">
      <c r="A183" s="40" t="s">
        <v>698</v>
      </c>
      <c r="B183" s="29" t="s">
        <v>6535</v>
      </c>
      <c r="D183" s="29"/>
      <c r="E183" s="29"/>
      <c r="F183" s="29"/>
      <c r="G183" s="29"/>
      <c r="H183" s="29"/>
      <c r="I183" s="29"/>
      <c r="J183" s="29"/>
      <c r="K183" s="35"/>
      <c r="L183" s="29"/>
      <c r="M183" s="29"/>
      <c r="O183" s="48" t="s">
        <v>698</v>
      </c>
      <c r="P183" s="1402" t="s">
        <v>907</v>
      </c>
      <c r="Q183" s="1401"/>
    </row>
    <row r="184" spans="1:44" ht="12.75" customHeight="1">
      <c r="B184" s="109" t="s">
        <v>3243</v>
      </c>
      <c r="D184" s="109"/>
      <c r="E184" s="109"/>
      <c r="F184" s="109"/>
      <c r="G184" s="109"/>
      <c r="H184" s="33"/>
      <c r="I184" s="893"/>
      <c r="J184" s="893"/>
      <c r="K184" s="893"/>
      <c r="L184" s="686"/>
      <c r="M184" s="686"/>
      <c r="N184" s="686"/>
      <c r="O184" s="686"/>
      <c r="P184" s="686"/>
      <c r="Q184" s="686"/>
    </row>
    <row r="185" spans="1:44" ht="18" customHeight="1">
      <c r="A185" s="3215" t="s">
        <v>6959</v>
      </c>
      <c r="B185" s="3216"/>
      <c r="C185" s="3216"/>
      <c r="D185" s="3216"/>
      <c r="E185" s="3216"/>
      <c r="F185" s="3216"/>
      <c r="G185" s="3216"/>
      <c r="H185" s="3216"/>
      <c r="I185" s="3216"/>
      <c r="J185" s="3216"/>
      <c r="K185" s="3216"/>
      <c r="L185" s="3216"/>
      <c r="M185" s="3216"/>
      <c r="N185" s="3216"/>
      <c r="O185" s="3216"/>
      <c r="P185" s="3216"/>
      <c r="Q185" s="3217"/>
      <c r="U185" s="104"/>
      <c r="V185" s="104"/>
      <c r="W185" s="104"/>
      <c r="X185" s="104"/>
      <c r="Y185" s="104"/>
      <c r="Z185" s="104"/>
      <c r="AA185" s="104"/>
      <c r="AB185" s="104"/>
      <c r="AC185" s="104"/>
      <c r="AD185" s="104"/>
      <c r="AE185" s="104"/>
    </row>
    <row r="186" spans="1:44" ht="12.75" customHeight="1">
      <c r="B186" s="105" t="s">
        <v>1730</v>
      </c>
      <c r="C186" s="106"/>
      <c r="D186" s="889"/>
      <c r="E186" s="889"/>
      <c r="F186" s="889"/>
      <c r="G186" s="889"/>
      <c r="H186" s="889"/>
      <c r="I186" s="889"/>
      <c r="J186" s="889"/>
      <c r="K186" s="889"/>
      <c r="L186" s="889"/>
      <c r="M186" s="889"/>
      <c r="N186" s="889"/>
      <c r="O186" s="889"/>
      <c r="P186" s="889"/>
      <c r="Q186" s="889"/>
    </row>
    <row r="187" spans="1:44" ht="12.75" customHeight="1">
      <c r="A187" s="3219"/>
      <c r="B187" s="3220"/>
      <c r="C187" s="3220"/>
      <c r="D187" s="3220"/>
      <c r="E187" s="3220"/>
      <c r="F187" s="3220"/>
      <c r="G187" s="3220"/>
      <c r="H187" s="3220"/>
      <c r="I187" s="3220"/>
      <c r="J187" s="3220"/>
      <c r="K187" s="3220"/>
      <c r="L187" s="3220"/>
      <c r="M187" s="3220"/>
      <c r="N187" s="3220"/>
      <c r="O187" s="3220"/>
      <c r="P187" s="3220"/>
      <c r="Q187" s="3221"/>
      <c r="S187" s="1412"/>
      <c r="T187" s="1412"/>
      <c r="U187" s="1412"/>
      <c r="V187" s="1412"/>
      <c r="W187" s="1412"/>
      <c r="X187" s="1412"/>
      <c r="Y187" s="1412"/>
      <c r="Z187" s="1412"/>
      <c r="AA187" s="1412"/>
      <c r="AB187" s="1412"/>
      <c r="AC187" s="1412"/>
      <c r="AD187" s="1412"/>
      <c r="AE187" s="1412"/>
      <c r="AF187" s="1412"/>
      <c r="AG187" s="1412"/>
      <c r="AH187" s="1412"/>
      <c r="AI187" s="1412"/>
      <c r="AJ187" s="1412"/>
      <c r="AK187" s="1412"/>
      <c r="AL187" s="1412"/>
      <c r="AM187" s="1412"/>
      <c r="AN187" s="1412"/>
      <c r="AO187" s="1412"/>
      <c r="AP187" s="1412"/>
      <c r="AQ187" s="1412"/>
      <c r="AR187" s="1412"/>
    </row>
    <row r="188" spans="1:44" ht="3" customHeight="1">
      <c r="A188" s="686"/>
      <c r="B188" s="893"/>
      <c r="C188" s="889"/>
      <c r="D188" s="889"/>
      <c r="E188" s="889"/>
      <c r="F188" s="889"/>
      <c r="G188" s="889"/>
      <c r="H188" s="889"/>
      <c r="I188" s="889"/>
      <c r="J188" s="889"/>
      <c r="K188" s="889"/>
      <c r="L188" s="889"/>
      <c r="M188" s="889"/>
      <c r="Q188" s="686"/>
      <c r="S188" s="1412"/>
      <c r="T188" s="1412"/>
      <c r="U188" s="1412"/>
      <c r="V188" s="1412"/>
      <c r="W188" s="1412"/>
      <c r="X188" s="1412"/>
      <c r="Y188" s="1412"/>
      <c r="Z188" s="1412"/>
      <c r="AA188" s="1412"/>
      <c r="AB188" s="1412"/>
      <c r="AC188" s="1412"/>
      <c r="AD188" s="1412"/>
      <c r="AE188" s="1412"/>
      <c r="AF188" s="1412"/>
      <c r="AG188" s="1412"/>
      <c r="AH188" s="1412"/>
      <c r="AI188" s="1412"/>
      <c r="AJ188" s="1412"/>
      <c r="AK188" s="1412"/>
      <c r="AL188" s="1412"/>
      <c r="AM188" s="1412"/>
      <c r="AN188" s="1412"/>
      <c r="AO188" s="1412"/>
      <c r="AP188" s="1412"/>
      <c r="AQ188" s="1412"/>
      <c r="AR188" s="1412"/>
    </row>
    <row r="189" spans="1:44" ht="14.1" customHeight="1">
      <c r="A189" s="2" t="s">
        <v>1605</v>
      </c>
      <c r="B189" s="2" t="s">
        <v>2431</v>
      </c>
      <c r="C189" s="89"/>
      <c r="D189" s="889"/>
      <c r="E189" s="889"/>
      <c r="F189" s="889"/>
      <c r="G189" s="889"/>
      <c r="H189" s="889"/>
      <c r="I189" s="889"/>
      <c r="J189" s="889"/>
      <c r="K189" s="889"/>
      <c r="L189" s="889"/>
      <c r="M189" s="889"/>
      <c r="O189" s="101" t="s">
        <v>1731</v>
      </c>
      <c r="P189" s="3236"/>
      <c r="Q189" s="3225"/>
      <c r="S189" s="1412"/>
      <c r="T189" s="1412"/>
      <c r="U189" s="1412"/>
      <c r="V189" s="1412"/>
      <c r="W189" s="1412"/>
      <c r="X189" s="1412"/>
      <c r="Y189" s="1412"/>
      <c r="Z189" s="1412"/>
      <c r="AA189" s="1412"/>
      <c r="AB189" s="1412"/>
      <c r="AC189" s="1412"/>
      <c r="AD189" s="1412"/>
      <c r="AE189" s="1412"/>
      <c r="AF189" s="1412"/>
      <c r="AG189" s="1412"/>
      <c r="AH189" s="1412"/>
      <c r="AI189" s="1412"/>
      <c r="AJ189" s="1412"/>
      <c r="AK189" s="1412"/>
      <c r="AL189" s="1412"/>
      <c r="AM189" s="1412"/>
      <c r="AN189" s="1412"/>
      <c r="AO189" s="1412"/>
      <c r="AP189" s="1412"/>
      <c r="AQ189" s="1412"/>
      <c r="AR189" s="1412"/>
    </row>
    <row r="190" spans="1:44" customFormat="1" ht="12.75" customHeight="1">
      <c r="B190" s="79" t="s">
        <v>1120</v>
      </c>
      <c r="N190" s="92"/>
      <c r="P190" s="74" t="s">
        <v>2655</v>
      </c>
      <c r="Q190" s="417"/>
      <c r="S190" s="1413"/>
      <c r="T190" s="1413"/>
      <c r="U190" s="1413"/>
      <c r="V190" s="1413"/>
      <c r="W190" s="1413"/>
      <c r="X190" s="1413"/>
      <c r="Y190" s="1413"/>
      <c r="Z190" s="1413"/>
      <c r="AA190" s="1413"/>
      <c r="AB190" s="1413"/>
      <c r="AC190" s="1413"/>
      <c r="AD190" s="1413"/>
      <c r="AE190" s="1413"/>
      <c r="AF190" s="1413"/>
      <c r="AG190" s="1413"/>
      <c r="AH190" s="1413"/>
      <c r="AI190" s="1413"/>
      <c r="AJ190" s="1413"/>
      <c r="AK190" s="1413"/>
      <c r="AL190" s="1413"/>
      <c r="AM190" s="1413"/>
      <c r="AN190" s="1413"/>
      <c r="AO190" s="1413"/>
      <c r="AP190" s="1413"/>
      <c r="AQ190" s="1413"/>
      <c r="AR190" s="1413"/>
    </row>
    <row r="191" spans="1:44" ht="12.75" customHeight="1">
      <c r="A191" s="40" t="s">
        <v>1842</v>
      </c>
      <c r="B191" s="29" t="s">
        <v>4033</v>
      </c>
      <c r="D191" s="35"/>
      <c r="E191" s="35"/>
      <c r="F191" s="35"/>
      <c r="G191" s="35"/>
      <c r="H191" s="35"/>
      <c r="I191" s="35"/>
      <c r="J191" s="35"/>
      <c r="K191" s="35"/>
      <c r="L191" s="35"/>
      <c r="M191" s="35"/>
      <c r="O191" s="48" t="s">
        <v>1842</v>
      </c>
      <c r="P191" s="74" t="s">
        <v>6933</v>
      </c>
      <c r="Q191" s="419"/>
      <c r="S191" s="1412"/>
      <c r="T191" s="1412"/>
      <c r="U191" s="1412"/>
      <c r="V191" s="1412"/>
      <c r="W191" s="1412"/>
      <c r="X191" s="1412"/>
      <c r="Y191" s="1412"/>
      <c r="Z191" s="1412"/>
      <c r="AA191" s="1412"/>
      <c r="AB191" s="1412"/>
      <c r="AC191" s="1412"/>
      <c r="AD191" s="1412"/>
      <c r="AE191" s="1412"/>
      <c r="AF191" s="1412"/>
      <c r="AG191" s="1412"/>
      <c r="AH191" s="1412"/>
      <c r="AI191" s="1412"/>
      <c r="AJ191" s="1412"/>
      <c r="AK191" s="1412"/>
      <c r="AL191" s="1412"/>
      <c r="AM191" s="1412"/>
      <c r="AN191" s="1412"/>
      <c r="AO191" s="1412"/>
      <c r="AP191" s="1412"/>
      <c r="AQ191" s="1412"/>
      <c r="AR191" s="1412"/>
    </row>
    <row r="192" spans="1:44" ht="12.75" customHeight="1">
      <c r="A192" s="40"/>
      <c r="B192" s="113" t="s">
        <v>1615</v>
      </c>
      <c r="C192" s="29" t="s">
        <v>1792</v>
      </c>
      <c r="E192" s="29"/>
      <c r="F192" s="29"/>
      <c r="G192" s="29"/>
      <c r="H192" s="29"/>
      <c r="I192" s="35"/>
      <c r="J192" s="49" t="s">
        <v>1392</v>
      </c>
      <c r="K192" s="3312" t="s">
        <v>6938</v>
      </c>
      <c r="L192" s="3320"/>
      <c r="Q192" s="420"/>
      <c r="S192" s="1412"/>
      <c r="T192" s="1412"/>
      <c r="U192" s="1412"/>
      <c r="V192" s="1412"/>
      <c r="W192" s="1412"/>
      <c r="X192" s="1412"/>
      <c r="Y192" s="1412"/>
      <c r="Z192" s="1412"/>
      <c r="AA192" s="1412"/>
      <c r="AB192" s="1412"/>
      <c r="AC192" s="1412"/>
      <c r="AD192" s="1412"/>
      <c r="AE192" s="1412"/>
      <c r="AF192" s="1412"/>
      <c r="AG192" s="1412"/>
      <c r="AH192" s="1412"/>
      <c r="AI192" s="1412"/>
      <c r="AJ192" s="1412"/>
      <c r="AK192" s="1412"/>
      <c r="AL192" s="1412"/>
      <c r="AM192" s="1412"/>
      <c r="AN192" s="1412"/>
      <c r="AO192" s="1412"/>
      <c r="AP192" s="1412"/>
      <c r="AQ192" s="1412"/>
      <c r="AR192" s="1412"/>
    </row>
    <row r="193" spans="1:44" ht="12.75" customHeight="1">
      <c r="A193" s="40"/>
      <c r="B193" s="113" t="s">
        <v>1616</v>
      </c>
      <c r="C193" s="33" t="s">
        <v>6721</v>
      </c>
      <c r="E193" s="33"/>
      <c r="F193" s="33"/>
      <c r="G193" s="33"/>
      <c r="H193" s="33"/>
      <c r="I193" s="35"/>
      <c r="J193" s="49" t="s">
        <v>1393</v>
      </c>
      <c r="K193" s="3265" t="s">
        <v>6939</v>
      </c>
      <c r="L193" s="3266"/>
      <c r="Q193" s="3243"/>
      <c r="S193" s="1412"/>
      <c r="T193" s="1412"/>
      <c r="U193" s="1412"/>
      <c r="V193" s="1412"/>
      <c r="W193" s="1412"/>
      <c r="X193" s="1412"/>
      <c r="Y193" s="1412"/>
      <c r="Z193" s="1412"/>
      <c r="AA193" s="1412"/>
      <c r="AB193" s="1412"/>
      <c r="AC193" s="1412"/>
      <c r="AD193" s="1412"/>
      <c r="AE193" s="1412"/>
      <c r="AF193" s="1412"/>
      <c r="AG193" s="1412"/>
      <c r="AH193" s="1412"/>
      <c r="AI193" s="1412"/>
      <c r="AJ193" s="1412"/>
      <c r="AK193" s="1412"/>
      <c r="AL193" s="1412"/>
      <c r="AM193" s="1412"/>
      <c r="AN193" s="1412"/>
      <c r="AO193" s="1412"/>
      <c r="AP193" s="1412"/>
      <c r="AQ193" s="1412"/>
      <c r="AR193" s="1412"/>
    </row>
    <row r="194" spans="1:44" ht="12.75" customHeight="1">
      <c r="A194" s="40"/>
      <c r="B194" s="113"/>
      <c r="C194" s="3240" t="s">
        <v>6201</v>
      </c>
      <c r="D194" s="3241"/>
      <c r="E194" s="3241"/>
      <c r="F194" s="3241"/>
      <c r="G194" s="3241"/>
      <c r="H194" s="3241"/>
      <c r="I194" s="3241"/>
      <c r="J194" s="3241"/>
      <c r="K194" s="3241"/>
      <c r="L194" s="3241"/>
      <c r="M194" s="3241"/>
      <c r="N194" s="3241"/>
      <c r="O194" s="3242"/>
      <c r="Q194" s="3244"/>
      <c r="S194" s="1412"/>
      <c r="T194" s="1412"/>
      <c r="U194" s="1412"/>
      <c r="V194" s="1412"/>
      <c r="W194" s="1412"/>
      <c r="X194" s="1412"/>
      <c r="Y194" s="1412"/>
      <c r="Z194" s="1412"/>
      <c r="AA194" s="1412"/>
      <c r="AB194" s="1412"/>
      <c r="AC194" s="1412"/>
      <c r="AD194" s="1412"/>
      <c r="AE194" s="1412"/>
      <c r="AF194" s="1412"/>
      <c r="AG194" s="1412"/>
      <c r="AH194" s="1412"/>
      <c r="AI194" s="1412"/>
      <c r="AJ194" s="1412"/>
      <c r="AK194" s="1412"/>
      <c r="AL194" s="1412"/>
      <c r="AM194" s="1412"/>
      <c r="AN194" s="1412"/>
      <c r="AO194" s="1412"/>
      <c r="AP194" s="1412"/>
      <c r="AQ194" s="1412"/>
      <c r="AR194" s="1412"/>
    </row>
    <row r="195" spans="1:44" ht="12.75" customHeight="1">
      <c r="A195" s="40"/>
      <c r="B195" s="33" t="s">
        <v>1617</v>
      </c>
      <c r="C195" s="33" t="s">
        <v>3791</v>
      </c>
      <c r="D195" s="115"/>
      <c r="E195" s="33"/>
      <c r="F195" s="33"/>
      <c r="G195" s="33"/>
      <c r="H195" s="33"/>
      <c r="I195" s="72"/>
      <c r="J195" s="48" t="s">
        <v>1394</v>
      </c>
      <c r="K195" s="3262" t="s">
        <v>7004</v>
      </c>
      <c r="L195" s="3263"/>
      <c r="M195" s="3263"/>
      <c r="N195" s="3264"/>
      <c r="O195" s="1954"/>
      <c r="P195" s="1955"/>
      <c r="Q195" s="1401"/>
      <c r="R195" s="35"/>
      <c r="S195" s="1412"/>
      <c r="T195" s="1412"/>
      <c r="U195" s="1412"/>
      <c r="V195" s="1412"/>
      <c r="W195" s="1412"/>
      <c r="X195" s="1412"/>
      <c r="Y195" s="1412"/>
      <c r="Z195" s="1412"/>
      <c r="AA195" s="1412"/>
      <c r="AB195" s="1412"/>
      <c r="AC195" s="1412"/>
      <c r="AD195" s="1412"/>
      <c r="AE195" s="1412"/>
      <c r="AF195" s="1412"/>
      <c r="AG195" s="1412"/>
      <c r="AH195" s="1412"/>
      <c r="AI195" s="1412"/>
      <c r="AJ195" s="1412"/>
      <c r="AK195" s="1412"/>
      <c r="AL195" s="1412"/>
      <c r="AM195" s="1412"/>
      <c r="AN195" s="1412"/>
      <c r="AO195" s="1412"/>
      <c r="AP195" s="1412"/>
      <c r="AQ195" s="1412"/>
      <c r="AR195" s="1412"/>
    </row>
    <row r="196" spans="1:44" ht="12.75" customHeight="1">
      <c r="A196" s="40" t="s">
        <v>1844</v>
      </c>
      <c r="B196" s="29" t="s">
        <v>4034</v>
      </c>
      <c r="D196" s="29"/>
      <c r="E196" s="29"/>
      <c r="F196" s="29"/>
      <c r="G196" s="29"/>
      <c r="H196" s="29"/>
      <c r="I196" s="29"/>
      <c r="J196" s="29"/>
      <c r="K196" s="35"/>
      <c r="L196" s="35"/>
      <c r="M196" s="35"/>
      <c r="N196" s="35"/>
      <c r="O196" s="48" t="s">
        <v>1844</v>
      </c>
      <c r="P196" s="74" t="s">
        <v>6933</v>
      </c>
      <c r="Q196" s="417"/>
      <c r="S196" s="1412"/>
      <c r="T196" s="1412"/>
      <c r="U196" s="1412"/>
      <c r="V196" s="1412"/>
      <c r="W196" s="1412"/>
      <c r="X196" s="1412"/>
      <c r="Y196" s="1412"/>
      <c r="Z196" s="1412"/>
      <c r="AA196" s="1412"/>
      <c r="AB196" s="1412"/>
      <c r="AC196" s="1412"/>
      <c r="AD196" s="1412"/>
      <c r="AE196" s="1412"/>
      <c r="AF196" s="1412"/>
      <c r="AG196" s="1412"/>
      <c r="AH196" s="1412"/>
      <c r="AI196" s="1412"/>
      <c r="AJ196" s="1412"/>
      <c r="AK196" s="1412"/>
      <c r="AL196" s="1412"/>
      <c r="AM196" s="1412"/>
      <c r="AN196" s="1412"/>
      <c r="AO196" s="1412"/>
      <c r="AP196" s="1412"/>
      <c r="AQ196" s="1412"/>
      <c r="AR196" s="1412"/>
    </row>
    <row r="197" spans="1:44" ht="12.75" customHeight="1">
      <c r="A197" s="40"/>
      <c r="B197" s="29" t="s">
        <v>3858</v>
      </c>
      <c r="D197" s="29"/>
      <c r="E197" s="29"/>
      <c r="F197" s="29"/>
      <c r="G197" s="29"/>
      <c r="H197" s="29"/>
      <c r="I197" s="29"/>
      <c r="J197" s="29"/>
      <c r="K197" s="35"/>
      <c r="L197" s="35"/>
      <c r="M197" s="35"/>
      <c r="N197" s="48" t="s">
        <v>3155</v>
      </c>
      <c r="O197" s="1235">
        <f>'Part V-Revenues &amp; Expenses'!$P$67</f>
        <v>120</v>
      </c>
      <c r="P197" s="3245" t="s">
        <v>3860</v>
      </c>
      <c r="Q197" s="3246"/>
      <c r="S197" s="1412"/>
      <c r="T197" s="1412"/>
      <c r="U197" s="1412"/>
      <c r="V197" s="1412"/>
      <c r="W197" s="1412"/>
      <c r="X197" s="1412"/>
      <c r="Y197" s="1412"/>
      <c r="Z197" s="1412"/>
      <c r="AA197" s="1412"/>
      <c r="AB197" s="1412"/>
      <c r="AC197" s="1412"/>
      <c r="AD197" s="1412"/>
      <c r="AE197" s="1412"/>
      <c r="AF197" s="1412"/>
      <c r="AG197" s="1412"/>
      <c r="AH197" s="1412"/>
      <c r="AI197" s="1412"/>
      <c r="AJ197" s="1412"/>
      <c r="AK197" s="1412"/>
      <c r="AL197" s="1412"/>
      <c r="AM197" s="1412"/>
      <c r="AN197" s="1412"/>
      <c r="AO197" s="1412"/>
      <c r="AP197" s="1412"/>
      <c r="AQ197" s="1412"/>
      <c r="AR197" s="1412"/>
    </row>
    <row r="198" spans="1:44" ht="12.75" customHeight="1">
      <c r="A198" s="40"/>
      <c r="B198" s="113" t="s">
        <v>1615</v>
      </c>
      <c r="C198" s="29" t="s">
        <v>3861</v>
      </c>
      <c r="D198" s="29"/>
      <c r="E198" s="29"/>
      <c r="F198" s="29"/>
      <c r="H198" s="48" t="s">
        <v>3862</v>
      </c>
      <c r="I198" s="29" t="s">
        <v>3871</v>
      </c>
      <c r="M198" s="35"/>
      <c r="N198" s="35"/>
      <c r="O198" s="231"/>
      <c r="P198" s="876" t="s">
        <v>721</v>
      </c>
      <c r="Q198" s="1221" t="s">
        <v>3859</v>
      </c>
      <c r="S198" s="1412"/>
      <c r="T198" s="1412"/>
      <c r="U198" s="1412"/>
      <c r="V198" s="1412"/>
      <c r="W198" s="1412"/>
      <c r="X198" s="1412"/>
      <c r="Y198" s="1412"/>
      <c r="Z198" s="1412"/>
      <c r="AA198" s="1412"/>
      <c r="AB198" s="1412"/>
      <c r="AC198" s="1412"/>
      <c r="AD198" s="1412"/>
      <c r="AE198" s="1412"/>
      <c r="AF198" s="1412"/>
      <c r="AG198" s="1412"/>
      <c r="AH198" s="1412"/>
      <c r="AI198" s="1412"/>
      <c r="AJ198" s="1412"/>
      <c r="AK198" s="1412"/>
      <c r="AL198" s="1412"/>
      <c r="AM198" s="1412"/>
      <c r="AN198" s="1412"/>
      <c r="AO198" s="1412"/>
      <c r="AP198" s="1412"/>
      <c r="AQ198" s="1412"/>
      <c r="AR198" s="1412"/>
    </row>
    <row r="199" spans="1:44" s="36" customFormat="1" ht="12.75" customHeight="1">
      <c r="A199" s="43"/>
      <c r="B199" s="48" t="s">
        <v>1964</v>
      </c>
      <c r="C199" s="3247" t="s">
        <v>1541</v>
      </c>
      <c r="D199" s="3248"/>
      <c r="E199" s="3248"/>
      <c r="F199" s="3248"/>
      <c r="G199" s="3249"/>
      <c r="H199" s="48" t="s">
        <v>1964</v>
      </c>
      <c r="I199" s="3222" t="s">
        <v>3405</v>
      </c>
      <c r="J199" s="3223"/>
      <c r="K199" s="3223"/>
      <c r="L199" s="3223"/>
      <c r="M199" s="3223"/>
      <c r="N199" s="3223"/>
      <c r="O199" s="3250"/>
      <c r="P199" s="419"/>
      <c r="Q199" s="424"/>
      <c r="S199" s="1414"/>
      <c r="T199" s="1414"/>
      <c r="U199" s="1414"/>
      <c r="V199" s="1414"/>
      <c r="W199" s="1414"/>
      <c r="X199" s="1414"/>
      <c r="Y199" s="1414"/>
      <c r="Z199" s="1414"/>
      <c r="AA199" s="1414"/>
      <c r="AB199" s="1414"/>
      <c r="AC199" s="1414"/>
      <c r="AD199" s="1414"/>
      <c r="AE199" s="1414"/>
      <c r="AF199" s="1414"/>
      <c r="AG199" s="1414"/>
      <c r="AH199" s="1414"/>
      <c r="AI199" s="1414"/>
      <c r="AJ199" s="1414"/>
      <c r="AK199" s="1414"/>
      <c r="AL199" s="1414"/>
      <c r="AM199" s="1414"/>
      <c r="AN199" s="1414"/>
      <c r="AO199" s="1414"/>
      <c r="AP199" s="1414"/>
      <c r="AQ199" s="1414"/>
      <c r="AR199" s="1414"/>
    </row>
    <row r="200" spans="1:44" s="36" customFormat="1" ht="12.75" customHeight="1">
      <c r="A200" s="43"/>
      <c r="B200" s="48" t="s">
        <v>1965</v>
      </c>
      <c r="C200" s="3237" t="s">
        <v>3905</v>
      </c>
      <c r="D200" s="3238"/>
      <c r="E200" s="3238"/>
      <c r="F200" s="3238"/>
      <c r="G200" s="3239"/>
      <c r="H200" s="48" t="s">
        <v>1965</v>
      </c>
      <c r="I200" s="2637"/>
      <c r="J200" s="2638"/>
      <c r="K200" s="2638"/>
      <c r="L200" s="2638"/>
      <c r="M200" s="2638"/>
      <c r="N200" s="2638"/>
      <c r="O200" s="2640"/>
      <c r="P200" s="420"/>
      <c r="Q200" s="1209"/>
      <c r="S200" s="1414"/>
      <c r="T200" s="1414"/>
      <c r="U200" s="1414"/>
      <c r="V200" s="1414"/>
      <c r="W200" s="1414"/>
      <c r="X200" s="1414"/>
      <c r="Y200" s="1414"/>
      <c r="Z200" s="1414"/>
      <c r="AA200" s="1414"/>
      <c r="AB200" s="1414"/>
      <c r="AC200" s="1414"/>
      <c r="AD200" s="1414"/>
      <c r="AE200" s="1414"/>
      <c r="AF200" s="1414"/>
      <c r="AG200" s="1414"/>
      <c r="AH200" s="1414"/>
      <c r="AI200" s="1414"/>
      <c r="AJ200" s="1414"/>
      <c r="AK200" s="1414"/>
      <c r="AL200" s="1414"/>
      <c r="AM200" s="1414"/>
      <c r="AN200" s="1414"/>
      <c r="AO200" s="1414"/>
      <c r="AP200" s="1414"/>
      <c r="AQ200" s="1414"/>
      <c r="AR200" s="1414"/>
    </row>
    <row r="201" spans="1:44" s="36" customFormat="1" ht="12.75" customHeight="1">
      <c r="A201" s="43"/>
      <c r="B201" s="48" t="s">
        <v>1612</v>
      </c>
      <c r="C201" s="3237" t="s">
        <v>3855</v>
      </c>
      <c r="D201" s="3238"/>
      <c r="E201" s="3238"/>
      <c r="F201" s="3238"/>
      <c r="G201" s="3239"/>
      <c r="H201" s="48" t="s">
        <v>1612</v>
      </c>
      <c r="I201" s="2637" t="s">
        <v>3405</v>
      </c>
      <c r="J201" s="2638"/>
      <c r="K201" s="2638"/>
      <c r="L201" s="2638"/>
      <c r="M201" s="2638"/>
      <c r="N201" s="2638"/>
      <c r="O201" s="2640"/>
      <c r="P201" s="420"/>
      <c r="Q201" s="1209"/>
      <c r="S201" s="1414"/>
      <c r="T201" s="1414"/>
      <c r="U201" s="1414"/>
      <c r="V201" s="1414"/>
      <c r="W201" s="1414"/>
      <c r="X201" s="1414"/>
      <c r="Y201" s="1414"/>
      <c r="Z201" s="1414"/>
      <c r="AA201" s="1414"/>
      <c r="AB201" s="1414"/>
      <c r="AC201" s="1414"/>
      <c r="AD201" s="1414"/>
      <c r="AE201" s="1414"/>
      <c r="AF201" s="1414"/>
      <c r="AG201" s="1414"/>
      <c r="AH201" s="1414"/>
      <c r="AI201" s="1414"/>
      <c r="AJ201" s="1414"/>
      <c r="AK201" s="1414"/>
      <c r="AL201" s="1414"/>
      <c r="AM201" s="1414"/>
      <c r="AN201" s="1414"/>
      <c r="AO201" s="1414"/>
      <c r="AP201" s="1414"/>
      <c r="AQ201" s="1414"/>
      <c r="AR201" s="1414"/>
    </row>
    <row r="202" spans="1:44" s="36" customFormat="1" ht="12.75" customHeight="1">
      <c r="A202" s="43"/>
      <c r="B202" s="48" t="s">
        <v>3870</v>
      </c>
      <c r="C202" s="3267" t="s">
        <v>3856</v>
      </c>
      <c r="D202" s="3268"/>
      <c r="E202" s="3268"/>
      <c r="F202" s="3268"/>
      <c r="G202" s="3269"/>
      <c r="H202" s="48" t="s">
        <v>3870</v>
      </c>
      <c r="I202" s="2676"/>
      <c r="J202" s="2677"/>
      <c r="K202" s="2677"/>
      <c r="L202" s="2677"/>
      <c r="M202" s="2677"/>
      <c r="N202" s="2677"/>
      <c r="O202" s="2679"/>
      <c r="P202" s="421"/>
      <c r="Q202" s="425"/>
      <c r="S202" s="1414"/>
      <c r="T202" s="1414"/>
      <c r="U202" s="1414"/>
      <c r="V202" s="1414"/>
      <c r="W202" s="1414"/>
      <c r="X202" s="1414"/>
      <c r="Y202" s="1414"/>
      <c r="Z202" s="1414"/>
      <c r="AA202" s="1414"/>
      <c r="AB202" s="1414"/>
      <c r="AC202" s="1414"/>
      <c r="AD202" s="1414"/>
      <c r="AE202" s="1414"/>
      <c r="AF202" s="1414"/>
      <c r="AG202" s="1414"/>
      <c r="AH202" s="1414"/>
      <c r="AI202" s="1414"/>
      <c r="AJ202" s="1414"/>
      <c r="AK202" s="1414"/>
      <c r="AL202" s="1414"/>
      <c r="AM202" s="1414"/>
      <c r="AN202" s="1414"/>
      <c r="AO202" s="1414"/>
      <c r="AP202" s="1414"/>
      <c r="AQ202" s="1414"/>
      <c r="AR202" s="1414"/>
    </row>
    <row r="203" spans="1:44" ht="12.75" customHeight="1">
      <c r="A203" s="40" t="s">
        <v>698</v>
      </c>
      <c r="B203" s="29" t="s">
        <v>1304</v>
      </c>
      <c r="C203" s="29"/>
      <c r="E203" s="29"/>
      <c r="F203" s="29"/>
      <c r="G203" s="29"/>
      <c r="H203" s="29"/>
      <c r="I203" s="29"/>
      <c r="J203" s="29"/>
      <c r="K203" s="35"/>
      <c r="L203" s="29"/>
      <c r="M203" s="29"/>
      <c r="O203" s="48" t="s">
        <v>698</v>
      </c>
      <c r="P203" s="175" t="s">
        <v>6933</v>
      </c>
      <c r="Q203" s="419"/>
      <c r="S203" s="1412"/>
      <c r="T203" s="1412"/>
      <c r="U203" s="1412"/>
      <c r="V203" s="1412"/>
      <c r="W203" s="1412"/>
      <c r="X203" s="1412"/>
      <c r="Y203" s="1412"/>
      <c r="Z203" s="1412"/>
      <c r="AA203" s="1412"/>
      <c r="AB203" s="1412"/>
      <c r="AC203" s="1412"/>
      <c r="AD203" s="1412"/>
      <c r="AE203" s="1412"/>
      <c r="AF203" s="1412"/>
      <c r="AG203" s="1412"/>
      <c r="AH203" s="1412"/>
      <c r="AI203" s="1412"/>
      <c r="AJ203" s="1412"/>
      <c r="AK203" s="1412"/>
      <c r="AL203" s="1412"/>
      <c r="AM203" s="1412"/>
      <c r="AN203" s="1412"/>
      <c r="AO203" s="1412"/>
      <c r="AP203" s="1412"/>
      <c r="AQ203" s="1412"/>
      <c r="AR203" s="1412"/>
    </row>
    <row r="204" spans="1:44" ht="12.75" customHeight="1">
      <c r="A204" s="40"/>
      <c r="B204" s="113" t="s">
        <v>1615</v>
      </c>
      <c r="C204" s="29" t="s">
        <v>3077</v>
      </c>
      <c r="E204" s="29"/>
      <c r="F204" s="29"/>
      <c r="L204" s="26"/>
      <c r="M204" s="26"/>
      <c r="O204" s="49" t="s">
        <v>1615</v>
      </c>
      <c r="P204" s="299" t="s">
        <v>2652</v>
      </c>
      <c r="Q204" s="420"/>
      <c r="S204" s="1412"/>
      <c r="T204" s="1412"/>
      <c r="U204" s="1412"/>
      <c r="V204" s="1412"/>
      <c r="W204" s="1412"/>
      <c r="X204" s="1412"/>
      <c r="Y204" s="1412"/>
      <c r="Z204" s="1412"/>
      <c r="AA204" s="1412"/>
      <c r="AB204" s="1412"/>
      <c r="AC204" s="1412"/>
      <c r="AD204" s="1412"/>
      <c r="AE204" s="1412"/>
      <c r="AF204" s="1412"/>
      <c r="AG204" s="1412"/>
      <c r="AH204" s="1412"/>
      <c r="AI204" s="1412"/>
      <c r="AJ204" s="1412"/>
      <c r="AK204" s="1412"/>
      <c r="AL204" s="1412"/>
      <c r="AM204" s="1412"/>
      <c r="AN204" s="1412"/>
      <c r="AO204" s="1412"/>
      <c r="AP204" s="1412"/>
      <c r="AQ204" s="1412"/>
      <c r="AR204" s="1412"/>
    </row>
    <row r="205" spans="1:44" ht="12.75" customHeight="1">
      <c r="B205" s="113" t="s">
        <v>1616</v>
      </c>
      <c r="C205" s="33" t="s">
        <v>2506</v>
      </c>
      <c r="E205" s="33"/>
      <c r="F205" s="33"/>
      <c r="L205" s="26"/>
      <c r="M205" s="26"/>
      <c r="O205" s="49" t="s">
        <v>1616</v>
      </c>
      <c r="P205" s="299" t="s">
        <v>2652</v>
      </c>
      <c r="Q205" s="420"/>
      <c r="S205" s="1412"/>
      <c r="T205" s="1412"/>
      <c r="U205" s="1412"/>
      <c r="V205" s="1412"/>
      <c r="W205" s="1412"/>
      <c r="X205" s="1412"/>
      <c r="Y205" s="1412"/>
      <c r="Z205" s="1412"/>
      <c r="AA205" s="1412"/>
      <c r="AB205" s="1412"/>
      <c r="AC205" s="1412"/>
      <c r="AD205" s="1412"/>
      <c r="AE205" s="1412"/>
      <c r="AF205" s="1412"/>
      <c r="AG205" s="1412"/>
      <c r="AH205" s="1412"/>
      <c r="AI205" s="1412"/>
      <c r="AJ205" s="1412"/>
      <c r="AK205" s="1412"/>
      <c r="AL205" s="1412"/>
      <c r="AM205" s="1412"/>
      <c r="AN205" s="1412"/>
      <c r="AO205" s="1412"/>
      <c r="AP205" s="1412"/>
      <c r="AQ205" s="1412"/>
      <c r="AR205" s="1412"/>
    </row>
    <row r="206" spans="1:44" ht="12.75" customHeight="1">
      <c r="B206" s="113" t="s">
        <v>1617</v>
      </c>
      <c r="C206" s="33" t="s">
        <v>6119</v>
      </c>
      <c r="E206" s="33"/>
      <c r="F206" s="33"/>
      <c r="G206" s="33"/>
      <c r="H206" s="33"/>
      <c r="I206" s="35"/>
      <c r="J206" s="26"/>
      <c r="K206" s="35"/>
      <c r="L206" s="26"/>
      <c r="M206" s="26"/>
      <c r="O206" s="49" t="s">
        <v>1617</v>
      </c>
      <c r="P206" s="299" t="s">
        <v>2652</v>
      </c>
      <c r="Q206" s="420"/>
      <c r="S206" s="1412"/>
      <c r="T206" s="1412"/>
      <c r="U206" s="1412"/>
      <c r="V206" s="1412"/>
      <c r="W206" s="1412"/>
      <c r="X206" s="1412"/>
      <c r="Y206" s="1412"/>
      <c r="Z206" s="1412"/>
      <c r="AA206" s="1412"/>
      <c r="AB206" s="1412"/>
      <c r="AC206" s="1412"/>
      <c r="AD206" s="1412"/>
      <c r="AE206" s="1412"/>
      <c r="AF206" s="1412"/>
      <c r="AG206" s="1412"/>
      <c r="AH206" s="1412"/>
      <c r="AI206" s="1412"/>
      <c r="AJ206" s="1412"/>
      <c r="AK206" s="1412"/>
      <c r="AL206" s="1412"/>
      <c r="AM206" s="1412"/>
      <c r="AN206" s="1412"/>
      <c r="AO206" s="1412"/>
      <c r="AP206" s="1412"/>
      <c r="AQ206" s="1412"/>
      <c r="AR206" s="1412"/>
    </row>
    <row r="207" spans="1:44" ht="12.75" customHeight="1">
      <c r="A207" s="40"/>
      <c r="B207" s="113" t="s">
        <v>2183</v>
      </c>
      <c r="C207" s="33" t="s">
        <v>2507</v>
      </c>
      <c r="E207" s="33"/>
      <c r="F207" s="33"/>
      <c r="G207" s="33"/>
      <c r="H207" s="33"/>
      <c r="I207" s="35"/>
      <c r="J207" s="26"/>
      <c r="K207" s="35"/>
      <c r="L207" s="26"/>
      <c r="M207" s="26"/>
      <c r="O207" s="49" t="s">
        <v>2183</v>
      </c>
      <c r="P207" s="299" t="s">
        <v>2652</v>
      </c>
      <c r="Q207" s="420"/>
      <c r="S207" s="1412"/>
      <c r="T207" s="1412"/>
      <c r="U207" s="1412"/>
      <c r="V207" s="1412"/>
      <c r="W207" s="1412"/>
      <c r="X207" s="1412"/>
      <c r="Y207" s="1412"/>
      <c r="Z207" s="1412"/>
      <c r="AA207" s="1412"/>
      <c r="AB207" s="1412"/>
      <c r="AC207" s="1412"/>
      <c r="AD207" s="1412"/>
      <c r="AE207" s="1412"/>
      <c r="AF207" s="1412"/>
      <c r="AG207" s="1412"/>
      <c r="AH207" s="1412"/>
      <c r="AI207" s="1412"/>
      <c r="AJ207" s="1412"/>
      <c r="AK207" s="1412"/>
      <c r="AL207" s="1412"/>
      <c r="AM207" s="1412"/>
      <c r="AN207" s="1412"/>
      <c r="AO207" s="1412"/>
      <c r="AP207" s="1412"/>
      <c r="AQ207" s="1412"/>
      <c r="AR207" s="1412"/>
    </row>
    <row r="208" spans="1:44" ht="12.75" customHeight="1">
      <c r="A208" s="40"/>
      <c r="B208" s="113" t="s">
        <v>1449</v>
      </c>
      <c r="C208" s="33" t="s">
        <v>2508</v>
      </c>
      <c r="E208" s="33"/>
      <c r="F208" s="33"/>
      <c r="G208" s="33"/>
      <c r="H208" s="33"/>
      <c r="I208" s="35"/>
      <c r="J208" s="26"/>
      <c r="K208" s="35"/>
      <c r="L208" s="26"/>
      <c r="M208" s="26"/>
      <c r="O208" s="49" t="s">
        <v>1449</v>
      </c>
      <c r="P208" s="299" t="s">
        <v>2652</v>
      </c>
      <c r="Q208" s="420"/>
      <c r="S208" s="1412"/>
      <c r="T208" s="1412"/>
      <c r="U208" s="1412"/>
      <c r="V208" s="1412"/>
      <c r="W208" s="1412"/>
      <c r="X208" s="1412"/>
      <c r="Y208" s="1412"/>
      <c r="Z208" s="1412"/>
      <c r="AA208" s="1412"/>
      <c r="AB208" s="1412"/>
      <c r="AC208" s="1412"/>
      <c r="AD208" s="1412"/>
      <c r="AE208" s="1412"/>
      <c r="AF208" s="1412"/>
      <c r="AG208" s="1412"/>
      <c r="AH208" s="1412"/>
      <c r="AI208" s="1412"/>
      <c r="AJ208" s="1412"/>
      <c r="AK208" s="1412"/>
      <c r="AL208" s="1412"/>
      <c r="AM208" s="1412"/>
      <c r="AN208" s="1412"/>
      <c r="AO208" s="1412"/>
      <c r="AP208" s="1412"/>
      <c r="AQ208" s="1412"/>
      <c r="AR208" s="1412"/>
    </row>
    <row r="209" spans="1:44">
      <c r="A209" s="40"/>
      <c r="B209" s="372" t="s">
        <v>1450</v>
      </c>
      <c r="C209" s="3218" t="s">
        <v>6747</v>
      </c>
      <c r="D209" s="3218"/>
      <c r="E209" s="3218"/>
      <c r="F209" s="3218"/>
      <c r="G209" s="3218"/>
      <c r="H209" s="3218"/>
      <c r="I209" s="3218"/>
      <c r="J209" s="3218"/>
      <c r="K209" s="3218"/>
      <c r="L209" s="3218"/>
      <c r="M209" s="3218"/>
      <c r="N209" s="3218"/>
      <c r="O209" s="128" t="s">
        <v>1450</v>
      </c>
      <c r="P209" s="898" t="s">
        <v>2652</v>
      </c>
      <c r="Q209" s="897"/>
      <c r="S209" s="1412"/>
      <c r="T209" s="1412"/>
      <c r="U209" s="1412"/>
      <c r="V209" s="1412"/>
      <c r="W209" s="1412"/>
      <c r="X209" s="1412"/>
      <c r="Y209" s="1412"/>
      <c r="Z209" s="1412"/>
      <c r="AA209" s="1412"/>
      <c r="AB209" s="1412"/>
      <c r="AC209" s="1412"/>
      <c r="AD209" s="1412"/>
      <c r="AE209" s="1412"/>
      <c r="AF209" s="1412"/>
      <c r="AG209" s="1412"/>
      <c r="AH209" s="1412"/>
      <c r="AI209" s="1412"/>
      <c r="AJ209" s="1412"/>
      <c r="AK209" s="1412"/>
      <c r="AL209" s="1412"/>
      <c r="AM209" s="1412"/>
      <c r="AN209" s="1412"/>
      <c r="AO209" s="1412"/>
      <c r="AP209" s="1412"/>
      <c r="AQ209" s="1412"/>
      <c r="AR209" s="1412"/>
    </row>
    <row r="210" spans="1:44" ht="12" customHeight="1">
      <c r="A210" s="40" t="s">
        <v>1963</v>
      </c>
      <c r="B210" s="29" t="s">
        <v>6103</v>
      </c>
      <c r="C210" s="29"/>
      <c r="E210" s="29"/>
      <c r="F210" s="29"/>
      <c r="G210" s="29"/>
      <c r="H210" s="29"/>
      <c r="I210" s="29"/>
      <c r="J210" s="29"/>
      <c r="K210" s="35"/>
      <c r="N210" s="396" t="str">
        <f>'Part VII-Threshold Criteria'!J35</f>
        <v>Family</v>
      </c>
      <c r="O210" s="48" t="s">
        <v>1963</v>
      </c>
      <c r="P210" s="175"/>
      <c r="Q210" s="419"/>
      <c r="S210" s="1412"/>
      <c r="T210" s="1412"/>
      <c r="U210" s="1412"/>
      <c r="V210" s="1412"/>
      <c r="W210" s="1412"/>
      <c r="X210" s="1412"/>
      <c r="Y210" s="1412"/>
      <c r="Z210" s="1412"/>
      <c r="AA210" s="1412"/>
      <c r="AB210" s="1412"/>
      <c r="AC210" s="1412"/>
      <c r="AD210" s="1412"/>
      <c r="AE210" s="1412"/>
      <c r="AF210" s="1412"/>
      <c r="AG210" s="1412"/>
      <c r="AH210" s="1412"/>
      <c r="AI210" s="1412"/>
      <c r="AJ210" s="1412"/>
      <c r="AK210" s="1412"/>
      <c r="AL210" s="1412"/>
      <c r="AM210" s="1412"/>
      <c r="AN210" s="1412"/>
      <c r="AO210" s="1412"/>
      <c r="AP210" s="1412"/>
      <c r="AQ210" s="1412"/>
      <c r="AR210" s="1412"/>
    </row>
    <row r="211" spans="1:44" ht="12" customHeight="1">
      <c r="B211" s="113" t="s">
        <v>1615</v>
      </c>
      <c r="C211" s="32" t="s">
        <v>1182</v>
      </c>
      <c r="E211" s="35"/>
      <c r="F211" s="35"/>
      <c r="G211" s="32"/>
      <c r="H211" s="33"/>
      <c r="I211" s="35"/>
      <c r="J211" s="33"/>
      <c r="K211" s="35"/>
      <c r="L211" s="33"/>
      <c r="M211" s="33"/>
      <c r="O211" s="49" t="s">
        <v>1615</v>
      </c>
      <c r="P211" s="299"/>
      <c r="Q211" s="420"/>
      <c r="S211" s="1412"/>
      <c r="T211" s="1412"/>
      <c r="U211" s="1412"/>
      <c r="V211" s="1412"/>
      <c r="W211" s="1412"/>
      <c r="X211" s="1412"/>
      <c r="Y211" s="1412"/>
      <c r="Z211" s="1412"/>
      <c r="AA211" s="1412"/>
      <c r="AB211" s="1412"/>
      <c r="AC211" s="1412"/>
      <c r="AD211" s="1412"/>
      <c r="AE211" s="1412"/>
      <c r="AF211" s="1412"/>
      <c r="AG211" s="1412"/>
      <c r="AH211" s="1412"/>
      <c r="AI211" s="1412"/>
      <c r="AJ211" s="1412"/>
      <c r="AK211" s="1412"/>
      <c r="AL211" s="1412"/>
      <c r="AM211" s="1412"/>
      <c r="AN211" s="1412"/>
      <c r="AO211" s="1412"/>
      <c r="AP211" s="1412"/>
      <c r="AQ211" s="1412"/>
      <c r="AR211" s="1412"/>
    </row>
    <row r="212" spans="1:44" ht="12" customHeight="1">
      <c r="B212" s="113" t="s">
        <v>1616</v>
      </c>
      <c r="C212" s="29" t="s">
        <v>3805</v>
      </c>
      <c r="E212" s="35"/>
      <c r="F212" s="35"/>
      <c r="G212" s="33"/>
      <c r="H212" s="33"/>
      <c r="I212" s="35"/>
      <c r="J212" s="33"/>
      <c r="K212" s="35"/>
      <c r="L212" s="33"/>
      <c r="M212" s="33"/>
      <c r="O212" s="49" t="s">
        <v>1616</v>
      </c>
      <c r="P212" s="176"/>
      <c r="Q212" s="421"/>
      <c r="S212" s="1412"/>
      <c r="T212" s="1412"/>
      <c r="U212" s="1412"/>
      <c r="V212" s="1412"/>
      <c r="W212" s="1412"/>
      <c r="X212" s="1412"/>
      <c r="Y212" s="1412"/>
      <c r="Z212" s="1412"/>
      <c r="AA212" s="1412"/>
      <c r="AB212" s="1412"/>
      <c r="AC212" s="1412"/>
      <c r="AD212" s="1412"/>
      <c r="AE212" s="1412"/>
      <c r="AF212" s="1412"/>
      <c r="AG212" s="1412"/>
      <c r="AH212" s="1412"/>
      <c r="AI212" s="1412"/>
      <c r="AJ212" s="1412"/>
      <c r="AK212" s="1412"/>
      <c r="AL212" s="1412"/>
      <c r="AM212" s="1412"/>
      <c r="AN212" s="1412"/>
      <c r="AO212" s="1412"/>
      <c r="AP212" s="1412"/>
      <c r="AQ212" s="1412"/>
      <c r="AR212" s="1412"/>
    </row>
    <row r="213" spans="1:44" ht="11.25" customHeight="1">
      <c r="B213" s="109" t="s">
        <v>3243</v>
      </c>
      <c r="D213" s="109"/>
      <c r="E213" s="109"/>
      <c r="F213" s="109"/>
      <c r="G213" s="109"/>
      <c r="H213" s="33"/>
      <c r="I213" s="893"/>
      <c r="J213" s="893"/>
      <c r="K213" s="893"/>
      <c r="L213" s="686"/>
      <c r="M213" s="686"/>
      <c r="N213" s="686"/>
      <c r="O213" s="686"/>
      <c r="P213" s="686"/>
      <c r="Q213" s="686"/>
      <c r="S213" s="1412"/>
      <c r="T213" s="1412"/>
      <c r="U213" s="1412"/>
      <c r="V213" s="1412"/>
      <c r="W213" s="1412"/>
      <c r="X213" s="1412"/>
      <c r="Y213" s="1412"/>
      <c r="Z213" s="1412"/>
      <c r="AA213" s="1412"/>
      <c r="AB213" s="1412"/>
      <c r="AC213" s="1412"/>
      <c r="AD213" s="1412"/>
      <c r="AE213" s="1412"/>
      <c r="AF213" s="1412"/>
      <c r="AG213" s="1412"/>
      <c r="AH213" s="1412"/>
      <c r="AI213" s="1412"/>
      <c r="AJ213" s="1412"/>
      <c r="AK213" s="1412"/>
      <c r="AL213" s="1412"/>
      <c r="AM213" s="1412"/>
      <c r="AN213" s="1412"/>
      <c r="AO213" s="1412"/>
      <c r="AP213" s="1412"/>
      <c r="AQ213" s="1412"/>
      <c r="AR213" s="1412"/>
    </row>
    <row r="214" spans="1:44" ht="12" customHeight="1">
      <c r="A214" s="3215" t="s">
        <v>6940</v>
      </c>
      <c r="B214" s="3216"/>
      <c r="C214" s="3216"/>
      <c r="D214" s="3216"/>
      <c r="E214" s="3216"/>
      <c r="F214" s="3216"/>
      <c r="G214" s="3216"/>
      <c r="H214" s="3216"/>
      <c r="I214" s="3216"/>
      <c r="J214" s="3216"/>
      <c r="K214" s="3216"/>
      <c r="L214" s="3216"/>
      <c r="M214" s="3216"/>
      <c r="N214" s="3216"/>
      <c r="O214" s="3216"/>
      <c r="P214" s="3216"/>
      <c r="Q214" s="3217"/>
      <c r="R214" s="354" t="s">
        <v>1181</v>
      </c>
      <c r="S214" s="1415"/>
      <c r="T214" s="1412"/>
      <c r="U214" s="1416"/>
      <c r="V214" s="1416"/>
      <c r="W214" s="1416"/>
      <c r="X214" s="1416"/>
      <c r="Y214" s="1416"/>
      <c r="Z214" s="1416"/>
      <c r="AA214" s="1416"/>
      <c r="AB214" s="1416"/>
      <c r="AC214" s="1416"/>
      <c r="AD214" s="1416"/>
      <c r="AE214" s="1416"/>
      <c r="AF214" s="1412"/>
      <c r="AG214" s="1412"/>
      <c r="AH214" s="1412"/>
      <c r="AI214" s="1412"/>
      <c r="AJ214" s="1412"/>
      <c r="AK214" s="1412"/>
      <c r="AL214" s="1412"/>
      <c r="AM214" s="1412"/>
      <c r="AN214" s="1412"/>
      <c r="AO214" s="1412"/>
      <c r="AP214" s="1412"/>
      <c r="AQ214" s="1412"/>
      <c r="AR214" s="1412"/>
    </row>
    <row r="215" spans="1:44" ht="11.25" customHeight="1">
      <c r="B215" s="105" t="s">
        <v>1730</v>
      </c>
      <c r="C215" s="106"/>
      <c r="D215" s="889"/>
      <c r="E215" s="889"/>
      <c r="F215" s="889"/>
      <c r="G215" s="889"/>
      <c r="H215" s="889"/>
      <c r="I215" s="889"/>
      <c r="J215" s="889"/>
      <c r="K215" s="889"/>
      <c r="L215" s="889"/>
      <c r="M215" s="889"/>
      <c r="N215" s="889"/>
      <c r="O215" s="889"/>
      <c r="P215" s="889"/>
      <c r="Q215" s="889"/>
      <c r="S215" s="1412"/>
      <c r="T215" s="1412"/>
      <c r="U215" s="1412"/>
      <c r="V215" s="1412"/>
      <c r="W215" s="1412"/>
      <c r="X215" s="1412"/>
      <c r="Y215" s="1412"/>
      <c r="Z215" s="1412"/>
      <c r="AA215" s="1412"/>
      <c r="AB215" s="1412"/>
      <c r="AC215" s="1412"/>
      <c r="AD215" s="1412"/>
      <c r="AE215" s="1412"/>
      <c r="AF215" s="1412"/>
      <c r="AG215" s="1412"/>
      <c r="AH215" s="1412"/>
      <c r="AI215" s="1412"/>
      <c r="AJ215" s="1412"/>
      <c r="AK215" s="1412"/>
      <c r="AL215" s="1412"/>
      <c r="AM215" s="1412"/>
      <c r="AN215" s="1412"/>
      <c r="AO215" s="1412"/>
      <c r="AP215" s="1412"/>
      <c r="AQ215" s="1412"/>
      <c r="AR215" s="1412"/>
    </row>
    <row r="216" spans="1:44" ht="12" customHeight="1">
      <c r="A216" s="3219"/>
      <c r="B216" s="3220"/>
      <c r="C216" s="3220"/>
      <c r="D216" s="3220"/>
      <c r="E216" s="3220"/>
      <c r="F216" s="3220"/>
      <c r="G216" s="3220"/>
      <c r="H216" s="3220"/>
      <c r="I216" s="3220"/>
      <c r="J216" s="3220"/>
      <c r="K216" s="3220"/>
      <c r="L216" s="3220"/>
      <c r="M216" s="3220"/>
      <c r="N216" s="3220"/>
      <c r="O216" s="3220"/>
      <c r="P216" s="3220"/>
      <c r="Q216" s="3221"/>
      <c r="S216" s="1412"/>
      <c r="T216" s="1412"/>
      <c r="U216" s="1412"/>
      <c r="V216" s="1412"/>
      <c r="W216" s="1412"/>
      <c r="X216" s="1412"/>
      <c r="Y216" s="1412"/>
      <c r="Z216" s="1412"/>
      <c r="AA216" s="1412"/>
      <c r="AB216" s="1412"/>
      <c r="AC216" s="1412"/>
      <c r="AD216" s="1412"/>
      <c r="AE216" s="1412"/>
      <c r="AF216" s="1412"/>
      <c r="AG216" s="1412"/>
      <c r="AH216" s="1412"/>
      <c r="AI216" s="1412"/>
      <c r="AJ216" s="1412"/>
      <c r="AK216" s="1412"/>
      <c r="AL216" s="1412"/>
      <c r="AM216" s="1412"/>
      <c r="AN216" s="1412"/>
      <c r="AO216" s="1412"/>
      <c r="AP216" s="1412"/>
      <c r="AQ216" s="1412"/>
      <c r="AR216" s="1412"/>
    </row>
    <row r="217" spans="1:44" ht="14.1" customHeight="1">
      <c r="A217" s="2" t="s">
        <v>2498</v>
      </c>
      <c r="B217" s="2" t="s">
        <v>6120</v>
      </c>
      <c r="C217" s="33"/>
      <c r="D217" s="889"/>
      <c r="E217" s="889"/>
      <c r="F217" s="889"/>
      <c r="G217" s="889"/>
      <c r="H217" s="889"/>
      <c r="I217" s="889"/>
      <c r="J217" s="889"/>
      <c r="K217" s="396" t="s">
        <v>6743</v>
      </c>
      <c r="L217" s="1328" t="str">
        <f>'Part I-Project Identification'!$P$29</f>
        <v>Yes</v>
      </c>
      <c r="M217" s="889"/>
      <c r="O217" s="101" t="s">
        <v>1731</v>
      </c>
      <c r="P217" s="3236"/>
      <c r="Q217" s="3225"/>
    </row>
    <row r="218" spans="1:44" ht="11.25" customHeight="1">
      <c r="A218" s="110" t="s">
        <v>1842</v>
      </c>
      <c r="B218" s="108" t="s">
        <v>6123</v>
      </c>
    </row>
    <row r="219" spans="1:44" ht="10.5" customHeight="1">
      <c r="A219" s="110"/>
      <c r="B219" s="29" t="s">
        <v>6125</v>
      </c>
      <c r="C219" s="35"/>
      <c r="D219" s="35"/>
      <c r="E219" s="35"/>
      <c r="F219" s="35"/>
      <c r="G219" s="35"/>
      <c r="H219" s="35"/>
      <c r="I219" s="35"/>
      <c r="J219" s="1518" t="s">
        <v>6124</v>
      </c>
      <c r="K219" s="29" t="s">
        <v>6125</v>
      </c>
      <c r="L219" s="35"/>
      <c r="M219" s="35"/>
      <c r="N219" s="35"/>
      <c r="O219" s="35"/>
      <c r="P219" s="35"/>
      <c r="Q219" s="1518" t="s">
        <v>6124</v>
      </c>
    </row>
    <row r="220" spans="1:44" s="102" customFormat="1" ht="11.25" customHeight="1">
      <c r="B220" s="3222"/>
      <c r="C220" s="3223"/>
      <c r="D220" s="3223"/>
      <c r="E220" s="3223"/>
      <c r="F220" s="3223"/>
      <c r="G220" s="3223"/>
      <c r="H220" s="3223"/>
      <c r="I220" s="3223"/>
      <c r="J220" s="1986"/>
      <c r="K220" s="3222"/>
      <c r="L220" s="3223"/>
      <c r="M220" s="3223"/>
      <c r="N220" s="3223"/>
      <c r="O220" s="3223"/>
      <c r="P220" s="3223"/>
      <c r="Q220" s="1986"/>
    </row>
    <row r="221" spans="1:44" s="102" customFormat="1" ht="11.25" customHeight="1">
      <c r="A221" s="110"/>
      <c r="B221" s="2637"/>
      <c r="C221" s="2638"/>
      <c r="D221" s="2638"/>
      <c r="E221" s="2638"/>
      <c r="F221" s="2638"/>
      <c r="G221" s="2638"/>
      <c r="H221" s="2638"/>
      <c r="I221" s="2638"/>
      <c r="J221" s="1987"/>
      <c r="K221" s="2637"/>
      <c r="L221" s="2638"/>
      <c r="M221" s="2638"/>
      <c r="N221" s="2638"/>
      <c r="O221" s="2638"/>
      <c r="P221" s="2638"/>
      <c r="Q221" s="1987"/>
    </row>
    <row r="222" spans="1:44" s="102" customFormat="1" ht="11.25" customHeight="1">
      <c r="A222" s="110"/>
      <c r="B222" s="2637"/>
      <c r="C222" s="2638"/>
      <c r="D222" s="2638"/>
      <c r="E222" s="2638"/>
      <c r="F222" s="2638"/>
      <c r="G222" s="2638"/>
      <c r="H222" s="2638"/>
      <c r="I222" s="2638"/>
      <c r="J222" s="1987"/>
      <c r="K222" s="2637"/>
      <c r="L222" s="2638"/>
      <c r="M222" s="2638"/>
      <c r="N222" s="2638"/>
      <c r="O222" s="2638"/>
      <c r="P222" s="2638"/>
      <c r="Q222" s="1987"/>
    </row>
    <row r="223" spans="1:44" s="102" customFormat="1" ht="11.25" customHeight="1">
      <c r="A223" s="110"/>
      <c r="B223" s="2637"/>
      <c r="C223" s="2638"/>
      <c r="D223" s="2638"/>
      <c r="E223" s="2638"/>
      <c r="F223" s="2638"/>
      <c r="G223" s="2638"/>
      <c r="H223" s="2638"/>
      <c r="I223" s="2638"/>
      <c r="J223" s="1987"/>
      <c r="K223" s="2637"/>
      <c r="L223" s="2638"/>
      <c r="M223" s="2638"/>
      <c r="N223" s="2638"/>
      <c r="O223" s="2638"/>
      <c r="P223" s="2638"/>
      <c r="Q223" s="1987"/>
    </row>
    <row r="224" spans="1:44" s="102" customFormat="1" ht="11.25" customHeight="1">
      <c r="A224" s="110"/>
      <c r="B224" s="2637"/>
      <c r="C224" s="2638"/>
      <c r="D224" s="2638"/>
      <c r="E224" s="2638"/>
      <c r="F224" s="2638"/>
      <c r="G224" s="2638"/>
      <c r="H224" s="2638"/>
      <c r="I224" s="2638"/>
      <c r="J224" s="1987"/>
      <c r="K224" s="2637"/>
      <c r="L224" s="2638"/>
      <c r="M224" s="2638"/>
      <c r="N224" s="2638"/>
      <c r="O224" s="2638"/>
      <c r="P224" s="2638"/>
      <c r="Q224" s="1987"/>
    </row>
    <row r="225" spans="1:44" s="102" customFormat="1" ht="11.25" customHeight="1">
      <c r="A225" s="110"/>
      <c r="B225" s="2637"/>
      <c r="C225" s="2638"/>
      <c r="D225" s="2638"/>
      <c r="E225" s="2638"/>
      <c r="F225" s="2638"/>
      <c r="G225" s="2638"/>
      <c r="H225" s="2638"/>
      <c r="I225" s="2638"/>
      <c r="J225" s="1987"/>
      <c r="K225" s="2637"/>
      <c r="L225" s="2638"/>
      <c r="M225" s="2638"/>
      <c r="N225" s="2638"/>
      <c r="O225" s="2638"/>
      <c r="P225" s="2638"/>
      <c r="Q225" s="1987"/>
    </row>
    <row r="226" spans="1:44" s="102" customFormat="1" ht="11.25" customHeight="1">
      <c r="A226" s="110"/>
      <c r="B226" s="2637"/>
      <c r="C226" s="2638"/>
      <c r="D226" s="2638"/>
      <c r="E226" s="2638"/>
      <c r="F226" s="2638"/>
      <c r="G226" s="2638"/>
      <c r="H226" s="2638"/>
      <c r="I226" s="2638"/>
      <c r="J226" s="1987"/>
      <c r="K226" s="2637"/>
      <c r="L226" s="2638"/>
      <c r="M226" s="2638"/>
      <c r="N226" s="2638"/>
      <c r="O226" s="2638"/>
      <c r="P226" s="2638"/>
      <c r="Q226" s="1987"/>
    </row>
    <row r="227" spans="1:44" s="102" customFormat="1" ht="11.25" customHeight="1">
      <c r="B227" s="2676"/>
      <c r="C227" s="2677"/>
      <c r="D227" s="2677"/>
      <c r="E227" s="2677"/>
      <c r="F227" s="2677"/>
      <c r="G227" s="2677"/>
      <c r="H227" s="2677"/>
      <c r="I227" s="2677"/>
      <c r="J227" s="1988"/>
      <c r="K227" s="2676"/>
      <c r="L227" s="2677"/>
      <c r="M227" s="2677"/>
      <c r="N227" s="2677"/>
      <c r="O227" s="2677"/>
      <c r="P227" s="2677"/>
      <c r="Q227" s="1988"/>
    </row>
    <row r="228" spans="1:44" ht="12" customHeight="1">
      <c r="A228" s="110" t="s">
        <v>1844</v>
      </c>
      <c r="B228" s="1534" t="s">
        <v>6126</v>
      </c>
      <c r="C228" s="1535"/>
      <c r="D228" s="1536"/>
      <c r="E228" s="1536"/>
      <c r="F228" s="1536"/>
      <c r="G228" s="1536"/>
      <c r="H228" s="1536"/>
      <c r="I228" s="1537"/>
      <c r="J228" s="1537"/>
      <c r="K228" s="1536"/>
      <c r="L228" s="1538"/>
      <c r="M228" s="1535"/>
      <c r="N228" s="1535"/>
      <c r="O228" s="128" t="s">
        <v>1844</v>
      </c>
      <c r="P228" s="1289"/>
      <c r="Q228" s="1290"/>
    </row>
    <row r="229" spans="1:44" s="334" customFormat="1">
      <c r="A229" s="110" t="s">
        <v>698</v>
      </c>
      <c r="B229" s="3218" t="s">
        <v>6122</v>
      </c>
      <c r="C229" s="3218"/>
      <c r="D229" s="3218"/>
      <c r="E229" s="3218"/>
      <c r="F229" s="3218"/>
      <c r="G229" s="3218"/>
      <c r="H229" s="3218"/>
      <c r="I229" s="3218"/>
      <c r="J229" s="3218"/>
      <c r="K229" s="3218"/>
      <c r="L229" s="3218"/>
      <c r="M229" s="3218"/>
      <c r="N229" s="3218"/>
      <c r="O229" s="128" t="s">
        <v>698</v>
      </c>
      <c r="P229" s="431"/>
      <c r="Q229" s="422"/>
      <c r="S229" s="1418"/>
      <c r="T229" s="1418"/>
      <c r="U229" s="1418"/>
      <c r="V229" s="1418"/>
      <c r="W229" s="1418"/>
      <c r="X229" s="1418"/>
      <c r="Y229" s="1418"/>
      <c r="Z229" s="1418"/>
      <c r="AA229" s="1418"/>
      <c r="AB229" s="1418"/>
      <c r="AC229" s="1418"/>
      <c r="AD229" s="1418"/>
      <c r="AE229" s="1418"/>
      <c r="AF229" s="1418"/>
      <c r="AG229" s="1418"/>
      <c r="AH229" s="1418"/>
      <c r="AI229" s="1418"/>
      <c r="AJ229" s="1418"/>
      <c r="AK229" s="1418"/>
      <c r="AL229" s="1418"/>
      <c r="AM229" s="1418"/>
      <c r="AN229" s="1418"/>
      <c r="AO229" s="1418"/>
      <c r="AP229" s="1418"/>
      <c r="AQ229" s="1418"/>
      <c r="AR229" s="1418"/>
    </row>
    <row r="230" spans="1:44" s="334" customFormat="1" ht="12" customHeight="1">
      <c r="A230" s="40" t="s">
        <v>1963</v>
      </c>
      <c r="B230" s="108" t="s">
        <v>6121</v>
      </c>
      <c r="D230" s="108"/>
      <c r="E230" s="108"/>
      <c r="F230" s="108"/>
      <c r="G230" s="108"/>
      <c r="H230" s="108"/>
      <c r="I230" s="108"/>
      <c r="J230" s="108"/>
      <c r="K230" s="108"/>
      <c r="L230" s="108"/>
      <c r="M230" s="108"/>
      <c r="O230" s="48" t="s">
        <v>1963</v>
      </c>
      <c r="P230" s="898"/>
      <c r="Q230" s="897"/>
      <c r="S230" s="1418"/>
      <c r="T230" s="1418"/>
      <c r="U230" s="1418"/>
      <c r="V230" s="1418"/>
      <c r="W230" s="1418"/>
      <c r="X230" s="1418"/>
      <c r="Y230" s="1418"/>
      <c r="Z230" s="1418"/>
      <c r="AA230" s="1418"/>
      <c r="AB230" s="1418"/>
      <c r="AC230" s="1418"/>
      <c r="AD230" s="1418"/>
      <c r="AE230" s="1418"/>
      <c r="AF230" s="1418"/>
      <c r="AG230" s="1418"/>
      <c r="AH230" s="1418"/>
      <c r="AI230" s="1418"/>
      <c r="AJ230" s="1418"/>
      <c r="AK230" s="1418"/>
      <c r="AL230" s="1418"/>
      <c r="AM230" s="1418"/>
      <c r="AN230" s="1418"/>
      <c r="AO230" s="1418"/>
      <c r="AP230" s="1418"/>
      <c r="AQ230" s="1418"/>
      <c r="AR230" s="1418"/>
    </row>
    <row r="231" spans="1:44" ht="11.25" customHeight="1">
      <c r="B231" s="109" t="s">
        <v>3243</v>
      </c>
      <c r="D231" s="109"/>
      <c r="E231" s="109"/>
      <c r="F231" s="109"/>
      <c r="G231" s="109"/>
      <c r="H231" s="33"/>
      <c r="I231" s="893"/>
      <c r="J231" s="893"/>
      <c r="K231" s="893"/>
      <c r="L231" s="686"/>
      <c r="M231" s="686"/>
      <c r="N231" s="686"/>
      <c r="O231" s="686"/>
      <c r="P231" s="686"/>
      <c r="Q231" s="686"/>
      <c r="S231" s="1412"/>
      <c r="T231" s="1412"/>
      <c r="U231" s="1412"/>
      <c r="V231" s="1412"/>
      <c r="W231" s="1412"/>
      <c r="X231" s="1412"/>
      <c r="Y231" s="1412"/>
      <c r="Z231" s="1412"/>
      <c r="AA231" s="1412"/>
      <c r="AB231" s="1412"/>
      <c r="AC231" s="1412"/>
      <c r="AD231" s="1412"/>
      <c r="AE231" s="1412"/>
      <c r="AF231" s="1412"/>
      <c r="AG231" s="1412"/>
      <c r="AH231" s="1412"/>
      <c r="AI231" s="1412"/>
      <c r="AJ231" s="1412"/>
      <c r="AK231" s="1412"/>
      <c r="AL231" s="1412"/>
      <c r="AM231" s="1412"/>
      <c r="AN231" s="1412"/>
      <c r="AO231" s="1412"/>
      <c r="AP231" s="1412"/>
      <c r="AQ231" s="1412"/>
      <c r="AR231" s="1412"/>
    </row>
    <row r="232" spans="1:44" ht="12" customHeight="1">
      <c r="A232" s="3215" t="s">
        <v>907</v>
      </c>
      <c r="B232" s="3216"/>
      <c r="C232" s="3216"/>
      <c r="D232" s="3216"/>
      <c r="E232" s="3216"/>
      <c r="F232" s="3216"/>
      <c r="G232" s="3216"/>
      <c r="H232" s="3216"/>
      <c r="I232" s="3216"/>
      <c r="J232" s="3216"/>
      <c r="K232" s="3216"/>
      <c r="L232" s="3216"/>
      <c r="M232" s="3216"/>
      <c r="N232" s="3216"/>
      <c r="O232" s="3216"/>
      <c r="P232" s="3216"/>
      <c r="Q232" s="3217"/>
      <c r="R232" s="354" t="s">
        <v>1181</v>
      </c>
      <c r="S232" s="1415"/>
      <c r="T232" s="1412"/>
      <c r="U232" s="1416"/>
      <c r="V232" s="1416"/>
      <c r="W232" s="1416"/>
      <c r="X232" s="1416"/>
      <c r="Y232" s="1416"/>
      <c r="Z232" s="1416"/>
      <c r="AA232" s="1416"/>
      <c r="AB232" s="1416"/>
      <c r="AC232" s="1416"/>
      <c r="AD232" s="1416"/>
      <c r="AE232" s="1416"/>
      <c r="AF232" s="1412"/>
      <c r="AG232" s="1412"/>
      <c r="AH232" s="1412"/>
      <c r="AI232" s="1412"/>
      <c r="AJ232" s="1412"/>
      <c r="AK232" s="1412"/>
      <c r="AL232" s="1412"/>
      <c r="AM232" s="1412"/>
      <c r="AN232" s="1412"/>
      <c r="AO232" s="1412"/>
      <c r="AP232" s="1412"/>
      <c r="AQ232" s="1412"/>
      <c r="AR232" s="1412"/>
    </row>
    <row r="233" spans="1:44" ht="11.25" customHeight="1">
      <c r="B233" s="105" t="s">
        <v>1730</v>
      </c>
      <c r="C233" s="106"/>
      <c r="D233" s="889"/>
      <c r="E233" s="889"/>
      <c r="F233" s="889"/>
      <c r="G233" s="889"/>
      <c r="H233" s="889"/>
      <c r="I233" s="889"/>
      <c r="J233" s="889"/>
      <c r="K233" s="889"/>
      <c r="L233" s="889"/>
      <c r="M233" s="889"/>
      <c r="N233" s="889"/>
      <c r="O233" s="889"/>
      <c r="P233" s="889"/>
      <c r="Q233" s="889"/>
      <c r="S233" s="1412"/>
      <c r="T233" s="1412"/>
      <c r="U233" s="1412"/>
      <c r="V233" s="1412"/>
      <c r="W233" s="1412"/>
      <c r="X233" s="1412"/>
      <c r="Y233" s="1412"/>
      <c r="Z233" s="1412"/>
      <c r="AA233" s="1412"/>
      <c r="AB233" s="1412"/>
      <c r="AC233" s="1412"/>
      <c r="AD233" s="1412"/>
      <c r="AE233" s="1412"/>
      <c r="AF233" s="1412"/>
      <c r="AG233" s="1412"/>
      <c r="AH233" s="1412"/>
      <c r="AI233" s="1412"/>
      <c r="AJ233" s="1412"/>
      <c r="AK233" s="1412"/>
      <c r="AL233" s="1412"/>
      <c r="AM233" s="1412"/>
      <c r="AN233" s="1412"/>
      <c r="AO233" s="1412"/>
      <c r="AP233" s="1412"/>
      <c r="AQ233" s="1412"/>
      <c r="AR233" s="1412"/>
    </row>
    <row r="234" spans="1:44" ht="12" customHeight="1">
      <c r="A234" s="3219"/>
      <c r="B234" s="3220"/>
      <c r="C234" s="3220"/>
      <c r="D234" s="3220"/>
      <c r="E234" s="3220"/>
      <c r="F234" s="3220"/>
      <c r="G234" s="3220"/>
      <c r="H234" s="3220"/>
      <c r="I234" s="3220"/>
      <c r="J234" s="3220"/>
      <c r="K234" s="3220"/>
      <c r="L234" s="3220"/>
      <c r="M234" s="3220"/>
      <c r="N234" s="3220"/>
      <c r="O234" s="3220"/>
      <c r="P234" s="3220"/>
      <c r="Q234" s="3221"/>
      <c r="S234" s="1412"/>
      <c r="T234" s="1412"/>
      <c r="U234" s="1412"/>
      <c r="V234" s="1412"/>
      <c r="W234" s="1412"/>
      <c r="X234" s="1412"/>
      <c r="Y234" s="1412"/>
      <c r="Z234" s="1412"/>
      <c r="AA234" s="1412"/>
      <c r="AB234" s="1412"/>
      <c r="AC234" s="1412"/>
      <c r="AD234" s="1412"/>
      <c r="AE234" s="1412"/>
      <c r="AF234" s="1412"/>
      <c r="AG234" s="1412"/>
      <c r="AH234" s="1412"/>
      <c r="AI234" s="1412"/>
      <c r="AJ234" s="1412"/>
      <c r="AK234" s="1412"/>
      <c r="AL234" s="1412"/>
      <c r="AM234" s="1412"/>
      <c r="AN234" s="1412"/>
      <c r="AO234" s="1412"/>
      <c r="AP234" s="1412"/>
      <c r="AQ234" s="1412"/>
      <c r="AR234" s="1412"/>
    </row>
    <row r="235" spans="1:44" ht="3" customHeight="1">
      <c r="A235" s="686"/>
      <c r="B235" s="893"/>
      <c r="C235" s="889"/>
      <c r="D235" s="889"/>
      <c r="E235" s="889"/>
      <c r="F235" s="889"/>
      <c r="G235" s="889"/>
      <c r="H235" s="889"/>
      <c r="I235" s="889"/>
      <c r="J235" s="889"/>
      <c r="K235" s="889"/>
      <c r="L235" s="889"/>
      <c r="M235" s="889"/>
      <c r="Q235" s="686"/>
      <c r="S235" s="1412"/>
      <c r="T235" s="1412"/>
      <c r="U235" s="1412"/>
      <c r="V235" s="1412"/>
      <c r="W235" s="1412"/>
      <c r="X235" s="1412"/>
      <c r="Y235" s="1412"/>
      <c r="Z235" s="1412"/>
      <c r="AA235" s="1412"/>
      <c r="AB235" s="1412"/>
      <c r="AC235" s="1412"/>
      <c r="AD235" s="1412"/>
      <c r="AE235" s="1412"/>
      <c r="AF235" s="1412"/>
      <c r="AG235" s="1412"/>
      <c r="AH235" s="1412"/>
      <c r="AI235" s="1412"/>
      <c r="AJ235" s="1412"/>
      <c r="AK235" s="1412"/>
      <c r="AL235" s="1412"/>
      <c r="AM235" s="1412"/>
      <c r="AN235" s="1412"/>
      <c r="AO235" s="1412"/>
      <c r="AP235" s="1412"/>
      <c r="AQ235" s="1412"/>
      <c r="AR235" s="1412"/>
    </row>
    <row r="236" spans="1:44" ht="14.1" customHeight="1">
      <c r="A236" s="2" t="s">
        <v>2081</v>
      </c>
      <c r="B236" s="4" t="s">
        <v>3956</v>
      </c>
      <c r="C236" s="4"/>
      <c r="D236" s="66"/>
      <c r="E236" s="66"/>
      <c r="F236" s="66"/>
      <c r="G236" s="66"/>
      <c r="H236" s="889"/>
      <c r="I236" s="889"/>
      <c r="J236" s="889"/>
      <c r="K236" s="889"/>
      <c r="L236" s="669"/>
      <c r="M236" s="1264"/>
      <c r="O236" s="101" t="s">
        <v>1731</v>
      </c>
      <c r="P236" s="3236"/>
      <c r="Q236" s="3225"/>
      <c r="S236" s="1412"/>
      <c r="T236" s="1412"/>
      <c r="U236" s="1412"/>
      <c r="V236" s="1412"/>
      <c r="W236" s="1412"/>
      <c r="X236" s="1412"/>
      <c r="Y236" s="1412"/>
      <c r="Z236" s="1412"/>
      <c r="AA236" s="1412"/>
      <c r="AB236" s="1412"/>
      <c r="AC236" s="1412"/>
      <c r="AD236" s="1412"/>
      <c r="AE236" s="1412"/>
      <c r="AF236" s="1412"/>
      <c r="AG236" s="1412"/>
      <c r="AH236" s="1412"/>
      <c r="AI236" s="1412"/>
      <c r="AJ236" s="1412"/>
      <c r="AK236" s="1412"/>
      <c r="AL236" s="1412"/>
      <c r="AM236" s="1412"/>
      <c r="AN236" s="1412"/>
      <c r="AO236" s="1412"/>
      <c r="AP236" s="1412"/>
      <c r="AQ236" s="1412"/>
      <c r="AR236" s="1412"/>
    </row>
    <row r="237" spans="1:44" customFormat="1" ht="12" customHeight="1">
      <c r="B237" s="44" t="s">
        <v>6202</v>
      </c>
      <c r="N237" s="92"/>
      <c r="P237" s="74"/>
      <c r="Q237" s="417"/>
      <c r="S237" s="1413"/>
      <c r="T237" s="1413"/>
      <c r="U237" s="1413"/>
      <c r="V237" s="1413"/>
      <c r="W237" s="1413"/>
      <c r="X237" s="1413"/>
      <c r="Y237" s="1413"/>
      <c r="Z237" s="1413"/>
      <c r="AA237" s="1413"/>
      <c r="AB237" s="1413"/>
      <c r="AC237" s="1413"/>
      <c r="AD237" s="1413"/>
      <c r="AE237" s="1413"/>
      <c r="AF237" s="1413"/>
      <c r="AG237" s="1413"/>
      <c r="AH237" s="1413"/>
      <c r="AI237" s="1413"/>
      <c r="AJ237" s="1413"/>
      <c r="AK237" s="1413"/>
      <c r="AL237" s="1413"/>
      <c r="AM237" s="1413"/>
      <c r="AN237" s="1413"/>
      <c r="AO237" s="1413"/>
      <c r="AP237" s="1413"/>
      <c r="AQ237" s="1413"/>
      <c r="AR237" s="1413"/>
    </row>
    <row r="238" spans="1:44" ht="11.45" customHeight="1">
      <c r="A238" s="40" t="s">
        <v>1842</v>
      </c>
      <c r="B238" s="29" t="s">
        <v>1193</v>
      </c>
      <c r="D238" s="35"/>
      <c r="E238" s="29"/>
      <c r="F238" s="29"/>
      <c r="J238" s="48" t="s">
        <v>1842</v>
      </c>
      <c r="K238" s="3281" t="s">
        <v>1647</v>
      </c>
      <c r="L238" s="3282"/>
      <c r="M238" s="3282"/>
      <c r="N238" s="3282"/>
      <c r="O238" s="3283"/>
      <c r="P238" s="3279" t="s">
        <v>1647</v>
      </c>
      <c r="Q238" s="3280"/>
      <c r="S238" s="1412"/>
      <c r="T238" s="1412"/>
      <c r="U238" s="1412"/>
      <c r="V238" s="1412"/>
      <c r="W238" s="1412"/>
      <c r="X238" s="1412"/>
      <c r="Y238" s="1412"/>
      <c r="Z238" s="1412"/>
      <c r="AA238" s="1412"/>
      <c r="AB238" s="1412"/>
      <c r="AC238" s="1412"/>
      <c r="AD238" s="1412"/>
      <c r="AE238" s="1412"/>
      <c r="AF238" s="1412"/>
      <c r="AG238" s="1412"/>
      <c r="AH238" s="1412"/>
      <c r="AI238" s="1412"/>
      <c r="AJ238" s="1412"/>
      <c r="AK238" s="1412"/>
      <c r="AL238" s="1412"/>
      <c r="AM238" s="1412"/>
      <c r="AN238" s="1412"/>
      <c r="AO238" s="1412"/>
      <c r="AP238" s="1412"/>
      <c r="AQ238" s="1412"/>
      <c r="AR238" s="1412"/>
    </row>
    <row r="239" spans="1:44" customFormat="1" ht="34.5" customHeight="1">
      <c r="B239" s="3218" t="s">
        <v>6203</v>
      </c>
      <c r="C239" s="3218"/>
      <c r="D239" s="3218"/>
      <c r="E239" s="3218"/>
      <c r="F239" s="3218"/>
      <c r="G239" s="3218"/>
      <c r="H239" s="3218"/>
      <c r="I239" s="3218"/>
      <c r="J239" s="3218"/>
      <c r="K239" s="3218"/>
      <c r="L239" s="3218"/>
      <c r="M239" s="3218"/>
      <c r="N239" s="3218"/>
      <c r="O239" s="3286"/>
      <c r="P239" s="127"/>
      <c r="Q239" s="423"/>
      <c r="S239" s="1413"/>
      <c r="T239" s="1413"/>
      <c r="U239" s="1413"/>
      <c r="V239" s="1413"/>
      <c r="W239" s="1413"/>
      <c r="X239" s="1413"/>
      <c r="Y239" s="1413"/>
      <c r="Z239" s="1413"/>
      <c r="AA239" s="1413"/>
      <c r="AB239" s="1413"/>
      <c r="AC239" s="1413"/>
      <c r="AD239" s="1413"/>
      <c r="AE239" s="1413"/>
      <c r="AF239" s="1413"/>
      <c r="AG239" s="1413"/>
      <c r="AH239" s="1413"/>
      <c r="AI239" s="1413"/>
      <c r="AJ239" s="1413"/>
      <c r="AK239" s="1413"/>
      <c r="AL239" s="1413"/>
      <c r="AM239" s="1413"/>
      <c r="AN239" s="1413"/>
      <c r="AO239" s="1413"/>
      <c r="AP239" s="1413"/>
      <c r="AQ239" s="1413"/>
      <c r="AR239" s="1413"/>
    </row>
    <row r="240" spans="1:44" ht="12" customHeight="1">
      <c r="A240" s="40" t="s">
        <v>1844</v>
      </c>
      <c r="B240" s="29" t="s">
        <v>2509</v>
      </c>
      <c r="D240" s="29"/>
      <c r="E240" s="29"/>
      <c r="F240" s="29"/>
      <c r="J240" s="48" t="s">
        <v>1844</v>
      </c>
      <c r="K240" s="3325"/>
      <c r="L240" s="3326"/>
      <c r="M240" s="3326"/>
      <c r="N240" s="3326"/>
      <c r="O240" s="3327"/>
      <c r="P240" s="3321"/>
      <c r="Q240" s="3322"/>
      <c r="S240" s="1412"/>
      <c r="T240" s="1412"/>
      <c r="U240" s="1412"/>
      <c r="V240" s="1412"/>
      <c r="W240" s="1412"/>
      <c r="X240" s="1412"/>
      <c r="Y240" s="1412"/>
      <c r="Z240" s="1412"/>
      <c r="AA240" s="1412"/>
      <c r="AB240" s="1412"/>
      <c r="AC240" s="1412"/>
      <c r="AD240" s="1412"/>
      <c r="AE240" s="1412"/>
      <c r="AF240" s="1412"/>
      <c r="AG240" s="1412"/>
      <c r="AH240" s="1412"/>
      <c r="AI240" s="1412"/>
      <c r="AJ240" s="1412"/>
      <c r="AK240" s="1412"/>
      <c r="AL240" s="1412"/>
      <c r="AM240" s="1412"/>
      <c r="AN240" s="1412"/>
      <c r="AO240" s="1412"/>
      <c r="AP240" s="1412"/>
      <c r="AQ240" s="1412"/>
      <c r="AR240" s="1412"/>
    </row>
    <row r="241" spans="1:44" s="115" customFormat="1" ht="12" customHeight="1">
      <c r="A241" s="40"/>
      <c r="B241" s="889" t="s">
        <v>1615</v>
      </c>
      <c r="C241" s="29" t="s">
        <v>1806</v>
      </c>
      <c r="D241" s="29"/>
      <c r="E241" s="29"/>
      <c r="F241" s="29"/>
      <c r="J241" s="49" t="s">
        <v>1615</v>
      </c>
      <c r="K241" s="3226"/>
      <c r="L241" s="3227"/>
      <c r="M241" s="3227"/>
      <c r="N241" s="3227"/>
      <c r="O241" s="3228"/>
      <c r="P241" s="3323"/>
      <c r="Q241" s="3324"/>
      <c r="S241" s="1417"/>
      <c r="T241" s="1417"/>
      <c r="U241" s="1417"/>
      <c r="V241" s="1417"/>
      <c r="W241" s="1417"/>
      <c r="X241" s="1417"/>
      <c r="Y241" s="1417"/>
      <c r="Z241" s="1417"/>
      <c r="AA241" s="1417"/>
      <c r="AB241" s="1417"/>
      <c r="AC241" s="1417"/>
      <c r="AD241" s="1417"/>
      <c r="AE241" s="1417"/>
      <c r="AF241" s="1417"/>
      <c r="AG241" s="1417"/>
      <c r="AH241" s="1417"/>
      <c r="AI241" s="1417"/>
      <c r="AJ241" s="1417"/>
      <c r="AK241" s="1417"/>
      <c r="AL241" s="1417"/>
      <c r="AM241" s="1417"/>
      <c r="AN241" s="1417"/>
      <c r="AO241" s="1417"/>
      <c r="AP241" s="1417"/>
      <c r="AQ241" s="1417"/>
      <c r="AR241" s="1417"/>
    </row>
    <row r="242" spans="1:44" s="115" customFormat="1" ht="12" customHeight="1">
      <c r="A242" s="40"/>
      <c r="B242" s="889" t="s">
        <v>1616</v>
      </c>
      <c r="C242" s="29" t="s">
        <v>6204</v>
      </c>
      <c r="D242" s="29"/>
      <c r="E242" s="29"/>
      <c r="F242" s="29"/>
      <c r="G242" s="29"/>
      <c r="H242" s="29"/>
      <c r="I242" s="72"/>
      <c r="J242" s="72"/>
      <c r="M242" s="29"/>
      <c r="N242" s="799"/>
      <c r="O242" s="49" t="s">
        <v>1616</v>
      </c>
      <c r="P242" s="794"/>
      <c r="Q242" s="720"/>
      <c r="S242" s="1417"/>
      <c r="T242" s="1417"/>
      <c r="U242" s="1417"/>
      <c r="V242" s="1417"/>
      <c r="W242" s="1417"/>
      <c r="X242" s="1417"/>
      <c r="Y242" s="1417"/>
      <c r="Z242" s="1417"/>
      <c r="AA242" s="1417"/>
      <c r="AB242" s="1417"/>
      <c r="AC242" s="1417"/>
      <c r="AD242" s="1417"/>
      <c r="AE242" s="1417"/>
      <c r="AF242" s="1417"/>
      <c r="AG242" s="1417"/>
      <c r="AH242" s="1417"/>
      <c r="AI242" s="1417"/>
      <c r="AJ242" s="1417"/>
      <c r="AK242" s="1417"/>
      <c r="AL242" s="1417"/>
      <c r="AM242" s="1417"/>
      <c r="AN242" s="1417"/>
      <c r="AO242" s="1417"/>
      <c r="AP242" s="1417"/>
      <c r="AQ242" s="1417"/>
      <c r="AR242" s="1417"/>
    </row>
    <row r="243" spans="1:44" s="115" customFormat="1" ht="34.5" customHeight="1">
      <c r="A243" s="40"/>
      <c r="B243" s="889" t="s">
        <v>1617</v>
      </c>
      <c r="C243" s="3218" t="s">
        <v>6214</v>
      </c>
      <c r="D243" s="3218"/>
      <c r="E243" s="3218"/>
      <c r="F243" s="3218"/>
      <c r="G243" s="3218"/>
      <c r="H243" s="3218"/>
      <c r="I243" s="3218"/>
      <c r="J243" s="3218"/>
      <c r="K243" s="3218"/>
      <c r="L243" s="3218"/>
      <c r="M243" s="3218"/>
      <c r="N243" s="3218"/>
      <c r="O243" s="117" t="s">
        <v>1617</v>
      </c>
      <c r="P243" s="838"/>
      <c r="Q243" s="1592"/>
      <c r="S243" s="1417"/>
      <c r="T243" s="1417"/>
      <c r="U243" s="1417"/>
      <c r="V243" s="1417"/>
      <c r="W243" s="1417"/>
      <c r="X243" s="1417"/>
      <c r="Y243" s="1417"/>
      <c r="Z243" s="1417"/>
      <c r="AA243" s="1417"/>
      <c r="AB243" s="1417"/>
      <c r="AC243" s="1417"/>
      <c r="AD243" s="1417"/>
      <c r="AE243" s="1417"/>
      <c r="AF243" s="1417"/>
      <c r="AG243" s="1417"/>
      <c r="AH243" s="1417"/>
      <c r="AI243" s="1417"/>
      <c r="AJ243" s="1417"/>
      <c r="AK243" s="1417"/>
      <c r="AL243" s="1417"/>
      <c r="AM243" s="1417"/>
      <c r="AN243" s="1417"/>
      <c r="AO243" s="1417"/>
      <c r="AP243" s="1417"/>
      <c r="AQ243" s="1417"/>
      <c r="AR243" s="1417"/>
    </row>
    <row r="244" spans="1:44" s="115" customFormat="1" ht="24" customHeight="1">
      <c r="A244" s="40"/>
      <c r="B244" s="889" t="s">
        <v>2183</v>
      </c>
      <c r="C244" s="3218" t="s">
        <v>6215</v>
      </c>
      <c r="D244" s="3218"/>
      <c r="E244" s="3218"/>
      <c r="F244" s="3218"/>
      <c r="G244" s="3218"/>
      <c r="H244" s="3218"/>
      <c r="I244" s="3218"/>
      <c r="J244" s="3218"/>
      <c r="K244" s="3218"/>
      <c r="L244" s="3218"/>
      <c r="M244" s="3218"/>
      <c r="N244" s="3218"/>
      <c r="O244" s="128" t="s">
        <v>2183</v>
      </c>
      <c r="P244" s="898"/>
      <c r="Q244" s="897"/>
      <c r="S244" s="1417"/>
      <c r="T244" s="1417"/>
      <c r="U244" s="1417"/>
      <c r="V244" s="1417"/>
      <c r="W244" s="1417"/>
      <c r="X244" s="1417"/>
      <c r="Y244" s="1417"/>
      <c r="Z244" s="1417"/>
      <c r="AA244" s="1417"/>
      <c r="AB244" s="1417"/>
      <c r="AC244" s="1417"/>
      <c r="AD244" s="1417"/>
      <c r="AE244" s="1417"/>
      <c r="AF244" s="1417"/>
      <c r="AG244" s="1417"/>
      <c r="AH244" s="1417"/>
      <c r="AI244" s="1417"/>
      <c r="AJ244" s="1417"/>
      <c r="AK244" s="1417"/>
      <c r="AL244" s="1417"/>
      <c r="AM244" s="1417"/>
      <c r="AN244" s="1417"/>
      <c r="AO244" s="1417"/>
      <c r="AP244" s="1417"/>
      <c r="AQ244" s="1417"/>
      <c r="AR244" s="1417"/>
    </row>
    <row r="245" spans="1:44" s="115" customFormat="1" ht="12" customHeight="1">
      <c r="A245" s="40" t="s">
        <v>698</v>
      </c>
      <c r="B245" s="29" t="s">
        <v>3313</v>
      </c>
      <c r="D245" s="29"/>
      <c r="E245" s="29"/>
      <c r="F245" s="29"/>
      <c r="G245" s="29"/>
      <c r="H245" s="29"/>
      <c r="I245" s="72"/>
      <c r="J245" s="72"/>
      <c r="K245" s="72"/>
      <c r="M245" s="29"/>
      <c r="N245" s="799"/>
      <c r="P245" s="175"/>
      <c r="Q245" s="419"/>
      <c r="S245" s="1417"/>
      <c r="T245" s="1417"/>
      <c r="U245" s="1417"/>
      <c r="V245" s="1417"/>
      <c r="W245" s="1417"/>
      <c r="X245" s="1417"/>
      <c r="Y245" s="1417"/>
      <c r="Z245" s="1417"/>
      <c r="AA245" s="1417"/>
      <c r="AB245" s="1417"/>
      <c r="AC245" s="1417"/>
      <c r="AD245" s="1417"/>
      <c r="AE245" s="1417"/>
      <c r="AF245" s="1417"/>
      <c r="AG245" s="1417"/>
      <c r="AH245" s="1417"/>
      <c r="AI245" s="1417"/>
      <c r="AJ245" s="1417"/>
      <c r="AK245" s="1417"/>
      <c r="AL245" s="1417"/>
      <c r="AM245" s="1417"/>
      <c r="AN245" s="1417"/>
      <c r="AO245" s="1417"/>
      <c r="AP245" s="1417"/>
      <c r="AQ245" s="1417"/>
      <c r="AR245" s="1417"/>
    </row>
    <row r="246" spans="1:44" s="115" customFormat="1" ht="12" customHeight="1">
      <c r="A246" s="40"/>
      <c r="B246" s="3378" t="s">
        <v>3248</v>
      </c>
      <c r="C246" s="3378"/>
      <c r="D246" s="3378"/>
      <c r="E246" s="44" t="s">
        <v>3386</v>
      </c>
      <c r="F246" s="457"/>
      <c r="G246" s="457"/>
      <c r="K246" s="72"/>
      <c r="M246" s="29"/>
      <c r="N246" s="799"/>
      <c r="O246" s="49" t="s">
        <v>1615</v>
      </c>
      <c r="P246" s="299"/>
      <c r="Q246" s="420"/>
      <c r="S246" s="1417"/>
      <c r="T246" s="1417"/>
      <c r="U246" s="1417"/>
      <c r="V246" s="1417"/>
      <c r="W246" s="1417"/>
      <c r="X246" s="1417"/>
      <c r="Y246" s="1417"/>
      <c r="Z246" s="1417"/>
      <c r="AA246" s="1417"/>
      <c r="AB246" s="1417"/>
      <c r="AC246" s="1417"/>
      <c r="AD246" s="1417"/>
      <c r="AE246" s="1417"/>
      <c r="AF246" s="1417"/>
      <c r="AG246" s="1417"/>
      <c r="AH246" s="1417"/>
      <c r="AI246" s="1417"/>
      <c r="AJ246" s="1417"/>
      <c r="AK246" s="1417"/>
      <c r="AL246" s="1417"/>
      <c r="AM246" s="1417"/>
      <c r="AN246" s="1417"/>
      <c r="AO246" s="1417"/>
      <c r="AP246" s="1417"/>
      <c r="AQ246" s="1417"/>
      <c r="AR246" s="1417"/>
    </row>
    <row r="247" spans="1:44" s="115" customFormat="1" ht="12" customHeight="1">
      <c r="A247" s="40"/>
      <c r="B247" s="3378"/>
      <c r="C247" s="3378"/>
      <c r="D247" s="3378"/>
      <c r="E247" s="44" t="s">
        <v>3387</v>
      </c>
      <c r="F247" s="457"/>
      <c r="G247" s="457"/>
      <c r="K247" s="72"/>
      <c r="M247" s="29"/>
      <c r="N247" s="799"/>
      <c r="O247" s="49" t="s">
        <v>1616</v>
      </c>
      <c r="P247" s="299"/>
      <c r="Q247" s="420"/>
      <c r="S247" s="1417"/>
      <c r="T247" s="1417"/>
      <c r="U247" s="1417"/>
      <c r="V247" s="1417"/>
      <c r="W247" s="1417"/>
      <c r="X247" s="1417"/>
      <c r="Y247" s="1417"/>
      <c r="Z247" s="1417"/>
      <c r="AA247" s="1417"/>
      <c r="AB247" s="1417"/>
      <c r="AC247" s="1417"/>
      <c r="AD247" s="1417"/>
      <c r="AE247" s="1417"/>
      <c r="AF247" s="1417"/>
      <c r="AG247" s="1417"/>
      <c r="AH247" s="1417"/>
      <c r="AI247" s="1417"/>
      <c r="AJ247" s="1417"/>
      <c r="AK247" s="1417"/>
      <c r="AL247" s="1417"/>
      <c r="AM247" s="1417"/>
      <c r="AN247" s="1417"/>
      <c r="AO247" s="1417"/>
      <c r="AP247" s="1417"/>
      <c r="AQ247" s="1417"/>
      <c r="AR247" s="1417"/>
    </row>
    <row r="248" spans="1:44" s="115" customFormat="1" ht="12" customHeight="1">
      <c r="A248" s="40"/>
      <c r="B248" s="3378"/>
      <c r="C248" s="3378"/>
      <c r="D248" s="3378"/>
      <c r="E248" s="44" t="s">
        <v>3388</v>
      </c>
      <c r="F248" s="29"/>
      <c r="G248" s="29"/>
      <c r="K248" s="72"/>
      <c r="M248" s="29"/>
      <c r="N248" s="799"/>
      <c r="O248" s="49" t="s">
        <v>1617</v>
      </c>
      <c r="P248" s="299"/>
      <c r="Q248" s="420"/>
      <c r="S248" s="1417"/>
      <c r="T248" s="1417"/>
      <c r="U248" s="1417"/>
      <c r="V248" s="1417"/>
      <c r="W248" s="1417"/>
      <c r="X248" s="1417"/>
      <c r="Y248" s="1417"/>
      <c r="Z248" s="1417"/>
      <c r="AA248" s="1417"/>
      <c r="AB248" s="1417"/>
      <c r="AC248" s="1417"/>
      <c r="AD248" s="1417"/>
      <c r="AE248" s="1417"/>
      <c r="AF248" s="1417"/>
      <c r="AG248" s="1417"/>
      <c r="AH248" s="1417"/>
      <c r="AI248" s="1417"/>
      <c r="AJ248" s="1417"/>
      <c r="AK248" s="1417"/>
      <c r="AL248" s="1417"/>
      <c r="AM248" s="1417"/>
      <c r="AN248" s="1417"/>
      <c r="AO248" s="1417"/>
      <c r="AP248" s="1417"/>
      <c r="AQ248" s="1417"/>
      <c r="AR248" s="1417"/>
    </row>
    <row r="249" spans="1:44" s="115" customFormat="1" ht="12" customHeight="1">
      <c r="A249" s="40"/>
      <c r="B249" s="3378"/>
      <c r="C249" s="3378"/>
      <c r="D249" s="3378"/>
      <c r="E249" s="44" t="s">
        <v>3389</v>
      </c>
      <c r="F249" s="29"/>
      <c r="G249" s="29"/>
      <c r="K249" s="72"/>
      <c r="M249" s="29"/>
      <c r="N249" s="799"/>
      <c r="O249" s="48" t="s">
        <v>2183</v>
      </c>
      <c r="P249" s="299"/>
      <c r="Q249" s="420"/>
      <c r="S249" s="1417"/>
      <c r="T249" s="1417"/>
      <c r="U249" s="1417"/>
      <c r="V249" s="1417"/>
      <c r="W249" s="1417"/>
      <c r="X249" s="1417"/>
      <c r="Y249" s="1417"/>
      <c r="Z249" s="1417"/>
      <c r="AA249" s="1417"/>
      <c r="AB249" s="1417"/>
      <c r="AC249" s="1417"/>
      <c r="AD249" s="1417"/>
      <c r="AE249" s="1417"/>
      <c r="AF249" s="1417"/>
      <c r="AG249" s="1417"/>
      <c r="AH249" s="1417"/>
      <c r="AI249" s="1417"/>
      <c r="AJ249" s="1417"/>
      <c r="AK249" s="1417"/>
      <c r="AL249" s="1417"/>
      <c r="AM249" s="1417"/>
      <c r="AN249" s="1417"/>
      <c r="AO249" s="1417"/>
      <c r="AP249" s="1417"/>
      <c r="AQ249" s="1417"/>
      <c r="AR249" s="1417"/>
    </row>
    <row r="250" spans="1:44" s="115" customFormat="1" ht="23.25" customHeight="1">
      <c r="D250" s="1406"/>
      <c r="E250" s="3218" t="s">
        <v>6509</v>
      </c>
      <c r="F250" s="3218"/>
      <c r="G250" s="3218"/>
      <c r="H250" s="3218"/>
      <c r="I250" s="3218"/>
      <c r="J250" s="3218"/>
      <c r="K250" s="3218"/>
      <c r="L250" s="3218"/>
      <c r="M250" s="3218"/>
      <c r="N250" s="3218"/>
      <c r="O250" s="128" t="s">
        <v>1449</v>
      </c>
      <c r="P250" s="898"/>
      <c r="Q250" s="897"/>
      <c r="S250" s="1417"/>
      <c r="T250" s="1417"/>
      <c r="U250" s="1417"/>
      <c r="V250" s="1417"/>
      <c r="W250" s="1417"/>
      <c r="X250" s="1417"/>
      <c r="Y250" s="1417"/>
      <c r="Z250" s="1417"/>
      <c r="AA250" s="1417"/>
      <c r="AB250" s="1417"/>
      <c r="AC250" s="1417"/>
      <c r="AD250" s="1417"/>
      <c r="AE250" s="1417"/>
      <c r="AF250" s="1417"/>
      <c r="AG250" s="1417"/>
      <c r="AH250" s="1417"/>
      <c r="AI250" s="1417"/>
      <c r="AJ250" s="1417"/>
      <c r="AK250" s="1417"/>
      <c r="AL250" s="1417"/>
      <c r="AM250" s="1417"/>
      <c r="AN250" s="1417"/>
      <c r="AO250" s="1417"/>
      <c r="AP250" s="1417"/>
      <c r="AQ250" s="1417"/>
      <c r="AR250" s="1417"/>
    </row>
    <row r="251" spans="1:44" ht="12" customHeight="1">
      <c r="B251" s="109" t="s">
        <v>3243</v>
      </c>
      <c r="D251" s="109"/>
      <c r="E251" s="109"/>
      <c r="F251" s="109"/>
      <c r="G251" s="109"/>
      <c r="H251" s="33"/>
      <c r="I251" s="893"/>
      <c r="J251" s="893"/>
      <c r="K251" s="893"/>
      <c r="L251" s="686"/>
      <c r="M251" s="686"/>
      <c r="N251" s="686"/>
      <c r="O251" s="686"/>
      <c r="P251" s="686"/>
      <c r="Q251" s="686"/>
      <c r="S251" s="1412"/>
      <c r="T251" s="1412"/>
      <c r="U251" s="1412"/>
      <c r="V251" s="1412"/>
      <c r="W251" s="1412"/>
      <c r="X251" s="1412"/>
      <c r="Y251" s="1412"/>
      <c r="Z251" s="1412"/>
      <c r="AA251" s="1412"/>
      <c r="AB251" s="1412"/>
      <c r="AC251" s="1412"/>
      <c r="AD251" s="1412"/>
      <c r="AE251" s="1412"/>
      <c r="AF251" s="1412"/>
      <c r="AG251" s="1412"/>
      <c r="AH251" s="1412"/>
      <c r="AI251" s="1412"/>
      <c r="AJ251" s="1412"/>
      <c r="AK251" s="1412"/>
      <c r="AL251" s="1412"/>
      <c r="AM251" s="1412"/>
      <c r="AN251" s="1412"/>
      <c r="AO251" s="1412"/>
      <c r="AP251" s="1412"/>
      <c r="AQ251" s="1412"/>
      <c r="AR251" s="1412"/>
    </row>
    <row r="252" spans="1:44" ht="12" customHeight="1">
      <c r="A252" s="3215" t="s">
        <v>6984</v>
      </c>
      <c r="B252" s="3216"/>
      <c r="C252" s="3216"/>
      <c r="D252" s="3216"/>
      <c r="E252" s="3216"/>
      <c r="F252" s="3216"/>
      <c r="G252" s="3216"/>
      <c r="H252" s="3216"/>
      <c r="I252" s="3216"/>
      <c r="J252" s="3216"/>
      <c r="K252" s="3216"/>
      <c r="L252" s="3216"/>
      <c r="M252" s="3216"/>
      <c r="N252" s="3216"/>
      <c r="O252" s="3216"/>
      <c r="P252" s="3216"/>
      <c r="Q252" s="3217"/>
      <c r="R252" s="354" t="s">
        <v>1181</v>
      </c>
      <c r="S252" s="1415"/>
      <c r="T252" s="1412"/>
      <c r="U252" s="1416"/>
      <c r="V252" s="1416"/>
      <c r="W252" s="1416"/>
      <c r="X252" s="1416"/>
      <c r="Y252" s="1416"/>
      <c r="Z252" s="1416"/>
      <c r="AA252" s="1416"/>
      <c r="AB252" s="1416"/>
      <c r="AC252" s="1416"/>
      <c r="AD252" s="1416"/>
      <c r="AE252" s="1416"/>
      <c r="AF252" s="1412"/>
      <c r="AG252" s="1412"/>
      <c r="AH252" s="1412"/>
      <c r="AI252" s="1412"/>
      <c r="AJ252" s="1412"/>
      <c r="AK252" s="1412"/>
      <c r="AL252" s="1412"/>
      <c r="AM252" s="1412"/>
      <c r="AN252" s="1412"/>
      <c r="AO252" s="1412"/>
      <c r="AP252" s="1412"/>
      <c r="AQ252" s="1412"/>
      <c r="AR252" s="1412"/>
    </row>
    <row r="253" spans="1:44" ht="12" customHeight="1">
      <c r="B253" s="105" t="s">
        <v>1730</v>
      </c>
      <c r="C253" s="106"/>
      <c r="D253" s="889"/>
      <c r="E253" s="889"/>
      <c r="F253" s="889"/>
      <c r="G253" s="889"/>
      <c r="H253" s="889"/>
      <c r="I253" s="889"/>
      <c r="J253" s="889"/>
      <c r="K253" s="889"/>
      <c r="L253" s="889"/>
      <c r="M253" s="889"/>
      <c r="N253" s="889"/>
      <c r="O253" s="889"/>
      <c r="P253" s="889"/>
      <c r="Q253" s="889"/>
      <c r="S253" s="1412"/>
      <c r="T253" s="1412"/>
      <c r="U253" s="1412"/>
      <c r="V253" s="1412"/>
      <c r="W253" s="1412"/>
      <c r="X253" s="1412"/>
      <c r="Y253" s="1412"/>
      <c r="Z253" s="1412"/>
      <c r="AA253" s="1412"/>
      <c r="AB253" s="1412"/>
      <c r="AC253" s="1412"/>
      <c r="AD253" s="1412"/>
      <c r="AE253" s="1412"/>
      <c r="AF253" s="1412"/>
      <c r="AG253" s="1412"/>
      <c r="AH253" s="1412"/>
      <c r="AI253" s="1412"/>
      <c r="AJ253" s="1412"/>
      <c r="AK253" s="1412"/>
      <c r="AL253" s="1412"/>
      <c r="AM253" s="1412"/>
      <c r="AN253" s="1412"/>
      <c r="AO253" s="1412"/>
      <c r="AP253" s="1412"/>
      <c r="AQ253" s="1412"/>
      <c r="AR253" s="1412"/>
    </row>
    <row r="254" spans="1:44" ht="12" customHeight="1">
      <c r="A254" s="3219"/>
      <c r="B254" s="3220"/>
      <c r="C254" s="3220"/>
      <c r="D254" s="3220"/>
      <c r="E254" s="3220"/>
      <c r="F254" s="3220"/>
      <c r="G254" s="3220"/>
      <c r="H254" s="3220"/>
      <c r="I254" s="3220"/>
      <c r="J254" s="3220"/>
      <c r="K254" s="3220"/>
      <c r="L254" s="3220"/>
      <c r="M254" s="3220"/>
      <c r="N254" s="3220"/>
      <c r="O254" s="3220"/>
      <c r="P254" s="3220"/>
      <c r="Q254" s="3221"/>
      <c r="S254" s="1412"/>
      <c r="T254" s="1412"/>
      <c r="U254" s="1412"/>
      <c r="V254" s="1412"/>
      <c r="W254" s="1412"/>
      <c r="X254" s="1412"/>
      <c r="Y254" s="1412"/>
      <c r="Z254" s="1412"/>
      <c r="AA254" s="1412"/>
      <c r="AB254" s="1412"/>
      <c r="AC254" s="1412"/>
      <c r="AD254" s="1412"/>
      <c r="AE254" s="1412"/>
      <c r="AF254" s="1412"/>
      <c r="AG254" s="1412"/>
      <c r="AH254" s="1412"/>
      <c r="AI254" s="1412"/>
      <c r="AJ254" s="1412"/>
      <c r="AK254" s="1412"/>
      <c r="AL254" s="1412"/>
      <c r="AM254" s="1412"/>
      <c r="AN254" s="1412"/>
      <c r="AO254" s="1412"/>
      <c r="AP254" s="1412"/>
      <c r="AQ254" s="1412"/>
      <c r="AR254" s="1412"/>
    </row>
    <row r="255" spans="1:44" ht="3" customHeight="1">
      <c r="A255" s="686"/>
      <c r="B255" s="893"/>
      <c r="C255" s="889"/>
      <c r="D255" s="889"/>
      <c r="E255" s="889"/>
      <c r="F255" s="889"/>
      <c r="G255" s="889"/>
      <c r="H255" s="889"/>
      <c r="I255" s="889"/>
      <c r="J255" s="889"/>
      <c r="K255" s="889"/>
      <c r="L255" s="889"/>
      <c r="M255" s="889"/>
      <c r="Q255" s="686"/>
      <c r="S255" s="1412"/>
      <c r="T255" s="1412"/>
      <c r="U255" s="1412"/>
      <c r="V255" s="1412"/>
      <c r="W255" s="1412"/>
      <c r="X255" s="1412"/>
      <c r="Y255" s="1412"/>
      <c r="Z255" s="1412"/>
      <c r="AA255" s="1412"/>
      <c r="AB255" s="1412"/>
      <c r="AC255" s="1412"/>
      <c r="AD255" s="1412"/>
      <c r="AE255" s="1412"/>
      <c r="AF255" s="1412"/>
      <c r="AG255" s="1412"/>
      <c r="AH255" s="1412"/>
      <c r="AI255" s="1412"/>
      <c r="AJ255" s="1412"/>
      <c r="AK255" s="1412"/>
      <c r="AL255" s="1412"/>
      <c r="AM255" s="1412"/>
      <c r="AN255" s="1412"/>
      <c r="AO255" s="1412"/>
      <c r="AP255" s="1412"/>
      <c r="AQ255" s="1412"/>
      <c r="AR255" s="1412"/>
    </row>
    <row r="256" spans="1:44" ht="14.1" customHeight="1">
      <c r="A256" s="2" t="s">
        <v>3374</v>
      </c>
      <c r="B256" s="4" t="s">
        <v>2432</v>
      </c>
      <c r="C256" s="4"/>
      <c r="D256" s="66"/>
      <c r="E256" s="66"/>
      <c r="F256" s="66"/>
      <c r="G256" s="66"/>
      <c r="H256" s="889"/>
      <c r="I256" s="889"/>
      <c r="J256" s="889"/>
      <c r="K256" s="889"/>
      <c r="L256" s="889"/>
      <c r="M256" s="889"/>
      <c r="O256" s="101" t="s">
        <v>1731</v>
      </c>
      <c r="P256" s="3236"/>
      <c r="Q256" s="3225"/>
      <c r="S256" s="1412"/>
      <c r="T256" s="1412"/>
      <c r="U256" s="1412"/>
      <c r="V256" s="1412"/>
      <c r="W256" s="1412"/>
      <c r="X256" s="1412"/>
      <c r="Y256" s="1412"/>
      <c r="Z256" s="1412"/>
      <c r="AA256" s="1412"/>
      <c r="AB256" s="1412"/>
      <c r="AC256" s="1412"/>
      <c r="AD256" s="1412"/>
      <c r="AE256" s="1412"/>
      <c r="AF256" s="1412"/>
      <c r="AG256" s="1412"/>
      <c r="AH256" s="1412"/>
      <c r="AI256" s="1412"/>
      <c r="AJ256" s="1412"/>
      <c r="AK256" s="1412"/>
      <c r="AL256" s="1412"/>
      <c r="AM256" s="1412"/>
      <c r="AN256" s="1412"/>
      <c r="AO256" s="1412"/>
      <c r="AP256" s="1412"/>
      <c r="AQ256" s="1412"/>
      <c r="AR256" s="1412"/>
    </row>
    <row r="257" spans="1:44" s="334" customFormat="1" ht="21.75" customHeight="1">
      <c r="A257" s="110" t="s">
        <v>1842</v>
      </c>
      <c r="B257" s="889" t="s">
        <v>1615</v>
      </c>
      <c r="C257" s="3218" t="s">
        <v>4035</v>
      </c>
      <c r="D257" s="3218"/>
      <c r="E257" s="3218"/>
      <c r="F257" s="3218"/>
      <c r="G257" s="3218"/>
      <c r="H257" s="3218"/>
      <c r="I257" s="3218"/>
      <c r="J257" s="3218"/>
      <c r="K257" s="3218"/>
      <c r="L257" s="3218"/>
      <c r="M257" s="3218"/>
      <c r="N257" s="3218"/>
      <c r="O257" s="1406" t="s">
        <v>1392</v>
      </c>
      <c r="P257" s="896" t="s">
        <v>2652</v>
      </c>
      <c r="Q257" s="895"/>
      <c r="S257" s="1418"/>
      <c r="T257" s="1418"/>
      <c r="U257" s="1418"/>
      <c r="V257" s="1418"/>
      <c r="W257" s="1418"/>
      <c r="X257" s="1418"/>
      <c r="Y257" s="1418"/>
      <c r="Z257" s="1418"/>
      <c r="AA257" s="1418"/>
      <c r="AB257" s="1418"/>
      <c r="AC257" s="1418"/>
      <c r="AD257" s="1418"/>
      <c r="AE257" s="1418"/>
      <c r="AF257" s="1418"/>
      <c r="AG257" s="1418"/>
      <c r="AH257" s="1418"/>
      <c r="AI257" s="1418"/>
      <c r="AJ257" s="1418"/>
      <c r="AK257" s="1418"/>
      <c r="AL257" s="1418"/>
      <c r="AM257" s="1418"/>
      <c r="AN257" s="1418"/>
      <c r="AO257" s="1418"/>
      <c r="AP257" s="1418"/>
      <c r="AQ257" s="1418"/>
      <c r="AR257" s="1418"/>
    </row>
    <row r="258" spans="1:44" s="115" customFormat="1" ht="11.45" customHeight="1">
      <c r="A258" s="40"/>
      <c r="B258" s="889" t="s">
        <v>1616</v>
      </c>
      <c r="C258" s="29" t="s">
        <v>3245</v>
      </c>
      <c r="D258" s="29"/>
      <c r="E258" s="29"/>
      <c r="F258" s="29"/>
      <c r="G258" s="29"/>
      <c r="H258" s="29"/>
      <c r="I258" s="29"/>
      <c r="J258" s="29"/>
      <c r="K258" s="29"/>
      <c r="L258" s="29"/>
      <c r="M258" s="29"/>
      <c r="O258" s="1406" t="s">
        <v>1616</v>
      </c>
      <c r="P258" s="176" t="s">
        <v>2652</v>
      </c>
      <c r="Q258" s="421"/>
      <c r="S258" s="1417"/>
      <c r="T258" s="1417"/>
      <c r="U258" s="1417"/>
      <c r="V258" s="1417"/>
      <c r="W258" s="1417"/>
      <c r="X258" s="1417"/>
      <c r="Y258" s="1417"/>
      <c r="Z258" s="1417"/>
      <c r="AA258" s="1417"/>
      <c r="AB258" s="1417"/>
      <c r="AC258" s="1417"/>
      <c r="AD258" s="1417"/>
      <c r="AE258" s="1417"/>
      <c r="AF258" s="1417"/>
      <c r="AG258" s="1417"/>
      <c r="AH258" s="1417"/>
      <c r="AI258" s="1417"/>
      <c r="AJ258" s="1417"/>
      <c r="AK258" s="1417"/>
      <c r="AL258" s="1417"/>
      <c r="AM258" s="1417"/>
      <c r="AN258" s="1417"/>
      <c r="AO258" s="1417"/>
      <c r="AP258" s="1417"/>
      <c r="AQ258" s="1417"/>
      <c r="AR258" s="1417"/>
    </row>
    <row r="259" spans="1:44" s="115" customFormat="1" ht="11.45" customHeight="1">
      <c r="A259" s="40" t="s">
        <v>1844</v>
      </c>
      <c r="B259" s="29" t="s">
        <v>3246</v>
      </c>
      <c r="D259" s="29"/>
      <c r="E259" s="29"/>
      <c r="F259" s="29"/>
      <c r="G259" s="29"/>
      <c r="H259" s="29"/>
      <c r="I259" s="29"/>
      <c r="J259" s="29"/>
      <c r="K259" s="29"/>
      <c r="L259" s="29"/>
      <c r="M259" s="29"/>
      <c r="O259" s="48" t="s">
        <v>1844</v>
      </c>
      <c r="P259" s="176" t="s">
        <v>2652</v>
      </c>
      <c r="Q259" s="421"/>
      <c r="S259" s="1417"/>
      <c r="T259" s="1417"/>
      <c r="U259" s="1417"/>
      <c r="V259" s="1417"/>
      <c r="W259" s="1417"/>
      <c r="X259" s="1417"/>
      <c r="Y259" s="1417"/>
      <c r="Z259" s="1417"/>
      <c r="AA259" s="1417"/>
      <c r="AB259" s="1417"/>
      <c r="AC259" s="1417"/>
      <c r="AD259" s="1417"/>
      <c r="AE259" s="1417"/>
      <c r="AF259" s="1417"/>
      <c r="AG259" s="1417"/>
      <c r="AH259" s="1417"/>
      <c r="AI259" s="1417"/>
      <c r="AJ259" s="1417"/>
      <c r="AK259" s="1417"/>
      <c r="AL259" s="1417"/>
      <c r="AM259" s="1417"/>
      <c r="AN259" s="1417"/>
      <c r="AO259" s="1417"/>
      <c r="AP259" s="1417"/>
      <c r="AQ259" s="1417"/>
      <c r="AR259" s="1417"/>
    </row>
    <row r="260" spans="1:44" s="334" customFormat="1" ht="23.25" customHeight="1">
      <c r="A260" s="110" t="s">
        <v>698</v>
      </c>
      <c r="B260" s="889" t="s">
        <v>1615</v>
      </c>
      <c r="C260" s="3218" t="s">
        <v>4061</v>
      </c>
      <c r="D260" s="3218"/>
      <c r="E260" s="3218"/>
      <c r="F260" s="3218"/>
      <c r="G260" s="3218"/>
      <c r="H260" s="3218"/>
      <c r="I260" s="3218"/>
      <c r="J260" s="3218"/>
      <c r="K260" s="3218"/>
      <c r="L260" s="3218"/>
      <c r="M260" s="3218"/>
      <c r="N260" s="3218"/>
      <c r="O260" s="1406" t="s">
        <v>4062</v>
      </c>
      <c r="P260" s="896" t="s">
        <v>2652</v>
      </c>
      <c r="Q260" s="895"/>
      <c r="S260" s="1418"/>
      <c r="T260" s="1418"/>
      <c r="U260" s="1418"/>
      <c r="V260" s="1418"/>
      <c r="W260" s="1418"/>
      <c r="X260" s="1418"/>
      <c r="Y260" s="1418"/>
      <c r="Z260" s="1418"/>
      <c r="AA260" s="1418"/>
      <c r="AB260" s="1418"/>
      <c r="AC260" s="1418"/>
      <c r="AD260" s="1418"/>
      <c r="AE260" s="1418"/>
      <c r="AF260" s="1418"/>
      <c r="AG260" s="1418"/>
      <c r="AH260" s="1418"/>
      <c r="AI260" s="1418"/>
      <c r="AJ260" s="1418"/>
      <c r="AK260" s="1418"/>
      <c r="AL260" s="1418"/>
      <c r="AM260" s="1418"/>
      <c r="AN260" s="1418"/>
      <c r="AO260" s="1418"/>
      <c r="AP260" s="1418"/>
      <c r="AQ260" s="1418"/>
      <c r="AR260" s="1418"/>
    </row>
    <row r="261" spans="1:44" s="115" customFormat="1" ht="11.45" customHeight="1">
      <c r="A261" s="40"/>
      <c r="B261" s="889" t="s">
        <v>1616</v>
      </c>
      <c r="C261" s="29" t="s">
        <v>3247</v>
      </c>
      <c r="D261" s="29"/>
      <c r="E261" s="29"/>
      <c r="F261" s="29"/>
      <c r="G261" s="29"/>
      <c r="H261" s="29"/>
      <c r="I261" s="29"/>
      <c r="J261" s="29"/>
      <c r="K261" s="29"/>
      <c r="L261" s="29"/>
      <c r="M261" s="29"/>
      <c r="O261" s="1406" t="s">
        <v>1616</v>
      </c>
      <c r="P261" s="176" t="s">
        <v>2652</v>
      </c>
      <c r="Q261" s="421"/>
      <c r="S261" s="1417"/>
      <c r="T261" s="1417"/>
      <c r="U261" s="1417"/>
      <c r="V261" s="1417"/>
      <c r="W261" s="1417"/>
      <c r="X261" s="1417"/>
      <c r="Y261" s="1417"/>
      <c r="Z261" s="1417"/>
      <c r="AA261" s="1417"/>
      <c r="AB261" s="1417"/>
      <c r="AC261" s="1417"/>
      <c r="AD261" s="1417"/>
      <c r="AE261" s="1417"/>
      <c r="AF261" s="1417"/>
      <c r="AG261" s="1417"/>
      <c r="AH261" s="1417"/>
      <c r="AI261" s="1417"/>
      <c r="AJ261" s="1417"/>
      <c r="AK261" s="1417"/>
      <c r="AL261" s="1417"/>
      <c r="AM261" s="1417"/>
      <c r="AN261" s="1417"/>
      <c r="AO261" s="1417"/>
      <c r="AP261" s="1417"/>
      <c r="AQ261" s="1417"/>
      <c r="AR261" s="1417"/>
    </row>
    <row r="262" spans="1:44" s="115" customFormat="1" ht="22.5" customHeight="1">
      <c r="A262" s="110" t="s">
        <v>1963</v>
      </c>
      <c r="B262" s="3218" t="s">
        <v>6127</v>
      </c>
      <c r="C262" s="3218"/>
      <c r="D262" s="3218"/>
      <c r="E262" s="3218"/>
      <c r="F262" s="3218"/>
      <c r="G262" s="3218"/>
      <c r="H262" s="3218"/>
      <c r="I262" s="3218"/>
      <c r="J262" s="3218"/>
      <c r="K262" s="3218"/>
      <c r="L262" s="3218"/>
      <c r="M262" s="3218"/>
      <c r="N262" s="3218"/>
      <c r="O262" s="128" t="s">
        <v>1963</v>
      </c>
      <c r="P262" s="898" t="s">
        <v>2652</v>
      </c>
      <c r="Q262" s="897"/>
      <c r="S262" s="1417"/>
      <c r="T262" s="1417"/>
      <c r="U262" s="1417"/>
      <c r="V262" s="1417"/>
      <c r="W262" s="1417"/>
      <c r="X262" s="1417"/>
      <c r="Y262" s="1417"/>
      <c r="Z262" s="1417"/>
      <c r="AA262" s="1417"/>
      <c r="AB262" s="1417"/>
      <c r="AC262" s="1417"/>
      <c r="AD262" s="1417"/>
      <c r="AE262" s="1417"/>
      <c r="AF262" s="1417"/>
      <c r="AG262" s="1417"/>
      <c r="AH262" s="1417"/>
      <c r="AI262" s="1417"/>
      <c r="AJ262" s="1417"/>
      <c r="AK262" s="1417"/>
      <c r="AL262" s="1417"/>
      <c r="AM262" s="1417"/>
      <c r="AN262" s="1417"/>
      <c r="AO262" s="1417"/>
      <c r="AP262" s="1417"/>
      <c r="AQ262" s="1417"/>
      <c r="AR262" s="1417"/>
    </row>
    <row r="263" spans="1:44" ht="11.25" customHeight="1">
      <c r="B263" s="109" t="s">
        <v>3243</v>
      </c>
      <c r="D263" s="109"/>
      <c r="E263" s="109"/>
      <c r="F263" s="109"/>
      <c r="G263" s="109"/>
      <c r="H263" s="33"/>
      <c r="I263" s="893"/>
      <c r="J263" s="893"/>
      <c r="K263" s="893"/>
      <c r="L263" s="686"/>
      <c r="M263" s="686"/>
      <c r="N263" s="686"/>
      <c r="O263" s="686"/>
      <c r="P263" s="686"/>
      <c r="Q263" s="686"/>
      <c r="S263" s="1412"/>
      <c r="T263" s="1412"/>
      <c r="U263" s="1412"/>
      <c r="V263" s="1412"/>
      <c r="W263" s="1412"/>
      <c r="X263" s="1412"/>
      <c r="Y263" s="1412"/>
      <c r="Z263" s="1412"/>
      <c r="AA263" s="1412"/>
      <c r="AB263" s="1412"/>
      <c r="AC263" s="1412"/>
      <c r="AD263" s="1412"/>
      <c r="AE263" s="1412"/>
      <c r="AF263" s="1412"/>
      <c r="AG263" s="1412"/>
      <c r="AH263" s="1412"/>
      <c r="AI263" s="1412"/>
      <c r="AJ263" s="1412"/>
      <c r="AK263" s="1412"/>
      <c r="AL263" s="1412"/>
      <c r="AM263" s="1412"/>
      <c r="AN263" s="1412"/>
      <c r="AO263" s="1412"/>
      <c r="AP263" s="1412"/>
      <c r="AQ263" s="1412"/>
      <c r="AR263" s="1412"/>
    </row>
    <row r="264" spans="1:44" ht="26.25" customHeight="1">
      <c r="A264" s="3215" t="s">
        <v>7005</v>
      </c>
      <c r="B264" s="3216"/>
      <c r="C264" s="3216"/>
      <c r="D264" s="3216"/>
      <c r="E264" s="3216"/>
      <c r="F264" s="3216"/>
      <c r="G264" s="3216"/>
      <c r="H264" s="3216"/>
      <c r="I264" s="3216"/>
      <c r="J264" s="3216"/>
      <c r="K264" s="3216"/>
      <c r="L264" s="3216"/>
      <c r="M264" s="3216"/>
      <c r="N264" s="3216"/>
      <c r="O264" s="3216"/>
      <c r="P264" s="3216"/>
      <c r="Q264" s="3217"/>
      <c r="R264" s="354" t="s">
        <v>1181</v>
      </c>
      <c r="S264" s="1415"/>
      <c r="T264" s="1412"/>
      <c r="U264" s="1416"/>
      <c r="V264" s="1416"/>
      <c r="W264" s="1416"/>
      <c r="X264" s="1416"/>
      <c r="Y264" s="1416"/>
      <c r="Z264" s="1416"/>
      <c r="AA264" s="1416"/>
      <c r="AB264" s="1416"/>
      <c r="AC264" s="1416"/>
      <c r="AD264" s="1416"/>
      <c r="AE264" s="1416"/>
      <c r="AF264" s="1412"/>
      <c r="AG264" s="1412"/>
      <c r="AH264" s="1412"/>
      <c r="AI264" s="1412"/>
      <c r="AJ264" s="1412"/>
      <c r="AK264" s="1412"/>
      <c r="AL264" s="1412"/>
      <c r="AM264" s="1412"/>
      <c r="AN264" s="1412"/>
      <c r="AO264" s="1412"/>
      <c r="AP264" s="1412"/>
      <c r="AQ264" s="1412"/>
      <c r="AR264" s="1412"/>
    </row>
    <row r="265" spans="1:44" ht="11.25" customHeight="1">
      <c r="B265" s="105" t="s">
        <v>1730</v>
      </c>
      <c r="C265" s="106"/>
      <c r="D265" s="889"/>
      <c r="E265" s="889"/>
      <c r="F265" s="889"/>
      <c r="G265" s="889"/>
      <c r="H265" s="889"/>
      <c r="I265" s="889"/>
      <c r="J265" s="889"/>
      <c r="K265" s="889"/>
      <c r="L265" s="889"/>
      <c r="M265" s="889"/>
      <c r="N265" s="889"/>
      <c r="O265" s="889"/>
      <c r="P265" s="889"/>
      <c r="Q265" s="889"/>
      <c r="S265" s="1412"/>
      <c r="T265" s="1412"/>
      <c r="U265" s="1412"/>
      <c r="V265" s="1412"/>
      <c r="W265" s="1412"/>
      <c r="X265" s="1412"/>
      <c r="Y265" s="1412"/>
      <c r="Z265" s="1412"/>
      <c r="AA265" s="1412"/>
      <c r="AB265" s="1412"/>
      <c r="AC265" s="1412"/>
      <c r="AD265" s="1412"/>
      <c r="AE265" s="1412"/>
      <c r="AF265" s="1412"/>
      <c r="AG265" s="1412"/>
      <c r="AH265" s="1412"/>
      <c r="AI265" s="1412"/>
      <c r="AJ265" s="1412"/>
      <c r="AK265" s="1412"/>
      <c r="AL265" s="1412"/>
      <c r="AM265" s="1412"/>
      <c r="AN265" s="1412"/>
      <c r="AO265" s="1412"/>
      <c r="AP265" s="1412"/>
      <c r="AQ265" s="1412"/>
      <c r="AR265" s="1412"/>
    </row>
    <row r="266" spans="1:44" ht="13.35" customHeight="1">
      <c r="A266" s="3219"/>
      <c r="B266" s="3220"/>
      <c r="C266" s="3220"/>
      <c r="D266" s="3220"/>
      <c r="E266" s="3220"/>
      <c r="F266" s="3220"/>
      <c r="G266" s="3220"/>
      <c r="H266" s="3220"/>
      <c r="I266" s="3220"/>
      <c r="J266" s="3220"/>
      <c r="K266" s="3220"/>
      <c r="L266" s="3220"/>
      <c r="M266" s="3220"/>
      <c r="N266" s="3220"/>
      <c r="O266" s="3220"/>
      <c r="P266" s="3220"/>
      <c r="Q266" s="3221"/>
      <c r="S266" s="1412"/>
      <c r="T266" s="1412"/>
      <c r="U266" s="1412"/>
      <c r="V266" s="1412"/>
      <c r="W266" s="1412"/>
      <c r="X266" s="1412"/>
      <c r="Y266" s="1412"/>
      <c r="Z266" s="1412"/>
      <c r="AA266" s="1412"/>
      <c r="AB266" s="1412"/>
      <c r="AC266" s="1412"/>
      <c r="AD266" s="1412"/>
      <c r="AE266" s="1412"/>
      <c r="AF266" s="1412"/>
      <c r="AG266" s="1412"/>
      <c r="AH266" s="1412"/>
      <c r="AI266" s="1412"/>
      <c r="AJ266" s="1412"/>
      <c r="AK266" s="1412"/>
      <c r="AL266" s="1412"/>
      <c r="AM266" s="1412"/>
      <c r="AN266" s="1412"/>
      <c r="AO266" s="1412"/>
      <c r="AP266" s="1412"/>
      <c r="AQ266" s="1412"/>
      <c r="AR266" s="1412"/>
    </row>
    <row r="267" spans="1:44" ht="3" customHeight="1">
      <c r="S267" s="1412"/>
      <c r="T267" s="1412"/>
      <c r="U267" s="1412"/>
      <c r="V267" s="1412"/>
      <c r="W267" s="1412"/>
      <c r="X267" s="1412"/>
      <c r="Y267" s="1412"/>
      <c r="Z267" s="1412"/>
      <c r="AA267" s="1412"/>
      <c r="AB267" s="1412"/>
      <c r="AC267" s="1412"/>
      <c r="AD267" s="1412"/>
      <c r="AE267" s="1412"/>
      <c r="AF267" s="1412"/>
      <c r="AG267" s="1412"/>
      <c r="AH267" s="1412"/>
      <c r="AI267" s="1412"/>
      <c r="AJ267" s="1412"/>
      <c r="AK267" s="1412"/>
      <c r="AL267" s="1412"/>
      <c r="AM267" s="1412"/>
      <c r="AN267" s="1412"/>
      <c r="AO267" s="1412"/>
      <c r="AP267" s="1412"/>
      <c r="AQ267" s="1412"/>
      <c r="AR267" s="1412"/>
    </row>
    <row r="268" spans="1:44" ht="14.1" customHeight="1">
      <c r="A268" s="2" t="s">
        <v>3375</v>
      </c>
      <c r="B268" s="2" t="s">
        <v>2433</v>
      </c>
      <c r="C268" s="2"/>
      <c r="D268" s="889"/>
      <c r="E268" s="889"/>
      <c r="F268" s="889"/>
      <c r="G268" s="889"/>
      <c r="H268" s="889"/>
      <c r="I268" s="889"/>
      <c r="J268" s="889"/>
      <c r="K268" s="889"/>
      <c r="L268" s="889"/>
      <c r="M268" s="889"/>
      <c r="O268" s="101" t="s">
        <v>1731</v>
      </c>
      <c r="P268" s="3236"/>
      <c r="Q268" s="3225"/>
      <c r="S268" s="1412"/>
      <c r="T268" s="1412"/>
      <c r="U268" s="1412"/>
      <c r="V268" s="1412"/>
      <c r="W268" s="1412"/>
      <c r="X268" s="1412"/>
      <c r="Y268" s="1412"/>
      <c r="Z268" s="1412"/>
      <c r="AA268" s="1412"/>
      <c r="AB268" s="1412"/>
      <c r="AC268" s="1412"/>
      <c r="AD268" s="1412"/>
      <c r="AE268" s="1412"/>
      <c r="AF268" s="1412"/>
      <c r="AG268" s="1412"/>
      <c r="AH268" s="1412"/>
      <c r="AI268" s="1412"/>
      <c r="AJ268" s="1412"/>
      <c r="AK268" s="1412"/>
      <c r="AL268" s="1412"/>
      <c r="AM268" s="1412"/>
      <c r="AN268" s="1412"/>
      <c r="AO268" s="1412"/>
      <c r="AP268" s="1412"/>
      <c r="AQ268" s="1412"/>
      <c r="AR268" s="1412"/>
    </row>
    <row r="269" spans="1:44" customFormat="1" ht="11.45" customHeight="1">
      <c r="B269" s="44" t="s">
        <v>6202</v>
      </c>
      <c r="N269" s="92"/>
      <c r="P269" s="74" t="s">
        <v>2655</v>
      </c>
      <c r="Q269" s="417"/>
      <c r="S269" s="1413"/>
      <c r="T269" s="1413"/>
      <c r="U269" s="1413"/>
      <c r="V269" s="1413"/>
      <c r="W269" s="1413"/>
      <c r="X269" s="1413"/>
      <c r="Y269" s="1413"/>
      <c r="Z269" s="1413"/>
      <c r="AA269" s="1413"/>
      <c r="AB269" s="1413"/>
      <c r="AC269" s="1413"/>
      <c r="AD269" s="1413"/>
      <c r="AE269" s="1413"/>
      <c r="AF269" s="1413"/>
      <c r="AG269" s="1413"/>
      <c r="AH269" s="1413"/>
      <c r="AI269" s="1413"/>
      <c r="AJ269" s="1413"/>
      <c r="AK269" s="1413"/>
      <c r="AL269" s="1413"/>
      <c r="AM269" s="1413"/>
      <c r="AN269" s="1413"/>
      <c r="AO269" s="1413"/>
      <c r="AP269" s="1413"/>
      <c r="AQ269" s="1413"/>
      <c r="AR269" s="1413"/>
    </row>
    <row r="270" spans="1:44" s="26" customFormat="1" ht="11.45" customHeight="1">
      <c r="A270" s="40" t="s">
        <v>1842</v>
      </c>
      <c r="B270" s="141" t="s">
        <v>6206</v>
      </c>
      <c r="C270" s="72"/>
      <c r="D270" s="72"/>
      <c r="E270" s="72"/>
      <c r="F270" s="72"/>
      <c r="H270" s="72"/>
      <c r="I270" s="72"/>
      <c r="O270" s="128" t="s">
        <v>1842</v>
      </c>
      <c r="R270" s="1214"/>
      <c r="S270" s="1595"/>
      <c r="T270" s="1595"/>
      <c r="U270" s="1595"/>
      <c r="V270" s="1595"/>
      <c r="W270" s="1595"/>
      <c r="X270" s="1595"/>
      <c r="Y270" s="1595"/>
      <c r="Z270" s="1595"/>
      <c r="AA270" s="1595"/>
      <c r="AB270" s="1595"/>
      <c r="AC270" s="1595"/>
      <c r="AD270" s="1595"/>
      <c r="AE270" s="1595"/>
      <c r="AF270" s="1595"/>
      <c r="AG270" s="1595"/>
      <c r="AH270" s="1595"/>
      <c r="AI270" s="1595"/>
      <c r="AJ270" s="1595"/>
      <c r="AK270" s="1595"/>
      <c r="AL270" s="1595"/>
      <c r="AM270" s="1595"/>
      <c r="AN270" s="1595"/>
      <c r="AO270" s="1595"/>
      <c r="AP270" s="1595"/>
      <c r="AQ270" s="1595"/>
      <c r="AR270" s="1595"/>
    </row>
    <row r="271" spans="1:44" s="334" customFormat="1" ht="33" customHeight="1">
      <c r="B271" s="457" t="s">
        <v>1615</v>
      </c>
      <c r="C271" s="3218" t="s">
        <v>3852</v>
      </c>
      <c r="D271" s="3218"/>
      <c r="E271" s="3218"/>
      <c r="F271" s="3218"/>
      <c r="G271" s="3218"/>
      <c r="H271" s="3218"/>
      <c r="I271" s="3218"/>
      <c r="J271" s="3218"/>
      <c r="K271" s="3218"/>
      <c r="L271" s="3218"/>
      <c r="M271" s="3218"/>
      <c r="N271" s="3218"/>
      <c r="O271" s="1406" t="s">
        <v>1615</v>
      </c>
      <c r="P271" s="896" t="s">
        <v>6933</v>
      </c>
      <c r="Q271" s="895"/>
      <c r="S271" s="1418"/>
      <c r="T271" s="1418"/>
      <c r="U271" s="1418"/>
      <c r="V271" s="1418"/>
      <c r="W271" s="1418"/>
      <c r="X271" s="1418"/>
      <c r="Y271" s="1418"/>
      <c r="Z271" s="1418"/>
      <c r="AA271" s="1418"/>
      <c r="AB271" s="1418"/>
      <c r="AC271" s="1418"/>
      <c r="AD271" s="1418"/>
      <c r="AE271" s="1418"/>
      <c r="AF271" s="1418"/>
      <c r="AG271" s="1418"/>
      <c r="AH271" s="1418"/>
      <c r="AI271" s="1418"/>
      <c r="AJ271" s="1418"/>
      <c r="AK271" s="1418"/>
      <c r="AL271" s="1418"/>
      <c r="AM271" s="1418"/>
      <c r="AN271" s="1418"/>
      <c r="AO271" s="1418"/>
      <c r="AP271" s="1418"/>
      <c r="AQ271" s="1418"/>
      <c r="AR271" s="1418"/>
    </row>
    <row r="272" spans="1:44" s="334" customFormat="1" ht="21.75" customHeight="1">
      <c r="A272" s="110"/>
      <c r="B272" s="457" t="s">
        <v>1616</v>
      </c>
      <c r="C272" s="3218" t="s">
        <v>2510</v>
      </c>
      <c r="D272" s="3218"/>
      <c r="E272" s="3218"/>
      <c r="F272" s="3218"/>
      <c r="G272" s="3218"/>
      <c r="H272" s="3218"/>
      <c r="I272" s="3218"/>
      <c r="J272" s="3218"/>
      <c r="K272" s="3218"/>
      <c r="L272" s="3218"/>
      <c r="M272" s="3218"/>
      <c r="N272" s="3218"/>
      <c r="O272" s="1406" t="s">
        <v>1616</v>
      </c>
      <c r="P272" s="898" t="s">
        <v>6933</v>
      </c>
      <c r="Q272" s="897"/>
      <c r="S272" s="1418"/>
      <c r="T272" s="1418"/>
      <c r="U272" s="1418"/>
      <c r="V272" s="1418"/>
      <c r="W272" s="1418"/>
      <c r="X272" s="1418"/>
      <c r="Y272" s="1418"/>
      <c r="Z272" s="1418"/>
      <c r="AA272" s="1418"/>
      <c r="AB272" s="1418"/>
      <c r="AC272" s="1418"/>
      <c r="AD272" s="1418"/>
      <c r="AE272" s="1418"/>
      <c r="AF272" s="1418"/>
      <c r="AG272" s="1418"/>
      <c r="AH272" s="1418"/>
      <c r="AI272" s="1418"/>
      <c r="AJ272" s="1418"/>
      <c r="AK272" s="1418"/>
      <c r="AL272" s="1418"/>
      <c r="AM272" s="1418"/>
      <c r="AN272" s="1418"/>
      <c r="AO272" s="1418"/>
      <c r="AP272" s="1418"/>
      <c r="AQ272" s="1418"/>
      <c r="AR272" s="1418"/>
    </row>
    <row r="273" spans="1:44" customFormat="1" ht="12.75" customHeight="1">
      <c r="A273" s="107" t="s">
        <v>1844</v>
      </c>
      <c r="B273" s="141" t="s">
        <v>297</v>
      </c>
      <c r="C273" s="115"/>
      <c r="D273" s="72"/>
      <c r="E273" s="72"/>
      <c r="F273" s="115"/>
      <c r="K273" s="48" t="s">
        <v>1844</v>
      </c>
      <c r="L273" s="3379" t="s">
        <v>3257</v>
      </c>
      <c r="M273" s="3380"/>
      <c r="N273" s="3380"/>
      <c r="O273" s="3380"/>
      <c r="P273" s="3381"/>
      <c r="Q273" s="908"/>
      <c r="X273" s="1413"/>
      <c r="Y273" s="1413"/>
      <c r="Z273" s="1413"/>
      <c r="AA273" s="1413"/>
      <c r="AB273" s="1413"/>
      <c r="AC273" s="1413"/>
      <c r="AD273" s="1413"/>
      <c r="AE273" s="1413"/>
      <c r="AF273" s="1413"/>
      <c r="AG273" s="1413"/>
      <c r="AH273" s="1413"/>
      <c r="AI273" s="1413"/>
      <c r="AJ273" s="1413"/>
      <c r="AK273" s="1413"/>
      <c r="AL273" s="1413"/>
      <c r="AM273" s="1413"/>
      <c r="AN273" s="1413"/>
      <c r="AO273" s="1413"/>
      <c r="AP273" s="1413"/>
      <c r="AQ273" s="1413"/>
      <c r="AR273" s="1413"/>
    </row>
    <row r="274" spans="1:44" s="26" customFormat="1" ht="11.45" customHeight="1">
      <c r="A274" s="107" t="s">
        <v>698</v>
      </c>
      <c r="B274" s="141" t="s">
        <v>6205</v>
      </c>
      <c r="C274" s="72"/>
      <c r="D274" s="72"/>
      <c r="E274" s="72"/>
      <c r="F274" s="72"/>
      <c r="H274" s="72"/>
      <c r="I274" s="72"/>
      <c r="R274" s="1214"/>
      <c r="S274" s="1595"/>
      <c r="T274" s="1595"/>
      <c r="U274" s="1595"/>
      <c r="V274" s="1595"/>
      <c r="W274" s="1595"/>
      <c r="X274" s="1595"/>
      <c r="Y274" s="1595"/>
      <c r="Z274" s="1595"/>
      <c r="AA274" s="1595"/>
      <c r="AB274" s="1595"/>
      <c r="AC274" s="1595"/>
      <c r="AD274" s="1595"/>
      <c r="AE274" s="1595"/>
      <c r="AF274" s="1595"/>
      <c r="AG274" s="1595"/>
      <c r="AH274" s="1595"/>
      <c r="AI274" s="1595"/>
      <c r="AJ274" s="1595"/>
      <c r="AK274" s="1595"/>
      <c r="AL274" s="1595"/>
      <c r="AM274" s="1595"/>
      <c r="AN274" s="1595"/>
      <c r="AO274" s="1595"/>
      <c r="AP274" s="1595"/>
      <c r="AQ274" s="1595"/>
      <c r="AR274" s="1595"/>
    </row>
    <row r="275" spans="1:44" customFormat="1" ht="11.45" customHeight="1">
      <c r="A275" s="107"/>
      <c r="B275" s="29" t="s">
        <v>6207</v>
      </c>
      <c r="C275" s="115"/>
      <c r="D275" s="72"/>
      <c r="E275" s="72"/>
      <c r="F275" s="115"/>
      <c r="H275" s="115"/>
      <c r="I275" s="115"/>
      <c r="N275" s="1804" t="s">
        <v>6208</v>
      </c>
      <c r="O275" s="48" t="s">
        <v>698</v>
      </c>
      <c r="P275" s="907" t="s">
        <v>6933</v>
      </c>
      <c r="Q275" s="908"/>
      <c r="R275" s="48"/>
      <c r="S275" s="1413"/>
      <c r="T275" s="1413"/>
      <c r="U275" s="1413"/>
      <c r="V275" s="1413"/>
      <c r="W275" s="1413"/>
      <c r="X275" s="1413"/>
      <c r="Y275" s="1413"/>
      <c r="Z275" s="1413"/>
      <c r="AA275" s="1413"/>
      <c r="AB275" s="1413"/>
      <c r="AC275" s="1413"/>
      <c r="AD275" s="1413"/>
      <c r="AE275" s="1413"/>
      <c r="AF275" s="1413"/>
      <c r="AG275" s="1413"/>
      <c r="AH275" s="1413"/>
      <c r="AI275" s="1413"/>
      <c r="AJ275" s="1413"/>
      <c r="AK275" s="1413"/>
      <c r="AL275" s="1413"/>
      <c r="AM275" s="1413"/>
      <c r="AN275" s="1413"/>
      <c r="AO275" s="1413"/>
      <c r="AP275" s="1413"/>
      <c r="AQ275" s="1413"/>
      <c r="AR275" s="1413"/>
    </row>
    <row r="276" spans="1:44" s="70" customFormat="1" ht="11.45" customHeight="1">
      <c r="A276" s="35"/>
      <c r="B276" s="109" t="s">
        <v>3243</v>
      </c>
      <c r="C276" s="35"/>
      <c r="D276" s="41"/>
      <c r="E276" s="41"/>
      <c r="F276" s="41"/>
      <c r="G276" s="41"/>
      <c r="K276" s="29"/>
      <c r="M276" s="39"/>
      <c r="N276" s="5"/>
      <c r="O276" s="3"/>
      <c r="P276" s="119"/>
      <c r="S276" s="1419"/>
      <c r="T276" s="1419"/>
      <c r="U276" s="1419"/>
      <c r="V276" s="1419"/>
      <c r="W276" s="1419"/>
      <c r="X276" s="1419"/>
      <c r="Y276" s="1419"/>
      <c r="Z276" s="1419"/>
      <c r="AA276" s="1419"/>
      <c r="AB276" s="1419"/>
      <c r="AC276" s="1419"/>
      <c r="AD276" s="1419"/>
      <c r="AE276" s="1419"/>
      <c r="AF276" s="1419"/>
      <c r="AG276" s="1419"/>
      <c r="AH276" s="1419"/>
      <c r="AI276" s="1419"/>
      <c r="AJ276" s="1419"/>
      <c r="AK276" s="1419"/>
      <c r="AL276" s="1419"/>
      <c r="AM276" s="1419"/>
      <c r="AN276" s="1419"/>
      <c r="AO276" s="1419"/>
      <c r="AP276" s="1419"/>
      <c r="AQ276" s="1419"/>
      <c r="AR276" s="1419"/>
    </row>
    <row r="277" spans="1:44" s="36" customFormat="1" ht="21.75" customHeight="1">
      <c r="A277" s="3215" t="s">
        <v>6961</v>
      </c>
      <c r="B277" s="3216"/>
      <c r="C277" s="3216"/>
      <c r="D277" s="3216"/>
      <c r="E277" s="3216"/>
      <c r="F277" s="3216"/>
      <c r="G277" s="3216"/>
      <c r="H277" s="3216"/>
      <c r="I277" s="3216"/>
      <c r="J277" s="3216"/>
      <c r="K277" s="3216"/>
      <c r="L277" s="3216"/>
      <c r="M277" s="3216"/>
      <c r="N277" s="3216"/>
      <c r="O277" s="3216"/>
      <c r="P277" s="3216"/>
      <c r="Q277" s="3217"/>
      <c r="R277" s="354" t="s">
        <v>1181</v>
      </c>
      <c r="S277" s="1414"/>
      <c r="T277" s="1414"/>
      <c r="U277" s="1414"/>
      <c r="V277" s="1414"/>
      <c r="W277" s="1414"/>
      <c r="X277" s="1414"/>
      <c r="Y277" s="1414"/>
      <c r="Z277" s="1414"/>
      <c r="AA277" s="1414"/>
      <c r="AB277" s="1414"/>
      <c r="AC277" s="1414"/>
      <c r="AD277" s="1414"/>
      <c r="AE277" s="1414"/>
      <c r="AF277" s="1414"/>
      <c r="AG277" s="1414"/>
      <c r="AH277" s="1414"/>
      <c r="AI277" s="1414"/>
      <c r="AJ277" s="1414"/>
      <c r="AK277" s="1414"/>
      <c r="AL277" s="1414"/>
      <c r="AM277" s="1414"/>
      <c r="AN277" s="1414"/>
      <c r="AO277" s="1414"/>
      <c r="AP277" s="1414"/>
      <c r="AQ277" s="1414"/>
      <c r="AR277" s="1414"/>
    </row>
    <row r="278" spans="1:44" s="36" customFormat="1" ht="11.25" customHeight="1">
      <c r="A278" s="28"/>
      <c r="B278" s="105" t="s">
        <v>1730</v>
      </c>
      <c r="C278" s="106"/>
      <c r="D278" s="889"/>
      <c r="E278" s="889"/>
      <c r="F278" s="889"/>
      <c r="G278" s="889"/>
      <c r="H278" s="889"/>
      <c r="I278" s="889"/>
      <c r="J278" s="889"/>
      <c r="K278" s="889"/>
      <c r="L278" s="889"/>
      <c r="M278" s="889"/>
      <c r="N278" s="889"/>
      <c r="O278" s="889"/>
      <c r="P278" s="889"/>
      <c r="Q278" s="889"/>
      <c r="R278" s="28"/>
      <c r="S278" s="1414"/>
      <c r="T278" s="1414"/>
      <c r="U278" s="1414"/>
      <c r="V278" s="1414"/>
      <c r="W278" s="1414"/>
      <c r="X278" s="1414"/>
      <c r="Y278" s="1414"/>
      <c r="Z278" s="1414"/>
      <c r="AA278" s="1414"/>
      <c r="AB278" s="1414"/>
      <c r="AC278" s="1414"/>
      <c r="AD278" s="1414"/>
      <c r="AE278" s="1414"/>
      <c r="AF278" s="1414"/>
      <c r="AG278" s="1414"/>
      <c r="AH278" s="1414"/>
      <c r="AI278" s="1414"/>
      <c r="AJ278" s="1414"/>
      <c r="AK278" s="1414"/>
      <c r="AL278" s="1414"/>
      <c r="AM278" s="1414"/>
      <c r="AN278" s="1414"/>
      <c r="AO278" s="1414"/>
      <c r="AP278" s="1414"/>
      <c r="AQ278" s="1414"/>
      <c r="AR278" s="1414"/>
    </row>
    <row r="279" spans="1:44" s="36" customFormat="1" ht="11.25" customHeight="1">
      <c r="A279" s="3219"/>
      <c r="B279" s="3220"/>
      <c r="C279" s="3220"/>
      <c r="D279" s="3220"/>
      <c r="E279" s="3220"/>
      <c r="F279" s="3220"/>
      <c r="G279" s="3220"/>
      <c r="H279" s="3220"/>
      <c r="I279" s="3220"/>
      <c r="J279" s="3220"/>
      <c r="K279" s="3220"/>
      <c r="L279" s="3220"/>
      <c r="M279" s="3220"/>
      <c r="N279" s="3220"/>
      <c r="O279" s="3220"/>
      <c r="P279" s="3220"/>
      <c r="Q279" s="3221"/>
      <c r="R279" s="28"/>
      <c r="S279" s="1414"/>
      <c r="T279" s="1414"/>
      <c r="U279" s="1414"/>
      <c r="V279" s="1414"/>
      <c r="W279" s="1414"/>
      <c r="X279" s="1414"/>
      <c r="Y279" s="1414"/>
      <c r="Z279" s="1414"/>
      <c r="AA279" s="1414"/>
      <c r="AB279" s="1414"/>
      <c r="AC279" s="1414"/>
      <c r="AD279" s="1414"/>
      <c r="AE279" s="1414"/>
      <c r="AF279" s="1414"/>
      <c r="AG279" s="1414"/>
      <c r="AH279" s="1414"/>
      <c r="AI279" s="1414"/>
      <c r="AJ279" s="1414"/>
      <c r="AK279" s="1414"/>
      <c r="AL279" s="1414"/>
      <c r="AM279" s="1414"/>
      <c r="AN279" s="1414"/>
      <c r="AO279" s="1414"/>
      <c r="AP279" s="1414"/>
      <c r="AQ279" s="1414"/>
      <c r="AR279" s="1414"/>
    </row>
    <row r="280" spans="1:44" s="36" customFormat="1" ht="3" customHeight="1">
      <c r="A280" s="35"/>
      <c r="D280" s="32"/>
      <c r="E280" s="29"/>
      <c r="F280" s="119"/>
      <c r="G280" s="119"/>
      <c r="H280" s="119"/>
      <c r="I280" s="119"/>
      <c r="J280" s="33"/>
      <c r="K280" s="33"/>
      <c r="L280" s="33"/>
      <c r="M280" s="31"/>
      <c r="N280" s="119"/>
      <c r="O280" s="24"/>
      <c r="P280" s="3"/>
      <c r="S280" s="1414"/>
      <c r="T280" s="1414"/>
      <c r="U280" s="1414"/>
      <c r="V280" s="1414"/>
      <c r="W280" s="1414"/>
      <c r="X280" s="1414"/>
      <c r="Y280" s="1414"/>
      <c r="Z280" s="1414"/>
      <c r="AA280" s="1414"/>
      <c r="AB280" s="1414"/>
      <c r="AC280" s="1414"/>
      <c r="AD280" s="1414"/>
      <c r="AE280" s="1414"/>
      <c r="AF280" s="1414"/>
      <c r="AG280" s="1414"/>
      <c r="AH280" s="1414"/>
      <c r="AI280" s="1414"/>
      <c r="AJ280" s="1414"/>
      <c r="AK280" s="1414"/>
      <c r="AL280" s="1414"/>
      <c r="AM280" s="1414"/>
      <c r="AN280" s="1414"/>
      <c r="AO280" s="1414"/>
      <c r="AP280" s="1414"/>
      <c r="AQ280" s="1414"/>
      <c r="AR280" s="1414"/>
    </row>
    <row r="281" spans="1:44" ht="14.1" customHeight="1">
      <c r="A281" s="2" t="s">
        <v>3373</v>
      </c>
      <c r="B281" s="2" t="s">
        <v>2434</v>
      </c>
      <c r="C281" s="116"/>
      <c r="D281" s="892"/>
      <c r="E281" s="889"/>
      <c r="F281" s="889"/>
      <c r="G281" s="889"/>
      <c r="H281" s="889"/>
      <c r="I281" s="889"/>
      <c r="J281" s="889"/>
      <c r="K281" s="889"/>
      <c r="L281" s="889"/>
      <c r="M281" s="889"/>
      <c r="O281" s="101" t="s">
        <v>1731</v>
      </c>
      <c r="P281" s="3236"/>
      <c r="Q281" s="3225"/>
      <c r="S281" s="1412"/>
      <c r="T281" s="1412"/>
      <c r="U281" s="1412"/>
      <c r="V281" s="1412"/>
      <c r="W281" s="1412"/>
      <c r="X281" s="1412"/>
      <c r="Y281" s="1412"/>
      <c r="Z281" s="1412"/>
      <c r="AA281" s="1412"/>
      <c r="AB281" s="1412"/>
      <c r="AC281" s="1412"/>
      <c r="AD281" s="1412"/>
      <c r="AE281" s="1412"/>
      <c r="AF281" s="1412"/>
      <c r="AG281" s="1412"/>
      <c r="AH281" s="1412"/>
      <c r="AI281" s="1412"/>
      <c r="AJ281" s="1412"/>
      <c r="AK281" s="1412"/>
      <c r="AL281" s="1412"/>
      <c r="AM281" s="1412"/>
      <c r="AN281" s="1412"/>
      <c r="AO281" s="1412"/>
      <c r="AP281" s="1412"/>
      <c r="AQ281" s="1412"/>
      <c r="AR281" s="1412"/>
    </row>
    <row r="282" spans="1:44" customFormat="1" ht="11.45" customHeight="1">
      <c r="B282" s="44" t="s">
        <v>6202</v>
      </c>
      <c r="N282" s="92"/>
      <c r="P282" s="74" t="s">
        <v>2655</v>
      </c>
      <c r="Q282" s="417"/>
      <c r="S282" s="1413"/>
      <c r="T282" s="1413"/>
      <c r="U282" s="1413"/>
      <c r="V282" s="1413"/>
      <c r="W282" s="1413"/>
      <c r="X282" s="1413"/>
      <c r="Y282" s="1413"/>
      <c r="Z282" s="1413"/>
      <c r="AA282" s="1413"/>
      <c r="AB282" s="1413"/>
      <c r="AC282" s="1413"/>
      <c r="AD282" s="1413"/>
      <c r="AE282" s="1413"/>
      <c r="AF282" s="1413"/>
      <c r="AG282" s="1413"/>
      <c r="AH282" s="1413"/>
      <c r="AI282" s="1413"/>
      <c r="AJ282" s="1413"/>
      <c r="AK282" s="1413"/>
      <c r="AL282" s="1413"/>
      <c r="AM282" s="1413"/>
      <c r="AN282" s="1413"/>
      <c r="AO282" s="1413"/>
      <c r="AP282" s="1413"/>
      <c r="AQ282" s="1413"/>
      <c r="AR282" s="1413"/>
    </row>
    <row r="283" spans="1:44" ht="12.75" customHeight="1">
      <c r="A283" s="107" t="s">
        <v>1842</v>
      </c>
      <c r="B283" s="153" t="s">
        <v>3390</v>
      </c>
      <c r="S283" s="1412"/>
      <c r="T283" s="1412"/>
      <c r="U283" s="1412"/>
      <c r="V283" s="1412"/>
      <c r="W283" s="1412"/>
      <c r="X283" s="1412"/>
      <c r="Y283" s="1412"/>
      <c r="Z283" s="1412"/>
      <c r="AA283" s="1412"/>
      <c r="AB283" s="1412"/>
      <c r="AC283" s="1412"/>
      <c r="AD283" s="1412"/>
      <c r="AE283" s="1412"/>
      <c r="AF283" s="1412"/>
      <c r="AG283" s="1412"/>
      <c r="AH283" s="1412"/>
      <c r="AI283" s="1412"/>
      <c r="AJ283" s="1412"/>
      <c r="AK283" s="1412"/>
      <c r="AL283" s="1412"/>
      <c r="AM283" s="1412"/>
      <c r="AN283" s="1412"/>
      <c r="AO283" s="1412"/>
      <c r="AP283" s="1412"/>
      <c r="AQ283" s="1412"/>
      <c r="AR283" s="1412"/>
    </row>
    <row r="284" spans="1:44" s="115" customFormat="1" ht="44.25" customHeight="1">
      <c r="A284" s="110"/>
      <c r="B284" s="1222" t="s">
        <v>1615</v>
      </c>
      <c r="C284" s="3218" t="s">
        <v>6667</v>
      </c>
      <c r="D284" s="3218"/>
      <c r="E284" s="3218"/>
      <c r="F284" s="3218"/>
      <c r="G284" s="3218"/>
      <c r="H284" s="3218"/>
      <c r="I284" s="3218"/>
      <c r="J284" s="3218"/>
      <c r="K284" s="3218"/>
      <c r="L284" s="3218"/>
      <c r="M284" s="3218"/>
      <c r="N284" s="3218"/>
      <c r="O284" s="128" t="s">
        <v>2472</v>
      </c>
      <c r="P284" s="896" t="s">
        <v>2652</v>
      </c>
      <c r="Q284" s="895"/>
      <c r="S284" s="1417"/>
      <c r="T284" s="1417"/>
      <c r="U284" s="1417"/>
      <c r="V284" s="1417"/>
      <c r="W284" s="1417"/>
      <c r="X284" s="1417"/>
      <c r="Y284" s="1417"/>
      <c r="Z284" s="1417"/>
      <c r="AA284" s="1417"/>
      <c r="AB284" s="1417"/>
      <c r="AC284" s="1417"/>
      <c r="AD284" s="1417"/>
      <c r="AE284" s="1417"/>
      <c r="AF284" s="1417"/>
      <c r="AG284" s="1417"/>
      <c r="AH284" s="1417"/>
      <c r="AI284" s="1417"/>
      <c r="AJ284" s="1417"/>
      <c r="AK284" s="1417"/>
      <c r="AL284" s="1417"/>
      <c r="AM284" s="1417"/>
      <c r="AN284" s="1417"/>
      <c r="AO284" s="1417"/>
      <c r="AP284" s="1417"/>
      <c r="AQ284" s="1417"/>
      <c r="AR284" s="1417"/>
    </row>
    <row r="285" spans="1:44" s="334" customFormat="1" ht="12" customHeight="1">
      <c r="A285" s="110"/>
      <c r="B285" s="1222" t="s">
        <v>1616</v>
      </c>
      <c r="C285" s="3218" t="s">
        <v>6668</v>
      </c>
      <c r="D285" s="3218"/>
      <c r="E285" s="3218"/>
      <c r="F285" s="3218"/>
      <c r="G285" s="3218"/>
      <c r="H285" s="3218"/>
      <c r="I285" s="3218"/>
      <c r="J285" s="3218"/>
      <c r="K285" s="3218"/>
      <c r="L285" s="3218"/>
      <c r="M285" s="3218"/>
      <c r="N285" s="3218"/>
      <c r="O285" s="117" t="s">
        <v>1616</v>
      </c>
      <c r="P285" s="431" t="s">
        <v>2652</v>
      </c>
      <c r="Q285" s="422"/>
      <c r="S285" s="1418"/>
      <c r="T285" s="1418"/>
      <c r="U285" s="1418"/>
      <c r="V285" s="1418"/>
      <c r="W285" s="1418"/>
      <c r="X285" s="1418"/>
      <c r="Y285" s="1418"/>
      <c r="Z285" s="1418"/>
      <c r="AA285" s="1418"/>
      <c r="AB285" s="1418"/>
      <c r="AC285" s="1418"/>
      <c r="AD285" s="1418"/>
      <c r="AE285" s="1418"/>
      <c r="AF285" s="1418"/>
      <c r="AG285" s="1418"/>
      <c r="AH285" s="1418"/>
      <c r="AI285" s="1418"/>
      <c r="AJ285" s="1418"/>
      <c r="AK285" s="1418"/>
      <c r="AL285" s="1418"/>
      <c r="AM285" s="1418"/>
      <c r="AN285" s="1418"/>
      <c r="AO285" s="1418"/>
      <c r="AP285" s="1418"/>
      <c r="AQ285" s="1418"/>
      <c r="AR285" s="1418"/>
    </row>
    <row r="286" spans="1:44" s="334" customFormat="1" ht="22.5" customHeight="1">
      <c r="A286" s="110"/>
      <c r="B286" s="372" t="s">
        <v>1617</v>
      </c>
      <c r="C286" s="3218" t="s">
        <v>6209</v>
      </c>
      <c r="D286" s="3218"/>
      <c r="E286" s="3218"/>
      <c r="F286" s="3218"/>
      <c r="G286" s="3218"/>
      <c r="H286" s="3218"/>
      <c r="I286" s="3218"/>
      <c r="J286" s="3218"/>
      <c r="K286" s="3218"/>
      <c r="L286" s="3218"/>
      <c r="M286" s="3218"/>
      <c r="N286" s="3218"/>
      <c r="O286" s="128" t="s">
        <v>1617</v>
      </c>
      <c r="P286" s="898" t="s">
        <v>907</v>
      </c>
      <c r="Q286" s="897"/>
      <c r="S286" s="1418"/>
      <c r="T286" s="1418"/>
      <c r="U286" s="1418"/>
      <c r="V286" s="1418"/>
      <c r="W286" s="1418"/>
      <c r="X286" s="1418"/>
      <c r="Y286" s="1418"/>
      <c r="Z286" s="1418"/>
      <c r="AA286" s="1418"/>
      <c r="AB286" s="1418"/>
      <c r="AC286" s="1418"/>
      <c r="AD286" s="1418"/>
      <c r="AE286" s="1418"/>
      <c r="AF286" s="1418"/>
      <c r="AG286" s="1418"/>
      <c r="AH286" s="1418"/>
      <c r="AI286" s="1418"/>
      <c r="AJ286" s="1418"/>
      <c r="AK286" s="1418"/>
      <c r="AL286" s="1418"/>
      <c r="AM286" s="1418"/>
      <c r="AN286" s="1418"/>
      <c r="AO286" s="1418"/>
      <c r="AP286" s="1418"/>
      <c r="AQ286" s="1418"/>
      <c r="AR286" s="1418"/>
    </row>
    <row r="287" spans="1:44" s="72" customFormat="1" ht="12.75" customHeight="1">
      <c r="A287" s="107" t="s">
        <v>1844</v>
      </c>
      <c r="B287" s="153" t="s">
        <v>3297</v>
      </c>
      <c r="D287" s="894"/>
      <c r="E287" s="894"/>
      <c r="F287" s="894"/>
      <c r="G287" s="894"/>
      <c r="H287" s="894"/>
      <c r="I287" s="894"/>
      <c r="J287" s="894"/>
      <c r="K287" s="894"/>
      <c r="L287" s="894"/>
      <c r="M287" s="894"/>
      <c r="N287" s="894"/>
      <c r="O287" s="48"/>
      <c r="P287" s="48"/>
      <c r="Q287" s="48"/>
      <c r="S287" s="1420"/>
      <c r="T287" s="1420"/>
      <c r="U287" s="1420"/>
      <c r="V287" s="1420"/>
      <c r="W287" s="1420"/>
      <c r="X287" s="1420"/>
      <c r="Y287" s="1420"/>
      <c r="Z287" s="1420"/>
      <c r="AA287" s="1420"/>
      <c r="AB287" s="1420"/>
      <c r="AC287" s="1420"/>
      <c r="AD287" s="1420"/>
      <c r="AE287" s="1420"/>
      <c r="AF287" s="1420"/>
      <c r="AG287" s="1420"/>
      <c r="AH287" s="1420"/>
      <c r="AI287" s="1420"/>
      <c r="AJ287" s="1420"/>
      <c r="AK287" s="1420"/>
      <c r="AL287" s="1420"/>
      <c r="AM287" s="1420"/>
      <c r="AN287" s="1420"/>
      <c r="AO287" s="1420"/>
      <c r="AP287" s="1420"/>
      <c r="AQ287" s="1420"/>
      <c r="AR287" s="1420"/>
    </row>
    <row r="288" spans="1:44" s="72" customFormat="1" ht="11.25" customHeight="1">
      <c r="A288" s="151"/>
      <c r="B288" s="1222" t="s">
        <v>1615</v>
      </c>
      <c r="C288" s="29" t="s">
        <v>1964</v>
      </c>
      <c r="D288" s="3218" t="s">
        <v>6212</v>
      </c>
      <c r="E288" s="3218"/>
      <c r="F288" s="3218"/>
      <c r="G288" s="3218"/>
      <c r="H288" s="3218"/>
      <c r="I288" s="108"/>
      <c r="J288" s="3277" t="s">
        <v>3269</v>
      </c>
      <c r="K288" s="3245"/>
      <c r="L288" s="3245"/>
      <c r="M288" s="3290" t="s">
        <v>3250</v>
      </c>
      <c r="N288" s="3290"/>
      <c r="S288" s="1420"/>
      <c r="T288" s="1420"/>
      <c r="U288" s="1420"/>
      <c r="V288" s="1420"/>
      <c r="W288" s="1420"/>
      <c r="X288" s="1420"/>
      <c r="Y288" s="1420"/>
      <c r="Z288" s="1420"/>
      <c r="AA288" s="1420"/>
      <c r="AB288" s="1420"/>
      <c r="AC288" s="1420"/>
      <c r="AD288" s="1420"/>
      <c r="AE288" s="1420"/>
      <c r="AF288" s="1420"/>
      <c r="AG288" s="1420"/>
      <c r="AH288" s="1420"/>
      <c r="AI288" s="1420"/>
      <c r="AJ288" s="1420"/>
      <c r="AK288" s="1420"/>
      <c r="AL288" s="1420"/>
      <c r="AM288" s="1420"/>
      <c r="AN288" s="1420"/>
      <c r="AO288" s="1420"/>
      <c r="AP288" s="1420"/>
      <c r="AQ288" s="1420"/>
      <c r="AR288" s="1420"/>
    </row>
    <row r="289" spans="1:44" s="144" customFormat="1" ht="10.5" customHeight="1">
      <c r="A289" s="249"/>
      <c r="B289" s="246"/>
      <c r="D289" s="3218"/>
      <c r="E289" s="3218"/>
      <c r="F289" s="3218"/>
      <c r="G289" s="3218"/>
      <c r="H289" s="3218"/>
      <c r="I289" s="248"/>
      <c r="J289" s="3245"/>
      <c r="K289" s="3245"/>
      <c r="L289" s="3245"/>
      <c r="M289" s="29" t="s">
        <v>3251</v>
      </c>
      <c r="N289" s="893" t="s">
        <v>3268</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3218"/>
      <c r="E290" s="3218"/>
      <c r="F290" s="3218"/>
      <c r="G290" s="3218"/>
      <c r="H290" s="3218"/>
      <c r="I290" s="29" t="s">
        <v>3391</v>
      </c>
      <c r="K290" s="1597">
        <v>6</v>
      </c>
      <c r="L290" s="795" t="str">
        <f>IF(K290&lt;M290,"Check!!!","")</f>
        <v/>
      </c>
      <c r="M290" s="1599">
        <f>ROUNDUP('Part V-Revenues &amp; Expenses'!$P$67*'Part VII-Threshold Criteria'!N290,0)</f>
        <v>6</v>
      </c>
      <c r="N290" s="1207">
        <f>'DCA Underwriting Assumptions'!$Q$117</f>
        <v>0.05</v>
      </c>
      <c r="O290" s="48" t="s">
        <v>3170</v>
      </c>
      <c r="P290" s="1289" t="s">
        <v>2652</v>
      </c>
      <c r="Q290" s="1290"/>
      <c r="S290" s="261"/>
      <c r="T290" s="261"/>
      <c r="U290" s="261"/>
      <c r="V290" s="1421"/>
      <c r="W290" s="261"/>
      <c r="X290" s="1421"/>
      <c r="Y290" s="261"/>
      <c r="Z290" s="1422" t="str">
        <f>IF(AA290="","",IF(AA290&lt;AC290,"Check!!!",""))</f>
        <v/>
      </c>
      <c r="AA290" s="1422" t="str">
        <f t="shared" ref="AA290:AG290" si="0">IF(AB290="","",IF(AB290&lt;AD290,"Check!!!",""))</f>
        <v/>
      </c>
      <c r="AB290" s="1422" t="str">
        <f t="shared" si="0"/>
        <v/>
      </c>
      <c r="AC290" s="1422" t="str">
        <f t="shared" si="0"/>
        <v/>
      </c>
      <c r="AD290" s="1422" t="str">
        <f t="shared" si="0"/>
        <v/>
      </c>
      <c r="AE290" s="1422" t="str">
        <f t="shared" si="0"/>
        <v/>
      </c>
      <c r="AF290" s="1422" t="str">
        <f t="shared" si="0"/>
        <v/>
      </c>
      <c r="AG290" s="1422" t="str">
        <f t="shared" si="0"/>
        <v/>
      </c>
      <c r="AH290" s="261"/>
      <c r="AI290" s="261"/>
      <c r="AJ290" s="261"/>
      <c r="AK290" s="261"/>
      <c r="AL290" s="261"/>
      <c r="AM290" s="261"/>
      <c r="AN290" s="261"/>
      <c r="AO290" s="261"/>
      <c r="AP290" s="261"/>
      <c r="AQ290" s="261"/>
      <c r="AR290" s="261"/>
    </row>
    <row r="291" spans="1:44" s="72" customFormat="1" ht="12.75" customHeight="1">
      <c r="A291" s="110"/>
      <c r="B291" s="1222"/>
      <c r="C291" s="29" t="s">
        <v>1965</v>
      </c>
      <c r="D291" s="3218" t="s">
        <v>6213</v>
      </c>
      <c r="E291" s="3218"/>
      <c r="F291" s="3218"/>
      <c r="G291" s="3218"/>
      <c r="H291" s="3218"/>
      <c r="I291" s="370" t="s">
        <v>3392</v>
      </c>
      <c r="J291" s="144"/>
      <c r="K291" s="1598">
        <v>6</v>
      </c>
      <c r="L291" s="795" t="str">
        <f>IF(K291&lt;M291,"Check!!!","")</f>
        <v/>
      </c>
      <c r="M291" s="1600">
        <f>ROUNDUP(K290*'Part VII-Threshold Criteria'!N291,0)</f>
        <v>3</v>
      </c>
      <c r="N291" s="1207">
        <f>'DCA Underwriting Assumptions'!$Q$118</f>
        <v>0.4</v>
      </c>
      <c r="O291" s="48" t="s">
        <v>1965</v>
      </c>
      <c r="P291" s="3384" t="s">
        <v>2652</v>
      </c>
      <c r="Q291" s="3382"/>
      <c r="S291" s="1420"/>
      <c r="T291" s="1423"/>
      <c r="U291" s="1423"/>
      <c r="V291" s="1423"/>
      <c r="W291" s="1423"/>
      <c r="X291" s="1423"/>
      <c r="Y291" s="1423"/>
      <c r="Z291" s="1423"/>
      <c r="AA291" s="1423"/>
      <c r="AB291" s="1423"/>
      <c r="AC291" s="1423"/>
      <c r="AD291" s="1423"/>
      <c r="AE291" s="1423"/>
      <c r="AF291" s="1423"/>
      <c r="AG291" s="1423"/>
      <c r="AH291" s="1420"/>
      <c r="AI291" s="1420"/>
      <c r="AJ291" s="1420"/>
      <c r="AK291" s="1420"/>
      <c r="AL291" s="1420"/>
      <c r="AM291" s="1420"/>
      <c r="AN291" s="1420"/>
      <c r="AO291" s="1420"/>
      <c r="AP291" s="1420"/>
      <c r="AQ291" s="1420"/>
      <c r="AR291" s="1420"/>
    </row>
    <row r="292" spans="1:44" s="144" customFormat="1" ht="10.5" customHeight="1">
      <c r="A292" s="249"/>
      <c r="B292" s="246"/>
      <c r="C292" s="457"/>
      <c r="D292" s="3218"/>
      <c r="E292" s="3218"/>
      <c r="F292" s="3218"/>
      <c r="G292" s="3218"/>
      <c r="H292" s="3218"/>
      <c r="O292" s="33"/>
      <c r="P292" s="3385"/>
      <c r="Q292" s="3383"/>
      <c r="S292" s="261"/>
      <c r="T292" s="261"/>
      <c r="U292" s="261"/>
      <c r="V292" s="1421"/>
      <c r="W292" s="1424"/>
      <c r="X292" s="1421"/>
      <c r="Y292" s="261"/>
      <c r="Z292" s="1422" t="str">
        <f>IF(AA292="","",IF(AA292&lt;AC292,"Check!!!",""))</f>
        <v/>
      </c>
      <c r="AA292" s="1422" t="str">
        <f t="shared" ref="AA292:AG292" si="1">IF(AB292="","",IF(AB292&lt;AD292,"Check!!!",""))</f>
        <v/>
      </c>
      <c r="AB292" s="1422" t="str">
        <f t="shared" si="1"/>
        <v/>
      </c>
      <c r="AC292" s="1422" t="str">
        <f t="shared" si="1"/>
        <v/>
      </c>
      <c r="AD292" s="1422" t="str">
        <f t="shared" si="1"/>
        <v/>
      </c>
      <c r="AE292" s="1422" t="str">
        <f t="shared" si="1"/>
        <v/>
      </c>
      <c r="AF292" s="1422" t="str">
        <f t="shared" si="1"/>
        <v/>
      </c>
      <c r="AG292" s="1422" t="str">
        <f t="shared" si="1"/>
        <v/>
      </c>
      <c r="AH292" s="261"/>
      <c r="AI292" s="261"/>
      <c r="AJ292" s="261"/>
      <c r="AK292" s="261"/>
      <c r="AL292" s="261"/>
      <c r="AM292" s="261"/>
      <c r="AN292" s="261"/>
      <c r="AO292" s="261"/>
      <c r="AP292" s="261"/>
      <c r="AQ292" s="261"/>
      <c r="AR292" s="261"/>
    </row>
    <row r="293" spans="1:44" s="72" customFormat="1" ht="12.75" customHeight="1">
      <c r="A293" s="110"/>
      <c r="B293" s="1222" t="s">
        <v>1616</v>
      </c>
      <c r="C293" s="3218" t="s">
        <v>6744</v>
      </c>
      <c r="D293" s="3218"/>
      <c r="E293" s="3218"/>
      <c r="F293" s="3218"/>
      <c r="G293" s="3218"/>
      <c r="H293" s="3218"/>
      <c r="I293" s="29" t="s">
        <v>3393</v>
      </c>
      <c r="J293" s="144"/>
      <c r="K293" s="793">
        <v>3</v>
      </c>
      <c r="L293" s="795" t="str">
        <f>IF(K293&lt;M293,"Check!!!","")</f>
        <v/>
      </c>
      <c r="M293" s="796">
        <f>ROUNDUP('Part V-Revenues &amp; Expenses'!$P$67*'Part VII-Threshold Criteria'!N293,0)</f>
        <v>3</v>
      </c>
      <c r="N293" s="1207">
        <f>'DCA Underwriting Assumptions'!$Q$119</f>
        <v>0.02</v>
      </c>
      <c r="O293" s="48" t="s">
        <v>1616</v>
      </c>
      <c r="P293" s="1402" t="s">
        <v>2652</v>
      </c>
      <c r="Q293" s="1401"/>
      <c r="S293" s="1420"/>
      <c r="T293" s="1423"/>
      <c r="U293" s="1423"/>
      <c r="V293" s="1423"/>
      <c r="W293" s="1423"/>
      <c r="X293" s="1423"/>
      <c r="Y293" s="1423"/>
      <c r="Z293" s="1423"/>
      <c r="AA293" s="1423"/>
      <c r="AB293" s="1423"/>
      <c r="AC293" s="1423"/>
      <c r="AD293" s="1423"/>
      <c r="AE293" s="1423"/>
      <c r="AF293" s="1423"/>
      <c r="AG293" s="1423"/>
      <c r="AH293" s="1420"/>
      <c r="AI293" s="1420"/>
      <c r="AJ293" s="1420"/>
      <c r="AK293" s="1420"/>
      <c r="AL293" s="1420"/>
      <c r="AM293" s="1420"/>
      <c r="AN293" s="1420"/>
      <c r="AO293" s="1420"/>
      <c r="AP293" s="1420"/>
      <c r="AQ293" s="1420"/>
      <c r="AR293" s="1420"/>
    </row>
    <row r="294" spans="1:44" s="144" customFormat="1" ht="3" customHeight="1">
      <c r="A294" s="249"/>
      <c r="C294" s="3218"/>
      <c r="D294" s="3218"/>
      <c r="E294" s="3218"/>
      <c r="F294" s="3218"/>
      <c r="G294" s="3218"/>
      <c r="H294" s="3218"/>
      <c r="J294" s="29"/>
      <c r="K294" s="29"/>
      <c r="L294" s="33"/>
      <c r="M294" s="893"/>
      <c r="O294" s="29"/>
      <c r="P294" s="893"/>
      <c r="Q294" s="29"/>
      <c r="S294" s="261"/>
      <c r="T294" s="1421"/>
      <c r="U294" s="1424"/>
      <c r="V294" s="1421"/>
      <c r="W294" s="1424"/>
      <c r="X294" s="1421"/>
      <c r="Y294" s="1421"/>
      <c r="Z294" s="1421"/>
      <c r="AA294" s="1421"/>
      <c r="AB294" s="1421"/>
      <c r="AC294" s="1421"/>
      <c r="AD294" s="1421"/>
      <c r="AE294" s="1421"/>
      <c r="AF294" s="1421"/>
      <c r="AG294" s="1421"/>
      <c r="AH294" s="261"/>
      <c r="AI294" s="261"/>
      <c r="AJ294" s="261"/>
      <c r="AK294" s="261"/>
      <c r="AL294" s="261"/>
      <c r="AM294" s="261"/>
      <c r="AN294" s="261"/>
      <c r="AO294" s="261"/>
      <c r="AP294" s="261"/>
      <c r="AQ294" s="261"/>
      <c r="AR294" s="261"/>
    </row>
    <row r="295" spans="1:44" s="144" customFormat="1" ht="10.5" customHeight="1">
      <c r="A295" s="249"/>
      <c r="C295" s="3218"/>
      <c r="D295" s="3218"/>
      <c r="E295" s="3218"/>
      <c r="F295" s="3218"/>
      <c r="G295" s="3218"/>
      <c r="H295" s="3218"/>
      <c r="O295" s="33"/>
      <c r="P295" s="48"/>
      <c r="S295" s="261"/>
      <c r="T295" s="261"/>
      <c r="U295" s="261"/>
      <c r="V295" s="1421"/>
      <c r="W295" s="1424"/>
      <c r="X295" s="1421"/>
      <c r="Y295" s="261"/>
      <c r="Z295" s="1422" t="str">
        <f>IF(AA295="","",IF(AA295&lt;AC295,"Check!!!",""))</f>
        <v/>
      </c>
      <c r="AA295" s="1422" t="str">
        <f t="shared" ref="AA295:AG295" si="2">IF(AB295="","",IF(AB295&lt;AD295,"Check!!!",""))</f>
        <v/>
      </c>
      <c r="AB295" s="1422" t="str">
        <f t="shared" si="2"/>
        <v/>
      </c>
      <c r="AC295" s="1422" t="str">
        <f t="shared" si="2"/>
        <v/>
      </c>
      <c r="AD295" s="1422" t="str">
        <f t="shared" si="2"/>
        <v/>
      </c>
      <c r="AE295" s="1422" t="str">
        <f t="shared" si="2"/>
        <v/>
      </c>
      <c r="AF295" s="1422" t="str">
        <f t="shared" si="2"/>
        <v/>
      </c>
      <c r="AG295" s="1422"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3298</v>
      </c>
      <c r="D296" s="889"/>
      <c r="E296" s="889"/>
      <c r="F296" s="889"/>
      <c r="G296" s="889"/>
      <c r="H296" s="889"/>
      <c r="O296" s="33"/>
      <c r="P296" s="48"/>
      <c r="S296" s="261"/>
      <c r="T296" s="261"/>
      <c r="U296" s="261"/>
      <c r="V296" s="1421"/>
      <c r="W296" s="1424"/>
      <c r="X296" s="1421"/>
      <c r="Y296" s="261"/>
      <c r="Z296" s="1422"/>
      <c r="AA296" s="1422"/>
      <c r="AB296" s="1422"/>
      <c r="AC296" s="1422"/>
      <c r="AD296" s="1422"/>
      <c r="AE296" s="1422"/>
      <c r="AF296" s="1422"/>
      <c r="AG296" s="1422"/>
      <c r="AH296" s="261"/>
      <c r="AI296" s="261"/>
      <c r="AJ296" s="261"/>
      <c r="AK296" s="261"/>
      <c r="AL296" s="261"/>
      <c r="AM296" s="261"/>
      <c r="AN296" s="261"/>
      <c r="AO296" s="261"/>
      <c r="AP296" s="261"/>
      <c r="AQ296" s="261"/>
      <c r="AR296" s="261"/>
    </row>
    <row r="297" spans="1:44" s="72" customFormat="1" ht="22.5" customHeight="1">
      <c r="B297" s="3218" t="s">
        <v>6722</v>
      </c>
      <c r="C297" s="3218"/>
      <c r="D297" s="3218"/>
      <c r="E297" s="3218"/>
      <c r="F297" s="3218"/>
      <c r="G297" s="3218"/>
      <c r="H297" s="3218"/>
      <c r="I297" s="3218"/>
      <c r="J297" s="3218"/>
      <c r="K297" s="3218"/>
      <c r="L297" s="3218"/>
      <c r="M297" s="3218"/>
      <c r="N297" s="3218"/>
      <c r="O297" s="128" t="s">
        <v>698</v>
      </c>
      <c r="P297" s="907" t="s">
        <v>2652</v>
      </c>
      <c r="Q297" s="908"/>
      <c r="S297" s="1420"/>
      <c r="T297" s="1420"/>
      <c r="U297" s="1420"/>
      <c r="V297" s="1420"/>
      <c r="W297" s="1420"/>
      <c r="X297" s="1420"/>
      <c r="Y297" s="1420"/>
      <c r="Z297" s="1420"/>
      <c r="AA297" s="1420"/>
      <c r="AB297" s="1420"/>
      <c r="AC297" s="1420"/>
      <c r="AD297" s="1420"/>
      <c r="AE297" s="1420"/>
      <c r="AF297" s="1420"/>
      <c r="AG297" s="1420"/>
      <c r="AH297" s="1420"/>
      <c r="AI297" s="1420"/>
      <c r="AJ297" s="1420"/>
      <c r="AK297" s="1420"/>
      <c r="AL297" s="1420"/>
      <c r="AM297" s="1420"/>
      <c r="AN297" s="1420"/>
      <c r="AO297" s="1420"/>
      <c r="AP297" s="1420"/>
      <c r="AQ297" s="1420"/>
      <c r="AR297" s="1420"/>
    </row>
    <row r="298" spans="1:44" s="72" customFormat="1" ht="11.25" customHeight="1">
      <c r="B298" s="108" t="s">
        <v>3171</v>
      </c>
      <c r="D298" s="108"/>
      <c r="E298" s="108"/>
      <c r="F298" s="108"/>
      <c r="G298" s="108"/>
      <c r="H298" s="108"/>
      <c r="I298" s="108" t="s">
        <v>3249</v>
      </c>
      <c r="J298" s="108"/>
      <c r="K298" s="108"/>
      <c r="L298" s="3343" t="s">
        <v>6941</v>
      </c>
      <c r="M298" s="3344"/>
      <c r="N298" s="3344"/>
      <c r="O298" s="3344"/>
      <c r="P298" s="3344"/>
      <c r="Q298" s="3345"/>
      <c r="R298" s="108"/>
      <c r="S298" s="1420"/>
      <c r="T298" s="1420"/>
      <c r="U298" s="1420"/>
      <c r="V298" s="1420"/>
      <c r="W298" s="1420"/>
      <c r="X298" s="1420"/>
      <c r="Y298" s="1420"/>
      <c r="Z298" s="1420"/>
      <c r="AA298" s="1420"/>
      <c r="AB298" s="1420"/>
      <c r="AC298" s="1420"/>
      <c r="AD298" s="1420"/>
      <c r="AE298" s="1420"/>
      <c r="AF298" s="1420"/>
      <c r="AG298" s="1420"/>
      <c r="AH298" s="1420"/>
      <c r="AI298" s="1420"/>
      <c r="AJ298" s="1420"/>
      <c r="AK298" s="1420"/>
      <c r="AL298" s="1420"/>
      <c r="AM298" s="1420"/>
      <c r="AN298" s="1420"/>
      <c r="AO298" s="1420"/>
      <c r="AP298" s="1420"/>
      <c r="AQ298" s="1420"/>
      <c r="AR298" s="1420"/>
    </row>
    <row r="299" spans="1:44" s="334" customFormat="1" ht="44.25" customHeight="1">
      <c r="B299" s="1222" t="s">
        <v>1615</v>
      </c>
      <c r="C299" s="3218" t="s">
        <v>6669</v>
      </c>
      <c r="D299" s="3218"/>
      <c r="E299" s="3218"/>
      <c r="F299" s="3218"/>
      <c r="G299" s="3218"/>
      <c r="H299" s="3218"/>
      <c r="I299" s="3218"/>
      <c r="J299" s="3218"/>
      <c r="K299" s="3218"/>
      <c r="L299" s="3218"/>
      <c r="M299" s="3218"/>
      <c r="N299" s="3218"/>
      <c r="O299" s="128" t="s">
        <v>3174</v>
      </c>
      <c r="P299" s="896" t="s">
        <v>2652</v>
      </c>
      <c r="Q299" s="895"/>
      <c r="S299" s="1418"/>
      <c r="T299" s="1418"/>
      <c r="U299" s="1418"/>
      <c r="V299" s="1418"/>
      <c r="W299" s="1418"/>
      <c r="X299" s="1418"/>
      <c r="Y299" s="1418"/>
      <c r="Z299" s="1418"/>
      <c r="AA299" s="1418"/>
      <c r="AB299" s="1418"/>
      <c r="AC299" s="1418"/>
      <c r="AD299" s="1418"/>
      <c r="AE299" s="1418"/>
      <c r="AF299" s="1418"/>
      <c r="AG299" s="1418"/>
      <c r="AH299" s="1418"/>
      <c r="AI299" s="1418"/>
      <c r="AJ299" s="1418"/>
      <c r="AK299" s="1418"/>
      <c r="AL299" s="1418"/>
      <c r="AM299" s="1418"/>
      <c r="AN299" s="1418"/>
      <c r="AO299" s="1418"/>
      <c r="AP299" s="1418"/>
      <c r="AQ299" s="1418"/>
      <c r="AR299" s="1418"/>
    </row>
    <row r="300" spans="1:44" s="334" customFormat="1" ht="34.5" customHeight="1">
      <c r="B300" s="1222" t="s">
        <v>1616</v>
      </c>
      <c r="C300" s="3218" t="s">
        <v>3838</v>
      </c>
      <c r="D300" s="3218"/>
      <c r="E300" s="3218"/>
      <c r="F300" s="3218"/>
      <c r="G300" s="3218"/>
      <c r="H300" s="3218"/>
      <c r="I300" s="3218"/>
      <c r="J300" s="3218"/>
      <c r="K300" s="3218"/>
      <c r="L300" s="3218"/>
      <c r="M300" s="3218"/>
      <c r="N300" s="3218"/>
      <c r="O300" s="128" t="s">
        <v>3175</v>
      </c>
      <c r="P300" s="431" t="s">
        <v>2652</v>
      </c>
      <c r="Q300" s="422"/>
      <c r="S300" s="1418"/>
      <c r="T300" s="1418"/>
      <c r="U300" s="1418"/>
      <c r="V300" s="1418"/>
      <c r="W300" s="1418"/>
      <c r="X300" s="1418"/>
      <c r="Y300" s="1418"/>
      <c r="Z300" s="1418"/>
      <c r="AA300" s="1418"/>
      <c r="AB300" s="1418"/>
      <c r="AC300" s="1418"/>
      <c r="AD300" s="1418"/>
      <c r="AE300" s="1418"/>
      <c r="AF300" s="1418"/>
      <c r="AG300" s="1418"/>
      <c r="AH300" s="1418"/>
      <c r="AI300" s="1418"/>
      <c r="AJ300" s="1418"/>
      <c r="AK300" s="1418"/>
      <c r="AL300" s="1418"/>
      <c r="AM300" s="1418"/>
      <c r="AN300" s="1418"/>
      <c r="AO300" s="1418"/>
      <c r="AP300" s="1418"/>
      <c r="AQ300" s="1418"/>
      <c r="AR300" s="1418"/>
    </row>
    <row r="301" spans="1:44" s="334" customFormat="1" ht="22.5" customHeight="1">
      <c r="B301" s="372" t="s">
        <v>1617</v>
      </c>
      <c r="C301" s="3218" t="s">
        <v>3172</v>
      </c>
      <c r="D301" s="3218"/>
      <c r="E301" s="3218"/>
      <c r="F301" s="3218"/>
      <c r="G301" s="3218"/>
      <c r="H301" s="3218"/>
      <c r="I301" s="3218"/>
      <c r="J301" s="3218"/>
      <c r="K301" s="3218"/>
      <c r="L301" s="3218"/>
      <c r="M301" s="3218"/>
      <c r="N301" s="3218"/>
      <c r="O301" s="128" t="s">
        <v>3176</v>
      </c>
      <c r="P301" s="431" t="s">
        <v>2652</v>
      </c>
      <c r="Q301" s="422"/>
      <c r="S301" s="1418"/>
      <c r="T301" s="1418"/>
      <c r="U301" s="1418"/>
      <c r="V301" s="1418"/>
      <c r="W301" s="1418"/>
      <c r="X301" s="1418"/>
      <c r="Y301" s="1418"/>
      <c r="Z301" s="1418"/>
      <c r="AA301" s="1418"/>
      <c r="AB301" s="1418"/>
      <c r="AC301" s="1418"/>
      <c r="AD301" s="1418"/>
      <c r="AE301" s="1418"/>
      <c r="AF301" s="1418"/>
      <c r="AG301" s="1418"/>
      <c r="AH301" s="1418"/>
      <c r="AI301" s="1418"/>
      <c r="AJ301" s="1418"/>
      <c r="AK301" s="1418"/>
      <c r="AL301" s="1418"/>
      <c r="AM301" s="1418"/>
      <c r="AN301" s="1418"/>
      <c r="AO301" s="1418"/>
      <c r="AP301" s="1418"/>
      <c r="AQ301" s="1418"/>
      <c r="AR301" s="1418"/>
    </row>
    <row r="302" spans="1:44" s="334" customFormat="1" ht="34.5" customHeight="1">
      <c r="B302" s="372" t="s">
        <v>2183</v>
      </c>
      <c r="C302" s="3218" t="s">
        <v>3173</v>
      </c>
      <c r="D302" s="3218"/>
      <c r="E302" s="3218"/>
      <c r="F302" s="3218"/>
      <c r="G302" s="3218"/>
      <c r="H302" s="3218"/>
      <c r="I302" s="3218"/>
      <c r="J302" s="3218"/>
      <c r="K302" s="3218"/>
      <c r="L302" s="3218"/>
      <c r="M302" s="3218"/>
      <c r="N302" s="3218"/>
      <c r="O302" s="128" t="s">
        <v>3177</v>
      </c>
      <c r="P302" s="898" t="s">
        <v>2652</v>
      </c>
      <c r="Q302" s="897"/>
      <c r="S302" s="1418"/>
      <c r="T302" s="1418"/>
      <c r="U302" s="1418"/>
      <c r="V302" s="1418"/>
      <c r="W302" s="1418"/>
      <c r="X302" s="1418"/>
      <c r="Y302" s="1418"/>
      <c r="Z302" s="1418"/>
      <c r="AA302" s="1418"/>
      <c r="AB302" s="1418"/>
      <c r="AC302" s="1418"/>
      <c r="AD302" s="1418"/>
      <c r="AE302" s="1418"/>
      <c r="AF302" s="1418"/>
      <c r="AG302" s="1418"/>
      <c r="AH302" s="1418"/>
      <c r="AI302" s="1418"/>
      <c r="AJ302" s="1418"/>
      <c r="AK302" s="1418"/>
      <c r="AL302" s="1418"/>
      <c r="AM302" s="1418"/>
      <c r="AN302" s="1418"/>
      <c r="AO302" s="1418"/>
      <c r="AP302" s="1418"/>
      <c r="AQ302" s="1418"/>
      <c r="AR302" s="1418"/>
    </row>
    <row r="303" spans="1:44" ht="11.25" customHeight="1">
      <c r="B303" s="109" t="s">
        <v>3243</v>
      </c>
      <c r="D303" s="109"/>
      <c r="E303" s="109"/>
      <c r="F303" s="109"/>
      <c r="G303" s="109"/>
      <c r="H303" s="33"/>
      <c r="I303" s="893"/>
      <c r="J303" s="893"/>
      <c r="K303" s="893"/>
      <c r="L303" s="686"/>
      <c r="M303" s="686"/>
      <c r="N303" s="686"/>
      <c r="O303" s="686"/>
      <c r="P303" s="686"/>
      <c r="Q303" s="686"/>
      <c r="S303" s="1412"/>
      <c r="T303" s="1412"/>
      <c r="U303" s="1412"/>
      <c r="V303" s="1412"/>
      <c r="W303" s="1412"/>
      <c r="X303" s="1412"/>
      <c r="Y303" s="1412"/>
      <c r="Z303" s="1412"/>
      <c r="AA303" s="1412"/>
      <c r="AB303" s="1412"/>
      <c r="AC303" s="1412"/>
      <c r="AD303" s="1412"/>
      <c r="AE303" s="1412"/>
      <c r="AF303" s="1412"/>
      <c r="AG303" s="1412"/>
      <c r="AH303" s="1412"/>
      <c r="AI303" s="1412"/>
      <c r="AJ303" s="1412"/>
      <c r="AK303" s="1412"/>
      <c r="AL303" s="1412"/>
      <c r="AM303" s="1412"/>
      <c r="AN303" s="1412"/>
      <c r="AO303" s="1412"/>
      <c r="AP303" s="1412"/>
      <c r="AQ303" s="1412"/>
      <c r="AR303" s="1412"/>
    </row>
    <row r="304" spans="1:44" ht="32.25" customHeight="1">
      <c r="A304" s="3215" t="s">
        <v>6942</v>
      </c>
      <c r="B304" s="3216"/>
      <c r="C304" s="3216"/>
      <c r="D304" s="3216"/>
      <c r="E304" s="3216"/>
      <c r="F304" s="3216"/>
      <c r="G304" s="3216"/>
      <c r="H304" s="3216"/>
      <c r="I304" s="3216"/>
      <c r="J304" s="3216"/>
      <c r="K304" s="3216"/>
      <c r="L304" s="3216"/>
      <c r="M304" s="3216"/>
      <c r="N304" s="3216"/>
      <c r="O304" s="3216"/>
      <c r="P304" s="3216"/>
      <c r="Q304" s="3217"/>
      <c r="R304" s="354" t="s">
        <v>1181</v>
      </c>
      <c r="S304" s="1415"/>
      <c r="T304" s="1412"/>
      <c r="U304" s="1416"/>
      <c r="V304" s="1416"/>
      <c r="W304" s="1416"/>
      <c r="X304" s="1416"/>
      <c r="Y304" s="1416"/>
      <c r="Z304" s="1416"/>
      <c r="AA304" s="1416"/>
      <c r="AB304" s="1416"/>
      <c r="AC304" s="1416"/>
      <c r="AD304" s="1416"/>
      <c r="AE304" s="1416"/>
      <c r="AF304" s="1412"/>
      <c r="AG304" s="1412"/>
      <c r="AH304" s="1412"/>
      <c r="AI304" s="1412"/>
      <c r="AJ304" s="1412"/>
      <c r="AK304" s="1412"/>
      <c r="AL304" s="1412"/>
      <c r="AM304" s="1412"/>
      <c r="AN304" s="1412"/>
      <c r="AO304" s="1412"/>
      <c r="AP304" s="1412"/>
      <c r="AQ304" s="1412"/>
      <c r="AR304" s="1412"/>
    </row>
    <row r="305" spans="1:256 1523:1523" ht="11.25" customHeight="1">
      <c r="B305" s="105" t="s">
        <v>1730</v>
      </c>
      <c r="C305" s="106"/>
      <c r="D305" s="889"/>
      <c r="E305" s="889"/>
      <c r="F305" s="889"/>
      <c r="G305" s="889"/>
      <c r="H305" s="889"/>
      <c r="I305" s="889"/>
      <c r="J305" s="889"/>
      <c r="K305" s="889"/>
      <c r="L305" s="889"/>
      <c r="M305" s="889"/>
      <c r="N305" s="889"/>
      <c r="O305" s="889"/>
      <c r="P305" s="889"/>
      <c r="Q305" s="889"/>
      <c r="S305" s="1412"/>
      <c r="T305" s="1412"/>
      <c r="U305" s="1412"/>
      <c r="V305" s="1412"/>
      <c r="W305" s="1412"/>
      <c r="X305" s="1412"/>
      <c r="Y305" s="1412"/>
      <c r="Z305" s="1412"/>
      <c r="AA305" s="1412"/>
      <c r="AB305" s="1412"/>
      <c r="AC305" s="1412"/>
      <c r="AD305" s="1412"/>
      <c r="AE305" s="1412"/>
      <c r="AF305" s="1412"/>
      <c r="AG305" s="1412"/>
      <c r="AH305" s="1412"/>
      <c r="AI305" s="1412"/>
      <c r="AJ305" s="1412"/>
      <c r="AK305" s="1412"/>
      <c r="AL305" s="1412"/>
      <c r="AM305" s="1412"/>
      <c r="AN305" s="1412"/>
      <c r="AO305" s="1412"/>
      <c r="AP305" s="1412"/>
      <c r="AQ305" s="1412"/>
      <c r="AR305" s="1412"/>
    </row>
    <row r="306" spans="1:256 1523:1523" ht="45.75" customHeight="1">
      <c r="A306" s="3386"/>
      <c r="B306" s="3387"/>
      <c r="C306" s="3387"/>
      <c r="D306" s="3387"/>
      <c r="E306" s="3387"/>
      <c r="F306" s="3387"/>
      <c r="G306" s="3387"/>
      <c r="H306" s="3387"/>
      <c r="I306" s="3387"/>
      <c r="J306" s="3387"/>
      <c r="K306" s="3387"/>
      <c r="L306" s="3387"/>
      <c r="M306" s="3387"/>
      <c r="N306" s="3387"/>
      <c r="O306" s="3387"/>
      <c r="P306" s="3387"/>
      <c r="Q306" s="3388"/>
      <c r="S306" s="1412"/>
      <c r="T306" s="1412"/>
      <c r="U306" s="1412"/>
      <c r="V306" s="1412"/>
      <c r="W306" s="1412"/>
      <c r="X306" s="1412"/>
      <c r="Y306" s="1412"/>
      <c r="Z306" s="1412"/>
      <c r="AA306" s="1412"/>
      <c r="AB306" s="1412"/>
      <c r="AC306" s="1412"/>
      <c r="AD306" s="1412"/>
      <c r="AE306" s="1412"/>
      <c r="AF306" s="1412"/>
      <c r="AG306" s="1412"/>
      <c r="AH306" s="1412"/>
      <c r="AI306" s="1412"/>
      <c r="AJ306" s="1412"/>
      <c r="AK306" s="1412"/>
      <c r="AL306" s="1412"/>
      <c r="AM306" s="1412"/>
      <c r="AN306" s="1412"/>
      <c r="AO306" s="1412"/>
      <c r="AP306" s="1412"/>
      <c r="AQ306" s="1412"/>
      <c r="AR306" s="1412"/>
    </row>
    <row r="307" spans="1:256 1523:1523" ht="14.1" customHeight="1">
      <c r="A307" s="2" t="s">
        <v>3376</v>
      </c>
      <c r="B307" s="4" t="s">
        <v>2435</v>
      </c>
      <c r="C307" s="4"/>
      <c r="D307" s="4"/>
      <c r="E307" s="4"/>
      <c r="F307" s="4"/>
      <c r="G307" s="4"/>
      <c r="H307" s="889"/>
      <c r="I307" s="889"/>
      <c r="J307" s="889"/>
      <c r="K307" s="889"/>
      <c r="L307" s="889"/>
      <c r="M307" s="889"/>
      <c r="O307" s="101" t="s">
        <v>1731</v>
      </c>
      <c r="P307" s="3284"/>
      <c r="Q307" s="3285"/>
      <c r="S307" s="1412"/>
      <c r="T307" s="1412"/>
      <c r="U307" s="1412"/>
      <c r="V307" s="1412"/>
      <c r="W307" s="1412"/>
      <c r="X307" s="1412"/>
      <c r="Y307" s="1412"/>
      <c r="Z307" s="1412"/>
      <c r="AA307" s="1412"/>
      <c r="AB307" s="1412"/>
      <c r="AC307" s="1412"/>
      <c r="AD307" s="1412"/>
      <c r="AE307" s="1412"/>
      <c r="AF307" s="1412"/>
      <c r="AG307" s="1412"/>
      <c r="AH307" s="1412"/>
      <c r="AI307" s="1412"/>
      <c r="AJ307" s="1412"/>
      <c r="AK307" s="1412"/>
      <c r="AL307" s="1412"/>
      <c r="AM307" s="1412"/>
      <c r="AN307" s="1412"/>
      <c r="AO307" s="1412"/>
      <c r="AP307" s="1412"/>
      <c r="AQ307" s="1412"/>
      <c r="AR307" s="1412"/>
    </row>
    <row r="308" spans="1:256 1523:1523" ht="11.45" customHeight="1">
      <c r="B308" s="79" t="s">
        <v>2082</v>
      </c>
      <c r="P308" s="175" t="s">
        <v>2655</v>
      </c>
      <c r="Q308" s="419"/>
      <c r="S308" s="1412"/>
      <c r="T308" s="1412"/>
      <c r="U308" s="1412"/>
      <c r="V308" s="1412"/>
      <c r="W308" s="1412"/>
      <c r="X308" s="1412"/>
      <c r="Y308" s="1412"/>
      <c r="Z308" s="1412"/>
      <c r="AA308" s="1412"/>
      <c r="AB308" s="1412"/>
      <c r="AC308" s="1412"/>
      <c r="AD308" s="1412"/>
      <c r="AE308" s="1412"/>
      <c r="AF308" s="1412"/>
      <c r="AG308" s="1412"/>
      <c r="AH308" s="1412"/>
      <c r="AI308" s="1412"/>
      <c r="AJ308" s="1412"/>
      <c r="AK308" s="1412"/>
      <c r="AL308" s="1412"/>
      <c r="AM308" s="1412"/>
      <c r="AN308" s="1412"/>
      <c r="AO308" s="1412"/>
      <c r="AP308" s="1412"/>
      <c r="AQ308" s="1412"/>
      <c r="AR308" s="1412"/>
    </row>
    <row r="309" spans="1:256 1523:1523" ht="12" customHeight="1">
      <c r="B309" s="372" t="s">
        <v>2046</v>
      </c>
      <c r="C309" s="372"/>
      <c r="D309" s="372"/>
      <c r="E309" s="372"/>
      <c r="F309" s="372"/>
      <c r="G309" s="372"/>
      <c r="H309" s="372"/>
      <c r="I309" s="372"/>
      <c r="J309" s="372"/>
      <c r="K309" s="372"/>
      <c r="L309" s="372"/>
      <c r="P309" s="176" t="s">
        <v>2652</v>
      </c>
      <c r="Q309" s="421"/>
      <c r="S309" s="1412"/>
      <c r="T309" s="1412"/>
      <c r="U309" s="1412"/>
      <c r="V309" s="1412"/>
      <c r="W309" s="1412"/>
      <c r="X309" s="1412"/>
      <c r="Y309" s="1412"/>
      <c r="Z309" s="1412"/>
      <c r="AA309" s="1412"/>
      <c r="AB309" s="1412"/>
      <c r="AC309" s="1412"/>
      <c r="AD309" s="1412"/>
      <c r="AE309" s="1412"/>
      <c r="AF309" s="1412"/>
      <c r="AG309" s="1412"/>
      <c r="AH309" s="1412"/>
      <c r="AI309" s="1412"/>
      <c r="AJ309" s="1412"/>
      <c r="AK309" s="1412"/>
      <c r="AL309" s="1412"/>
      <c r="AM309" s="1412"/>
      <c r="AN309" s="1412"/>
      <c r="AO309" s="1412"/>
      <c r="AP309" s="1412"/>
      <c r="AQ309" s="1412"/>
      <c r="AR309" s="1412"/>
    </row>
    <row r="310" spans="1:256 1523:1523" s="115" customFormat="1" ht="11.45" customHeight="1">
      <c r="A310" s="40"/>
      <c r="B310" s="33" t="s">
        <v>3792</v>
      </c>
      <c r="E310" s="33"/>
      <c r="F310" s="33"/>
      <c r="G310" s="33"/>
      <c r="H310" s="33"/>
      <c r="I310" s="72"/>
      <c r="J310" s="48"/>
      <c r="K310" s="3281" t="s">
        <v>6943</v>
      </c>
      <c r="L310" s="3282"/>
      <c r="M310" s="3282"/>
      <c r="N310" s="3283"/>
      <c r="O310" s="66"/>
      <c r="P310" s="1596"/>
      <c r="Q310" s="418"/>
      <c r="R310" s="72"/>
      <c r="S310" s="1417"/>
      <c r="T310" s="1417"/>
      <c r="U310" s="1417"/>
      <c r="V310" s="1417"/>
      <c r="W310" s="1417"/>
      <c r="X310" s="1417"/>
      <c r="Y310" s="1417"/>
      <c r="Z310" s="1417"/>
      <c r="AA310" s="1417"/>
      <c r="AB310" s="1417"/>
      <c r="AC310" s="1417"/>
      <c r="AD310" s="1417"/>
      <c r="AE310" s="1417"/>
      <c r="AF310" s="1417"/>
      <c r="AG310" s="1417"/>
      <c r="AH310" s="1417"/>
      <c r="AI310" s="1417"/>
      <c r="AJ310" s="1417"/>
      <c r="AK310" s="1417"/>
      <c r="AL310" s="1417"/>
      <c r="AM310" s="1417"/>
      <c r="AN310" s="1417"/>
      <c r="AO310" s="1417"/>
      <c r="AP310" s="1417"/>
      <c r="AQ310" s="1417"/>
      <c r="AR310" s="1417"/>
    </row>
    <row r="311" spans="1:256 1523:1523" ht="11.45" customHeight="1">
      <c r="A311" s="110" t="s">
        <v>1842</v>
      </c>
      <c r="B311" s="89" t="s">
        <v>6680</v>
      </c>
      <c r="D311" s="33"/>
      <c r="E311" s="33"/>
      <c r="F311" s="33"/>
      <c r="G311" s="33"/>
      <c r="H311" s="33"/>
      <c r="I311" s="33"/>
      <c r="J311" s="33"/>
      <c r="K311" s="33"/>
      <c r="L311" s="33"/>
      <c r="M311" s="33"/>
      <c r="N311" s="128"/>
      <c r="S311" s="1412"/>
      <c r="T311" s="1412"/>
      <c r="U311" s="1412"/>
      <c r="V311" s="1412"/>
      <c r="W311" s="1412"/>
      <c r="X311" s="1412"/>
      <c r="Y311" s="1412"/>
      <c r="Z311" s="1412"/>
      <c r="AA311" s="1412"/>
      <c r="AB311" s="1412"/>
      <c r="AC311" s="1412"/>
      <c r="AD311" s="1412"/>
      <c r="AE311" s="1412"/>
      <c r="AF311" s="1412"/>
      <c r="AG311" s="1412"/>
      <c r="AH311" s="1412"/>
      <c r="AI311" s="1412"/>
      <c r="AJ311" s="1412"/>
      <c r="AK311" s="1412"/>
      <c r="AL311" s="1412"/>
      <c r="AM311" s="1412"/>
      <c r="AN311" s="1412"/>
      <c r="AO311" s="1412"/>
      <c r="AP311" s="1412"/>
      <c r="AQ311" s="1412"/>
      <c r="AR311" s="1412"/>
    </row>
    <row r="312" spans="1:256 1523:1523" ht="56.25" customHeight="1">
      <c r="B312" s="3218" t="s">
        <v>6679</v>
      </c>
      <c r="C312" s="3218"/>
      <c r="D312" s="3218"/>
      <c r="E312" s="3218"/>
      <c r="F312" s="3218"/>
      <c r="G312" s="3218"/>
      <c r="H312" s="3218"/>
      <c r="I312" s="3218"/>
      <c r="J312" s="3218"/>
      <c r="K312" s="3218"/>
      <c r="L312" s="3218"/>
      <c r="M312" s="3218"/>
      <c r="N312" s="3218"/>
      <c r="O312" s="128" t="s">
        <v>1842</v>
      </c>
      <c r="P312" s="127" t="s">
        <v>6933</v>
      </c>
      <c r="Q312" s="423"/>
      <c r="S312" s="1412"/>
      <c r="T312" s="1412"/>
      <c r="U312" s="1412"/>
      <c r="V312" s="1412"/>
      <c r="W312" s="1412"/>
      <c r="X312" s="1412"/>
      <c r="Y312" s="1412"/>
      <c r="Z312" s="1412"/>
      <c r="AA312" s="1412"/>
      <c r="AB312" s="1412"/>
      <c r="AC312" s="1412"/>
      <c r="AD312" s="1412"/>
      <c r="AE312" s="1412"/>
      <c r="AF312" s="1412"/>
      <c r="AG312" s="1412"/>
      <c r="AH312" s="1412"/>
      <c r="AI312" s="1412"/>
      <c r="AJ312" s="1412"/>
      <c r="AK312" s="1412"/>
      <c r="AL312" s="1412"/>
      <c r="AM312" s="1412"/>
      <c r="AN312" s="1412"/>
      <c r="AO312" s="1412"/>
      <c r="AP312" s="1412"/>
      <c r="AQ312" s="1412"/>
      <c r="AR312" s="1412"/>
    </row>
    <row r="313" spans="1:256 1523:1523" ht="12.6" customHeight="1">
      <c r="A313" s="110" t="s">
        <v>1844</v>
      </c>
      <c r="B313" s="66" t="s">
        <v>433</v>
      </c>
      <c r="D313" s="66"/>
      <c r="E313" s="66"/>
      <c r="F313" s="66"/>
      <c r="G313" s="66"/>
      <c r="H313" s="66"/>
      <c r="I313" s="66"/>
      <c r="J313" s="66"/>
      <c r="K313" s="66"/>
      <c r="L313" s="66"/>
      <c r="M313" s="66"/>
      <c r="O313" s="128" t="s">
        <v>1844</v>
      </c>
      <c r="P313" s="686"/>
      <c r="Q313" s="686"/>
      <c r="S313" s="1412"/>
      <c r="T313" s="1412"/>
      <c r="U313" s="1412"/>
      <c r="V313" s="1412"/>
      <c r="W313" s="1412"/>
      <c r="X313" s="1412"/>
      <c r="Y313" s="1412"/>
      <c r="Z313" s="1412"/>
      <c r="AA313" s="1412"/>
      <c r="AB313" s="1412"/>
      <c r="AC313" s="1412"/>
      <c r="AD313" s="1412"/>
      <c r="AE313" s="1412"/>
      <c r="AF313" s="1412"/>
      <c r="AG313" s="1412"/>
      <c r="AH313" s="1412"/>
      <c r="AI313" s="1412"/>
      <c r="AJ313" s="1412"/>
      <c r="AK313" s="1412"/>
      <c r="AL313" s="1412"/>
      <c r="AM313" s="1412"/>
      <c r="AN313" s="1412"/>
      <c r="AO313" s="1412"/>
      <c r="AP313" s="1412"/>
      <c r="AQ313" s="1412"/>
      <c r="AR313" s="1412"/>
    </row>
    <row r="314" spans="1:256 1523:1523" ht="38.25" customHeight="1">
      <c r="B314" s="372" t="s">
        <v>1615</v>
      </c>
      <c r="C314" s="108" t="s">
        <v>1066</v>
      </c>
      <c r="E314" s="102"/>
      <c r="F314" s="102"/>
      <c r="G314" s="3333" t="s">
        <v>6313</v>
      </c>
      <c r="H314" s="3334"/>
      <c r="I314" s="3334"/>
      <c r="J314" s="3334"/>
      <c r="K314" s="3334"/>
      <c r="L314" s="3334"/>
      <c r="M314" s="3334"/>
      <c r="N314" s="3335"/>
      <c r="O314" s="128" t="s">
        <v>1615</v>
      </c>
      <c r="P314" s="896" t="s">
        <v>2652</v>
      </c>
      <c r="Q314" s="895"/>
      <c r="S314" s="1412"/>
      <c r="T314" s="1412"/>
      <c r="U314" s="1412"/>
      <c r="V314" s="1412"/>
      <c r="W314" s="1412"/>
      <c r="X314" s="1412"/>
      <c r="Y314" s="1412"/>
      <c r="Z314" s="1412"/>
      <c r="AA314" s="1412"/>
      <c r="AB314" s="1412"/>
      <c r="AC314" s="1412"/>
      <c r="AD314" s="1412"/>
      <c r="AE314" s="1412"/>
      <c r="AF314" s="1412"/>
      <c r="AG314" s="1412"/>
      <c r="AH314" s="1412"/>
      <c r="AI314" s="1412"/>
      <c r="AJ314" s="1412"/>
      <c r="AK314" s="1412"/>
      <c r="AL314" s="1412"/>
      <c r="AM314" s="1412"/>
      <c r="AN314" s="1412"/>
      <c r="AO314" s="1412"/>
      <c r="AP314" s="1412"/>
      <c r="AQ314" s="1412"/>
      <c r="AR314" s="1412"/>
      <c r="BFO314" s="115" t="s">
        <v>2473</v>
      </c>
    </row>
    <row r="315" spans="1:256 1523:1523" ht="23.25" customHeight="1">
      <c r="B315" s="372" t="s">
        <v>1616</v>
      </c>
      <c r="C315" s="3218" t="s">
        <v>1067</v>
      </c>
      <c r="D315" s="3218"/>
      <c r="E315" s="3218"/>
      <c r="F315" s="3286"/>
      <c r="G315" s="2676" t="s">
        <v>3252</v>
      </c>
      <c r="H315" s="3328"/>
      <c r="I315" s="3328"/>
      <c r="J315" s="3328"/>
      <c r="K315" s="3328"/>
      <c r="L315" s="3328"/>
      <c r="M315" s="3328"/>
      <c r="N315" s="3329"/>
      <c r="O315" s="128" t="s">
        <v>1616</v>
      </c>
      <c r="P315" s="898" t="s">
        <v>2652</v>
      </c>
      <c r="Q315" s="897"/>
      <c r="S315" s="1412"/>
      <c r="T315" s="1412"/>
      <c r="U315" s="1412"/>
      <c r="V315" s="1412"/>
      <c r="W315" s="1412"/>
      <c r="X315" s="1412"/>
      <c r="Y315" s="1412"/>
      <c r="Z315" s="1412"/>
      <c r="AA315" s="1412"/>
      <c r="AB315" s="1412"/>
      <c r="AC315" s="1412"/>
      <c r="AD315" s="1412"/>
      <c r="AE315" s="1412"/>
      <c r="AF315" s="1412"/>
      <c r="AG315" s="1412"/>
      <c r="AH315" s="1412"/>
      <c r="AI315" s="1412"/>
      <c r="AJ315" s="1412"/>
      <c r="AK315" s="1412"/>
      <c r="AL315" s="1412"/>
      <c r="AM315" s="1412"/>
      <c r="AN315" s="1412"/>
      <c r="AO315" s="1412"/>
      <c r="AP315" s="1412"/>
      <c r="AQ315" s="1412"/>
      <c r="AR315" s="1412"/>
    </row>
    <row r="316" spans="1:256 1523:1523" ht="3" customHeight="1">
      <c r="A316" s="686"/>
      <c r="B316" s="920"/>
      <c r="C316" s="686"/>
      <c r="D316" s="686"/>
      <c r="E316" s="686"/>
      <c r="F316" s="686"/>
      <c r="G316" s="686"/>
      <c r="H316" s="686"/>
      <c r="I316" s="686"/>
      <c r="J316" s="686"/>
      <c r="K316" s="686"/>
      <c r="L316" s="686"/>
      <c r="M316" s="686"/>
      <c r="N316" s="686"/>
      <c r="O316" s="686"/>
      <c r="P316" s="686"/>
      <c r="Q316" s="686"/>
      <c r="R316" s="686"/>
      <c r="S316" s="1425"/>
      <c r="T316" s="1425"/>
      <c r="U316" s="1425"/>
      <c r="V316" s="1425"/>
      <c r="W316" s="1425"/>
      <c r="X316" s="1425"/>
      <c r="Y316" s="1425"/>
      <c r="Z316" s="1425"/>
      <c r="AA316" s="1425"/>
      <c r="AB316" s="1425"/>
      <c r="AC316" s="1425"/>
      <c r="AD316" s="1425"/>
      <c r="AE316" s="1425"/>
      <c r="AF316" s="1425"/>
      <c r="AG316" s="1425"/>
      <c r="AH316" s="1425"/>
      <c r="AI316" s="1425"/>
      <c r="AJ316" s="1425"/>
      <c r="AK316" s="1425"/>
      <c r="AL316" s="1425"/>
      <c r="AM316" s="1425"/>
      <c r="AN316" s="1425"/>
      <c r="AO316" s="1425"/>
      <c r="AP316" s="1425"/>
      <c r="AQ316" s="1425"/>
      <c r="AR316" s="1425"/>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1617</v>
      </c>
      <c r="C317" s="1540" t="s">
        <v>6128</v>
      </c>
      <c r="D317" s="1539"/>
      <c r="E317" s="1539"/>
      <c r="F317" s="1539"/>
      <c r="G317" s="3377" t="s">
        <v>6129</v>
      </c>
      <c r="H317" s="3377"/>
      <c r="I317" s="3377"/>
      <c r="J317" s="3377"/>
      <c r="K317" s="3377"/>
      <c r="L317" s="3377"/>
      <c r="M317" s="3377"/>
      <c r="N317" s="3377"/>
      <c r="O317" s="352"/>
      <c r="P317" s="686"/>
      <c r="Q317" s="686"/>
      <c r="S317" s="1426"/>
      <c r="T317" s="1426"/>
      <c r="U317" s="1426"/>
      <c r="V317" s="1426"/>
      <c r="W317" s="1426"/>
      <c r="X317" s="1426"/>
      <c r="Y317" s="1426"/>
      <c r="Z317" s="1426"/>
      <c r="AA317" s="1426"/>
      <c r="AB317" s="1426"/>
      <c r="AC317" s="1426"/>
      <c r="AD317" s="1426"/>
      <c r="AE317" s="1426"/>
      <c r="AF317" s="1426"/>
      <c r="AG317" s="1426"/>
      <c r="AH317" s="1426"/>
      <c r="AI317" s="1426"/>
      <c r="AJ317" s="1426"/>
      <c r="AK317" s="1426"/>
      <c r="AL317" s="1426"/>
      <c r="AM317" s="1426"/>
      <c r="AN317" s="1426"/>
      <c r="AO317" s="1426"/>
      <c r="AP317" s="1426"/>
      <c r="AQ317" s="1426"/>
      <c r="AR317" s="1426"/>
    </row>
    <row r="318" spans="1:256 1523:1523" s="102" customFormat="1" ht="11.25" customHeight="1">
      <c r="A318" s="112"/>
      <c r="B318" s="128" t="s">
        <v>2241</v>
      </c>
      <c r="C318" s="3340"/>
      <c r="D318" s="3341"/>
      <c r="E318" s="3341"/>
      <c r="F318" s="3341"/>
      <c r="G318" s="3341"/>
      <c r="H318" s="3341"/>
      <c r="I318" s="3341"/>
      <c r="J318" s="3341"/>
      <c r="K318" s="3341"/>
      <c r="L318" s="3341"/>
      <c r="M318" s="3341"/>
      <c r="N318" s="3342"/>
      <c r="O318" s="128" t="s">
        <v>6309</v>
      </c>
      <c r="P318" s="896" t="s">
        <v>2655</v>
      </c>
      <c r="Q318" s="895"/>
      <c r="S318" s="1426"/>
      <c r="T318" s="1426"/>
      <c r="U318" s="1426"/>
      <c r="V318" s="1426"/>
      <c r="W318" s="1426"/>
      <c r="X318" s="1426"/>
      <c r="Y318" s="1426"/>
      <c r="Z318" s="1426"/>
      <c r="AA318" s="1426"/>
      <c r="AB318" s="1426"/>
      <c r="AC318" s="1426"/>
      <c r="AD318" s="1426"/>
      <c r="AE318" s="1426"/>
      <c r="AF318" s="1426"/>
      <c r="AG318" s="1426"/>
      <c r="AH318" s="1426"/>
      <c r="AI318" s="1426"/>
      <c r="AJ318" s="1426"/>
      <c r="AK318" s="1426"/>
      <c r="AL318" s="1426"/>
      <c r="AM318" s="1426"/>
      <c r="AN318" s="1426"/>
      <c r="AO318" s="1426"/>
      <c r="AP318" s="1426"/>
      <c r="AQ318" s="1426"/>
      <c r="AR318" s="1426"/>
    </row>
    <row r="319" spans="1:256 1523:1523" s="102" customFormat="1" ht="11.25" customHeight="1">
      <c r="A319" s="112"/>
      <c r="B319" s="128" t="s">
        <v>2242</v>
      </c>
      <c r="C319" s="3267"/>
      <c r="D319" s="3268"/>
      <c r="E319" s="3268"/>
      <c r="F319" s="3268"/>
      <c r="G319" s="3268"/>
      <c r="H319" s="3268"/>
      <c r="I319" s="3268"/>
      <c r="J319" s="3268"/>
      <c r="K319" s="3268"/>
      <c r="L319" s="3268"/>
      <c r="M319" s="3268"/>
      <c r="N319" s="3269"/>
      <c r="O319" s="128" t="s">
        <v>6310</v>
      </c>
      <c r="P319" s="898" t="s">
        <v>2655</v>
      </c>
      <c r="Q319" s="897"/>
      <c r="S319" s="1426"/>
      <c r="T319" s="1426"/>
      <c r="U319" s="1426"/>
      <c r="V319" s="1426"/>
      <c r="W319" s="1426"/>
      <c r="X319" s="1426"/>
      <c r="Y319" s="1426"/>
      <c r="Z319" s="1426"/>
      <c r="AA319" s="1426"/>
      <c r="AB319" s="1426"/>
      <c r="AC319" s="1426"/>
      <c r="AD319" s="1426"/>
      <c r="AE319" s="1426"/>
      <c r="AF319" s="1426"/>
      <c r="AG319" s="1426"/>
      <c r="AH319" s="1426"/>
      <c r="AI319" s="1426"/>
      <c r="AJ319" s="1426"/>
      <c r="AK319" s="1426"/>
      <c r="AL319" s="1426"/>
      <c r="AM319" s="1426"/>
      <c r="AN319" s="1426"/>
      <c r="AO319" s="1426"/>
      <c r="AP319" s="1426"/>
      <c r="AQ319" s="1426"/>
      <c r="AR319" s="1426"/>
    </row>
    <row r="320" spans="1:256 1523:1523" ht="22.5" customHeight="1">
      <c r="A320" s="110" t="s">
        <v>1963</v>
      </c>
      <c r="B320" s="3218" t="s">
        <v>6130</v>
      </c>
      <c r="C320" s="3218"/>
      <c r="D320" s="3218"/>
      <c r="E320" s="3218"/>
      <c r="F320" s="3218"/>
      <c r="G320" s="3218"/>
      <c r="H320" s="3218"/>
      <c r="I320" s="3218"/>
      <c r="J320" s="3218"/>
      <c r="K320" s="3218"/>
      <c r="L320" s="3218"/>
      <c r="M320" s="3218"/>
      <c r="N320" s="3218"/>
      <c r="O320" s="128" t="s">
        <v>1963</v>
      </c>
      <c r="P320" s="898" t="s">
        <v>6933</v>
      </c>
      <c r="Q320" s="897"/>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5"/>
      <c r="T321" s="1425"/>
      <c r="U321" s="1425"/>
      <c r="V321" s="1425"/>
      <c r="W321" s="1425"/>
      <c r="X321" s="1425"/>
      <c r="Y321" s="1425"/>
      <c r="Z321" s="1425"/>
      <c r="AA321" s="1425"/>
      <c r="AB321" s="1425"/>
      <c r="AC321" s="1425"/>
      <c r="AD321" s="1425"/>
      <c r="AE321" s="1425"/>
      <c r="AF321" s="1425"/>
      <c r="AG321" s="1425"/>
      <c r="AH321" s="1425"/>
      <c r="AI321" s="1425"/>
      <c r="AJ321" s="1425"/>
      <c r="AK321" s="1425"/>
      <c r="AL321" s="1425"/>
      <c r="AM321" s="1425"/>
      <c r="AN321" s="1425"/>
      <c r="AO321" s="1425"/>
      <c r="AP321" s="1425"/>
      <c r="AQ321" s="1425"/>
      <c r="AR321" s="1425"/>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3243</v>
      </c>
      <c r="D322" s="109"/>
      <c r="E322" s="109"/>
      <c r="F322" s="109"/>
      <c r="G322" s="109"/>
      <c r="H322" s="33"/>
      <c r="I322" s="893"/>
      <c r="J322" s="893"/>
      <c r="K322" s="893"/>
      <c r="L322" s="686"/>
      <c r="M322" s="686"/>
      <c r="N322" s="686"/>
      <c r="O322" s="686"/>
      <c r="P322" s="686"/>
      <c r="Q322" s="686"/>
      <c r="S322" s="1412"/>
      <c r="T322" s="1412"/>
      <c r="U322" s="1412"/>
      <c r="V322" s="1412"/>
      <c r="W322" s="1412"/>
      <c r="X322" s="1412"/>
      <c r="Y322" s="1412"/>
      <c r="Z322" s="1412"/>
      <c r="AA322" s="1412"/>
      <c r="AB322" s="1412"/>
      <c r="AC322" s="1412"/>
      <c r="AD322" s="1412"/>
      <c r="AE322" s="1412"/>
      <c r="AF322" s="1412"/>
      <c r="AG322" s="1412"/>
      <c r="AH322" s="1412"/>
      <c r="AI322" s="1412"/>
      <c r="AJ322" s="1412"/>
      <c r="AK322" s="1412"/>
      <c r="AL322" s="1412"/>
      <c r="AM322" s="1412"/>
      <c r="AN322" s="1412"/>
      <c r="AO322" s="1412"/>
      <c r="AP322" s="1412"/>
      <c r="AQ322" s="1412"/>
      <c r="AR322" s="1412"/>
    </row>
    <row r="323" spans="1:256" ht="11.45" customHeight="1">
      <c r="A323" s="3215" t="s">
        <v>7006</v>
      </c>
      <c r="B323" s="3216"/>
      <c r="C323" s="3216"/>
      <c r="D323" s="3216"/>
      <c r="E323" s="3216"/>
      <c r="F323" s="3216"/>
      <c r="G323" s="3216"/>
      <c r="H323" s="3216"/>
      <c r="I323" s="3216"/>
      <c r="J323" s="3216"/>
      <c r="K323" s="3216"/>
      <c r="L323" s="3216"/>
      <c r="M323" s="3216"/>
      <c r="N323" s="3216"/>
      <c r="O323" s="3216"/>
      <c r="P323" s="3216"/>
      <c r="Q323" s="3217"/>
      <c r="R323" s="366" t="s">
        <v>1181</v>
      </c>
      <c r="S323" s="1427"/>
      <c r="T323" s="1412"/>
      <c r="U323" s="1416"/>
      <c r="V323" s="1416"/>
      <c r="W323" s="1416"/>
      <c r="X323" s="1416"/>
      <c r="Y323" s="1416"/>
      <c r="Z323" s="1416"/>
      <c r="AA323" s="1416"/>
      <c r="AB323" s="1416"/>
      <c r="AC323" s="1416"/>
      <c r="AD323" s="1416"/>
      <c r="AE323" s="1416"/>
      <c r="AF323" s="1412"/>
      <c r="AG323" s="1412"/>
      <c r="AH323" s="1412"/>
      <c r="AI323" s="1412"/>
      <c r="AJ323" s="1412"/>
      <c r="AK323" s="1412"/>
      <c r="AL323" s="1412"/>
      <c r="AM323" s="1412"/>
      <c r="AN323" s="1412"/>
      <c r="AO323" s="1412"/>
      <c r="AP323" s="1412"/>
      <c r="AQ323" s="1412"/>
      <c r="AR323" s="1412"/>
    </row>
    <row r="324" spans="1:256" ht="11.25" customHeight="1">
      <c r="B324" s="105" t="s">
        <v>1730</v>
      </c>
      <c r="C324" s="106"/>
      <c r="D324" s="889"/>
      <c r="E324" s="889"/>
      <c r="F324" s="889"/>
      <c r="G324" s="889"/>
      <c r="H324" s="889"/>
      <c r="I324" s="889"/>
      <c r="J324" s="889"/>
      <c r="K324" s="889"/>
      <c r="L324" s="889"/>
      <c r="M324" s="889"/>
      <c r="N324" s="889"/>
      <c r="O324" s="889"/>
      <c r="P324" s="889"/>
      <c r="Q324" s="889"/>
      <c r="S324" s="1412"/>
      <c r="T324" s="1412"/>
      <c r="U324" s="1412"/>
      <c r="V324" s="1412"/>
      <c r="W324" s="1412"/>
      <c r="X324" s="1412"/>
      <c r="Y324" s="1412"/>
      <c r="Z324" s="1412"/>
      <c r="AA324" s="1412"/>
      <c r="AB324" s="1412"/>
      <c r="AC324" s="1412"/>
      <c r="AD324" s="1412"/>
      <c r="AE324" s="1412"/>
      <c r="AF324" s="1412"/>
      <c r="AG324" s="1412"/>
      <c r="AH324" s="1412"/>
      <c r="AI324" s="1412"/>
      <c r="AJ324" s="1412"/>
      <c r="AK324" s="1412"/>
      <c r="AL324" s="1412"/>
      <c r="AM324" s="1412"/>
      <c r="AN324" s="1412"/>
      <c r="AO324" s="1412"/>
      <c r="AP324" s="1412"/>
      <c r="AQ324" s="1412"/>
      <c r="AR324" s="1412"/>
    </row>
    <row r="325" spans="1:256" ht="11.45" customHeight="1">
      <c r="A325" s="3219"/>
      <c r="B325" s="3220"/>
      <c r="C325" s="3220"/>
      <c r="D325" s="3220"/>
      <c r="E325" s="3220"/>
      <c r="F325" s="3220"/>
      <c r="G325" s="3220"/>
      <c r="H325" s="3220"/>
      <c r="I325" s="3220"/>
      <c r="J325" s="3220"/>
      <c r="K325" s="3220"/>
      <c r="L325" s="3220"/>
      <c r="M325" s="3220"/>
      <c r="N325" s="3220"/>
      <c r="O325" s="3220"/>
      <c r="P325" s="3220"/>
      <c r="Q325" s="3221"/>
      <c r="S325" s="1412"/>
      <c r="T325" s="1412"/>
      <c r="U325" s="1412"/>
      <c r="V325" s="1412"/>
      <c r="W325" s="1412"/>
      <c r="X325" s="1412"/>
      <c r="Y325" s="1412"/>
      <c r="Z325" s="1412"/>
      <c r="AA325" s="1412"/>
      <c r="AB325" s="1412"/>
      <c r="AC325" s="1412"/>
      <c r="AD325" s="1412"/>
      <c r="AE325" s="1412"/>
      <c r="AF325" s="1412"/>
      <c r="AG325" s="1412"/>
      <c r="AH325" s="1412"/>
      <c r="AI325" s="1412"/>
      <c r="AJ325" s="1412"/>
      <c r="AK325" s="1412"/>
      <c r="AL325" s="1412"/>
      <c r="AM325" s="1412"/>
      <c r="AN325" s="1412"/>
      <c r="AO325" s="1412"/>
      <c r="AP325" s="1412"/>
      <c r="AQ325" s="1412"/>
      <c r="AR325" s="1412"/>
    </row>
    <row r="326" spans="1:256" ht="14.1" customHeight="1">
      <c r="A326" s="2" t="s">
        <v>3377</v>
      </c>
      <c r="B326" s="153" t="s">
        <v>6542</v>
      </c>
      <c r="C326" s="2"/>
      <c r="D326" s="889"/>
      <c r="E326" s="889"/>
      <c r="F326" s="889"/>
      <c r="G326" s="889"/>
      <c r="H326" s="889"/>
      <c r="N326" s="858" t="s">
        <v>6541</v>
      </c>
      <c r="O326" s="101" t="s">
        <v>1731</v>
      </c>
      <c r="P326" s="3236"/>
      <c r="Q326" s="3225"/>
      <c r="R326" s="860" t="s">
        <v>6528</v>
      </c>
    </row>
    <row r="327" spans="1:256" ht="11.45" customHeight="1">
      <c r="A327" s="40" t="s">
        <v>1842</v>
      </c>
      <c r="B327" s="44" t="s">
        <v>6537</v>
      </c>
      <c r="O327" s="128" t="s">
        <v>1842</v>
      </c>
      <c r="P327" s="175" t="s">
        <v>2652</v>
      </c>
      <c r="Q327" s="419"/>
    </row>
    <row r="328" spans="1:256" ht="11.45" customHeight="1">
      <c r="A328" s="110" t="s">
        <v>1844</v>
      </c>
      <c r="B328" s="44" t="s">
        <v>6544</v>
      </c>
      <c r="O328" s="128" t="s">
        <v>1844</v>
      </c>
      <c r="P328" s="1762" t="s">
        <v>2652</v>
      </c>
      <c r="Q328" s="687"/>
    </row>
    <row r="329" spans="1:256" ht="11.45" customHeight="1">
      <c r="A329" s="110" t="s">
        <v>698</v>
      </c>
      <c r="B329" s="44" t="s">
        <v>6545</v>
      </c>
      <c r="K329" s="231"/>
      <c r="M329" s="128" t="s">
        <v>698</v>
      </c>
      <c r="N329" s="3336" t="s">
        <v>6944</v>
      </c>
      <c r="O329" s="3337"/>
      <c r="P329" s="3338" t="s">
        <v>1647</v>
      </c>
      <c r="Q329" s="3339"/>
    </row>
    <row r="330" spans="1:256" ht="11.45" customHeight="1">
      <c r="A330" s="40" t="s">
        <v>1963</v>
      </c>
      <c r="B330" s="44" t="s">
        <v>6546</v>
      </c>
      <c r="O330" s="48" t="s">
        <v>1963</v>
      </c>
      <c r="P330" s="1402" t="s">
        <v>2655</v>
      </c>
      <c r="Q330" s="1401"/>
    </row>
    <row r="331" spans="1:256" ht="11.45" customHeight="1">
      <c r="A331" s="110" t="s">
        <v>1613</v>
      </c>
      <c r="B331" s="44" t="s">
        <v>6547</v>
      </c>
      <c r="N331" s="128" t="s">
        <v>1613</v>
      </c>
      <c r="O331" s="3330" t="s">
        <v>4053</v>
      </c>
      <c r="P331" s="3331"/>
      <c r="Q331" s="3332"/>
    </row>
    <row r="332" spans="1:256" ht="11.45" customHeight="1">
      <c r="A332" s="110" t="s">
        <v>1614</v>
      </c>
      <c r="B332" s="67" t="s">
        <v>2171</v>
      </c>
      <c r="N332" s="128" t="s">
        <v>1614</v>
      </c>
      <c r="O332" s="3287" t="s">
        <v>2562</v>
      </c>
      <c r="P332" s="3288"/>
      <c r="Q332" s="3289"/>
    </row>
    <row r="333" spans="1:256" ht="11.25" customHeight="1">
      <c r="B333" s="109" t="s">
        <v>3243</v>
      </c>
      <c r="D333" s="109"/>
      <c r="E333" s="109"/>
      <c r="F333" s="109"/>
      <c r="G333" s="109"/>
      <c r="H333" s="33"/>
      <c r="I333" s="893"/>
      <c r="J333" s="893"/>
      <c r="K333" s="893"/>
      <c r="L333" s="686"/>
      <c r="M333" s="686"/>
      <c r="N333" s="686"/>
      <c r="O333" s="686"/>
      <c r="P333" s="686"/>
      <c r="Q333" s="686"/>
    </row>
    <row r="334" spans="1:256" ht="13.35" customHeight="1">
      <c r="A334" s="3215" t="s">
        <v>6945</v>
      </c>
      <c r="B334" s="3216"/>
      <c r="C334" s="3216"/>
      <c r="D334" s="3216"/>
      <c r="E334" s="3216"/>
      <c r="F334" s="3216"/>
      <c r="G334" s="3216"/>
      <c r="H334" s="3216"/>
      <c r="I334" s="3216"/>
      <c r="J334" s="3216"/>
      <c r="K334" s="3216"/>
      <c r="L334" s="3216"/>
      <c r="M334" s="3216"/>
      <c r="N334" s="3216"/>
      <c r="O334" s="3216"/>
      <c r="P334" s="3216"/>
      <c r="Q334" s="3217"/>
      <c r="R334" s="354" t="s">
        <v>1181</v>
      </c>
      <c r="S334" s="355"/>
      <c r="U334" s="104"/>
      <c r="V334" s="104"/>
      <c r="W334" s="104"/>
      <c r="X334" s="104"/>
      <c r="Y334" s="104"/>
      <c r="Z334" s="104"/>
      <c r="AA334" s="104"/>
      <c r="AB334" s="104"/>
      <c r="AC334" s="104"/>
      <c r="AD334" s="104"/>
      <c r="AE334" s="104"/>
    </row>
    <row r="335" spans="1:256" ht="11.25" customHeight="1">
      <c r="B335" s="105" t="s">
        <v>1730</v>
      </c>
      <c r="C335" s="106"/>
      <c r="D335" s="889"/>
      <c r="E335" s="889"/>
      <c r="F335" s="889"/>
      <c r="G335" s="889"/>
      <c r="H335" s="889"/>
      <c r="I335" s="889"/>
      <c r="J335" s="889"/>
      <c r="K335" s="889"/>
      <c r="L335" s="889"/>
      <c r="M335" s="889"/>
      <c r="N335" s="889"/>
      <c r="O335" s="889"/>
      <c r="P335" s="889"/>
      <c r="Q335" s="889"/>
    </row>
    <row r="336" spans="1:256" ht="13.35" customHeight="1">
      <c r="A336" s="3219"/>
      <c r="B336" s="3220"/>
      <c r="C336" s="3220"/>
      <c r="D336" s="3220"/>
      <c r="E336" s="3220"/>
      <c r="F336" s="3220"/>
      <c r="G336" s="3220"/>
      <c r="H336" s="3220"/>
      <c r="I336" s="3220"/>
      <c r="J336" s="3220"/>
      <c r="K336" s="3220"/>
      <c r="L336" s="3220"/>
      <c r="M336" s="3220"/>
      <c r="N336" s="3220"/>
      <c r="O336" s="3220"/>
      <c r="P336" s="3220"/>
      <c r="Q336" s="3221"/>
    </row>
    <row r="337" spans="1:44" ht="2.25" customHeight="1">
      <c r="A337" s="686"/>
      <c r="B337" s="893"/>
      <c r="C337" s="889"/>
      <c r="D337" s="889"/>
      <c r="E337" s="889"/>
      <c r="F337" s="889"/>
      <c r="G337" s="889"/>
      <c r="H337" s="889"/>
      <c r="I337" s="889"/>
      <c r="J337" s="889"/>
      <c r="K337" s="889"/>
      <c r="L337" s="889"/>
      <c r="M337" s="889"/>
      <c r="N337" s="889"/>
      <c r="O337" s="889"/>
      <c r="P337" s="889"/>
      <c r="Q337" s="686"/>
      <c r="R337" s="6"/>
      <c r="S337" s="6"/>
    </row>
    <row r="338" spans="1:44" ht="14.1" customHeight="1">
      <c r="A338" s="2" t="s">
        <v>3380</v>
      </c>
      <c r="B338" s="4" t="s">
        <v>6548</v>
      </c>
      <c r="C338" s="4"/>
      <c r="D338" s="4"/>
      <c r="E338" s="4"/>
      <c r="F338" s="4"/>
      <c r="G338" s="4"/>
      <c r="H338" s="889"/>
      <c r="I338" s="889"/>
      <c r="J338" s="889"/>
      <c r="K338" s="889"/>
      <c r="L338" s="889"/>
      <c r="M338" s="889"/>
      <c r="N338" s="1174" t="str">
        <f>IF(OR('Part VIII Scoring Criteria'!$P$44="yes",'Part VIII Scoring Criteria'!$P$45="yes",'Part VIII Scoring Criteria'!$P$46="yes"),"Applicant has applied for a Preservation Set Aside.","Applicant has NOT applied for a Preservation Set Aside.")</f>
        <v>Applicant has applied for a Preservation Set Aside.</v>
      </c>
      <c r="O338" s="101" t="s">
        <v>1731</v>
      </c>
      <c r="P338" s="3370"/>
      <c r="Q338" s="3371"/>
    </row>
    <row r="339" spans="1:44" ht="14.1" customHeight="1">
      <c r="A339" s="2"/>
      <c r="B339" s="29" t="s">
        <v>6549</v>
      </c>
      <c r="C339" s="4"/>
      <c r="D339" s="4"/>
      <c r="E339" s="4"/>
      <c r="F339" s="4"/>
      <c r="G339" s="4"/>
      <c r="H339" s="889"/>
      <c r="I339" s="889"/>
      <c r="J339" s="889"/>
      <c r="K339" s="889"/>
      <c r="L339" s="889"/>
      <c r="M339" s="889"/>
      <c r="N339" s="396"/>
      <c r="P339" s="101"/>
      <c r="Q339" s="1931" t="str">
        <f>IF(OR(AND(P341="Agree",P344="Agree",P346="Agree"),AND(P341="Agree",P344="Agree"),AND(P344="Agree",P346="Agree"),AND(P341="Agree",P346="Agree")), "PLEASE CHOOSE NO MORE THAN ONE PRESERVATION SET-ASIDE!","")</f>
        <v/>
      </c>
    </row>
    <row r="340" spans="1:44" ht="14.1" customHeight="1">
      <c r="A340" s="2"/>
      <c r="B340" s="29" t="s">
        <v>6550</v>
      </c>
      <c r="C340" s="4"/>
      <c r="D340" s="4"/>
      <c r="E340" s="4"/>
      <c r="F340" s="4"/>
      <c r="G340" s="4"/>
      <c r="H340" s="889"/>
      <c r="I340" s="889"/>
      <c r="J340" s="889"/>
      <c r="K340" s="889"/>
      <c r="L340" s="889"/>
      <c r="M340" s="889"/>
      <c r="N340" s="396"/>
      <c r="O340" s="101"/>
      <c r="P340" s="373" t="s">
        <v>2652</v>
      </c>
      <c r="Q340" s="418"/>
    </row>
    <row r="341" spans="1:44" ht="21.75" customHeight="1">
      <c r="A341" s="110" t="s">
        <v>1842</v>
      </c>
      <c r="B341" s="3218" t="s">
        <v>6692</v>
      </c>
      <c r="C341" s="3218"/>
      <c r="D341" s="3218"/>
      <c r="E341" s="3218"/>
      <c r="F341" s="3218"/>
      <c r="G341" s="3218"/>
      <c r="H341" s="3218"/>
      <c r="I341" s="3218"/>
      <c r="J341" s="3218"/>
      <c r="K341" s="3218"/>
      <c r="L341" s="3218"/>
      <c r="M341" s="3218"/>
      <c r="N341" s="3218"/>
      <c r="O341" s="128" t="s">
        <v>1842</v>
      </c>
      <c r="P341" s="1815" t="s">
        <v>6933</v>
      </c>
      <c r="Q341" s="1816"/>
    </row>
    <row r="342" spans="1:44" s="35" customFormat="1" ht="12.75" customHeight="1">
      <c r="A342" s="40"/>
      <c r="B342" s="33" t="s">
        <v>1615</v>
      </c>
      <c r="C342" s="29" t="s">
        <v>6131</v>
      </c>
      <c r="D342" s="29"/>
      <c r="E342" s="29"/>
      <c r="F342" s="29"/>
      <c r="G342" s="29"/>
      <c r="H342" s="29"/>
      <c r="I342" s="29"/>
      <c r="J342" s="29"/>
      <c r="O342" s="48" t="s">
        <v>1392</v>
      </c>
      <c r="P342" s="1817">
        <v>44672</v>
      </c>
      <c r="Q342" s="1818"/>
    </row>
    <row r="343" spans="1:44" s="115" customFormat="1">
      <c r="A343" s="110"/>
      <c r="B343" s="1222"/>
      <c r="C343" s="29" t="s">
        <v>1668</v>
      </c>
      <c r="D343" s="29"/>
      <c r="E343" s="1542">
        <f>'Part V-Revenues &amp; Expenses'!$P$67</f>
        <v>120</v>
      </c>
      <c r="F343" s="29" t="s">
        <v>3899</v>
      </c>
      <c r="G343" s="1543">
        <f>'Part V-Revenues &amp; Expenses'!$P$100</f>
        <v>75</v>
      </c>
      <c r="H343" s="72"/>
      <c r="I343" s="29" t="s">
        <v>832</v>
      </c>
      <c r="J343" s="72"/>
      <c r="K343" s="72"/>
      <c r="L343" s="1542">
        <f>'Part V-Revenues &amp; Expenses'!$P$111</f>
        <v>0</v>
      </c>
      <c r="M343" s="48" t="s">
        <v>6745</v>
      </c>
      <c r="N343" s="1541">
        <f>IF(E343=0,"",(G343+L343)/E343)</f>
        <v>0.625</v>
      </c>
      <c r="P343" s="108"/>
      <c r="Q343" s="108"/>
      <c r="S343" s="1417"/>
      <c r="T343" s="1417"/>
      <c r="U343" s="1417"/>
      <c r="V343" s="1417"/>
      <c r="W343" s="1417"/>
      <c r="X343" s="1417"/>
      <c r="Y343" s="1417"/>
      <c r="Z343" s="1417"/>
      <c r="AA343" s="1417"/>
      <c r="AB343" s="1417"/>
      <c r="AC343" s="1417"/>
      <c r="AD343" s="1417"/>
      <c r="AE343" s="1417"/>
      <c r="AF343" s="1417"/>
      <c r="AG343" s="1417"/>
      <c r="AH343" s="1417"/>
      <c r="AI343" s="1417"/>
      <c r="AJ343" s="1417"/>
      <c r="AK343" s="1417"/>
      <c r="AL343" s="1417"/>
      <c r="AM343" s="1417"/>
      <c r="AN343" s="1417"/>
      <c r="AO343" s="1417"/>
      <c r="AP343" s="1417"/>
      <c r="AQ343" s="1417"/>
      <c r="AR343" s="1417"/>
    </row>
    <row r="344" spans="1:44">
      <c r="A344" s="110" t="s">
        <v>1844</v>
      </c>
      <c r="B344" s="3218" t="s">
        <v>6693</v>
      </c>
      <c r="C344" s="3218"/>
      <c r="D344" s="3218"/>
      <c r="E344" s="3218"/>
      <c r="F344" s="3218"/>
      <c r="G344" s="3218"/>
      <c r="H344" s="3218"/>
      <c r="I344" s="3218"/>
      <c r="J344" s="3218"/>
      <c r="K344" s="3218"/>
      <c r="L344" s="3218"/>
      <c r="M344" s="3218"/>
      <c r="N344" s="3218"/>
      <c r="O344" s="128" t="s">
        <v>1844</v>
      </c>
      <c r="P344" s="907"/>
      <c r="Q344" s="908"/>
    </row>
    <row r="345" spans="1:44" s="115" customFormat="1">
      <c r="A345" s="110"/>
      <c r="B345" s="1222"/>
      <c r="C345" s="29" t="s">
        <v>1668</v>
      </c>
      <c r="D345" s="29"/>
      <c r="E345" s="1542">
        <f>'Part V-Revenues &amp; Expenses'!$P$67</f>
        <v>120</v>
      </c>
      <c r="F345" s="29" t="s">
        <v>6695</v>
      </c>
      <c r="H345" s="72"/>
      <c r="L345" s="1952"/>
      <c r="M345" s="48" t="s">
        <v>6745</v>
      </c>
      <c r="N345" s="1541">
        <f>IF(E345=0,"",L345/E345)</f>
        <v>0</v>
      </c>
      <c r="P345" s="108"/>
      <c r="Q345" s="108"/>
      <c r="S345" s="1417"/>
      <c r="T345" s="1417"/>
      <c r="U345" s="1417"/>
      <c r="V345" s="1417"/>
      <c r="W345" s="1417"/>
      <c r="X345" s="1417"/>
      <c r="Y345" s="1417"/>
      <c r="Z345" s="1417"/>
      <c r="AA345" s="1417"/>
      <c r="AB345" s="1417"/>
      <c r="AC345" s="1417"/>
      <c r="AD345" s="1417"/>
      <c r="AE345" s="1417"/>
      <c r="AF345" s="1417"/>
      <c r="AG345" s="1417"/>
      <c r="AH345" s="1417"/>
      <c r="AI345" s="1417"/>
      <c r="AJ345" s="1417"/>
      <c r="AK345" s="1417"/>
      <c r="AL345" s="1417"/>
      <c r="AM345" s="1417"/>
      <c r="AN345" s="1417"/>
      <c r="AO345" s="1417"/>
      <c r="AP345" s="1417"/>
      <c r="AQ345" s="1417"/>
      <c r="AR345" s="1417"/>
    </row>
    <row r="346" spans="1:44" ht="21.75" customHeight="1">
      <c r="A346" s="110" t="s">
        <v>698</v>
      </c>
      <c r="B346" s="3218" t="s">
        <v>6694</v>
      </c>
      <c r="C346" s="3218"/>
      <c r="D346" s="3218"/>
      <c r="E346" s="3218"/>
      <c r="F346" s="3218"/>
      <c r="G346" s="3218"/>
      <c r="H346" s="3218"/>
      <c r="I346" s="3218"/>
      <c r="J346" s="3218"/>
      <c r="K346" s="3218"/>
      <c r="L346" s="3218"/>
      <c r="M346" s="3218"/>
      <c r="N346" s="3218"/>
      <c r="O346" s="128" t="s">
        <v>698</v>
      </c>
      <c r="P346" s="1815"/>
      <c r="Q346" s="1816"/>
    </row>
    <row r="347" spans="1:44" ht="14.1" customHeight="1">
      <c r="A347" s="23"/>
      <c r="B347" s="370" t="s">
        <v>1615</v>
      </c>
      <c r="C347" s="44" t="s">
        <v>6551</v>
      </c>
      <c r="D347" s="10"/>
      <c r="E347" s="10"/>
      <c r="F347" s="10"/>
      <c r="G347" s="10"/>
      <c r="H347" s="1813"/>
      <c r="I347" s="1813"/>
      <c r="J347" s="1813"/>
      <c r="K347" s="1813"/>
      <c r="L347" s="1813"/>
      <c r="M347" s="1813"/>
      <c r="N347" s="1814"/>
      <c r="O347" s="48" t="s">
        <v>4062</v>
      </c>
      <c r="P347" s="1819" t="s">
        <v>6933</v>
      </c>
      <c r="Q347" s="1820"/>
    </row>
    <row r="348" spans="1:44" s="115" customFormat="1">
      <c r="A348" s="110"/>
      <c r="B348" s="1222"/>
      <c r="C348" s="29" t="s">
        <v>1668</v>
      </c>
      <c r="D348" s="29"/>
      <c r="E348" s="1542">
        <f>'Part V-Revenues &amp; Expenses'!$P$67</f>
        <v>120</v>
      </c>
      <c r="F348" s="29" t="s">
        <v>3899</v>
      </c>
      <c r="G348" s="1543">
        <f>'Part V-Revenues &amp; Expenses'!$P$100</f>
        <v>75</v>
      </c>
      <c r="H348" s="72"/>
      <c r="I348" s="29" t="s">
        <v>832</v>
      </c>
      <c r="J348" s="72"/>
      <c r="K348" s="72"/>
      <c r="L348" s="1542">
        <f>'Part V-Revenues &amp; Expenses'!$P$111</f>
        <v>0</v>
      </c>
      <c r="M348" s="48" t="s">
        <v>6745</v>
      </c>
      <c r="N348" s="1541">
        <f>IF(E348=0,"",(G348+L348)/E348)</f>
        <v>0.625</v>
      </c>
      <c r="P348" s="108"/>
      <c r="Q348" s="108"/>
      <c r="S348" s="1417"/>
      <c r="T348" s="1417"/>
      <c r="U348" s="1417"/>
      <c r="V348" s="1417"/>
      <c r="W348" s="1417"/>
      <c r="X348" s="1417"/>
      <c r="Y348" s="1417"/>
      <c r="Z348" s="1417"/>
      <c r="AA348" s="1417"/>
      <c r="AB348" s="1417"/>
      <c r="AC348" s="1417"/>
      <c r="AD348" s="1417"/>
      <c r="AE348" s="1417"/>
      <c r="AF348" s="1417"/>
      <c r="AG348" s="1417"/>
      <c r="AH348" s="1417"/>
      <c r="AI348" s="1417"/>
      <c r="AJ348" s="1417"/>
      <c r="AK348" s="1417"/>
      <c r="AL348" s="1417"/>
      <c r="AM348" s="1417"/>
      <c r="AN348" s="1417"/>
      <c r="AO348" s="1417"/>
      <c r="AP348" s="1417"/>
      <c r="AQ348" s="1417"/>
      <c r="AR348" s="1417"/>
    </row>
    <row r="349" spans="1:44" ht="10.5" customHeight="1">
      <c r="B349" s="109" t="s">
        <v>3243</v>
      </c>
      <c r="D349" s="109"/>
      <c r="E349" s="109"/>
      <c r="F349" s="109"/>
      <c r="G349" s="109"/>
      <c r="H349" s="33"/>
      <c r="I349" s="893"/>
      <c r="J349" s="893"/>
      <c r="K349" s="893"/>
      <c r="L349" s="686"/>
      <c r="M349" s="686"/>
      <c r="N349" s="686"/>
      <c r="O349" s="686"/>
      <c r="P349" s="686"/>
      <c r="Q349" s="686"/>
    </row>
    <row r="350" spans="1:44" ht="45" customHeight="1">
      <c r="A350" s="3215" t="s">
        <v>7007</v>
      </c>
      <c r="B350" s="3216"/>
      <c r="C350" s="3216"/>
      <c r="D350" s="3216"/>
      <c r="E350" s="3216"/>
      <c r="F350" s="3216"/>
      <c r="G350" s="3216"/>
      <c r="H350" s="3216"/>
      <c r="I350" s="3216"/>
      <c r="J350" s="3216"/>
      <c r="K350" s="3216"/>
      <c r="L350" s="3216"/>
      <c r="M350" s="3216"/>
      <c r="N350" s="3216"/>
      <c r="O350" s="3216"/>
      <c r="P350" s="3216"/>
      <c r="Q350" s="3217"/>
      <c r="U350" s="104"/>
      <c r="V350" s="104"/>
      <c r="W350" s="104"/>
      <c r="X350" s="104"/>
      <c r="Y350" s="104"/>
      <c r="Z350" s="104"/>
      <c r="AA350" s="104"/>
      <c r="AB350" s="104"/>
      <c r="AC350" s="104"/>
      <c r="AD350" s="104"/>
      <c r="AE350" s="104"/>
    </row>
    <row r="351" spans="1:44" ht="10.5" customHeight="1">
      <c r="B351" s="105" t="s">
        <v>1730</v>
      </c>
      <c r="C351" s="106"/>
      <c r="D351" s="889"/>
      <c r="E351" s="889"/>
      <c r="F351" s="889"/>
      <c r="G351" s="889"/>
      <c r="H351" s="889"/>
      <c r="I351" s="889"/>
      <c r="J351" s="889"/>
      <c r="K351" s="889"/>
      <c r="L351" s="889"/>
      <c r="M351" s="889"/>
      <c r="N351" s="889"/>
      <c r="O351" s="889"/>
      <c r="P351" s="889"/>
      <c r="Q351" s="889"/>
    </row>
    <row r="352" spans="1:44" ht="12" customHeight="1">
      <c r="A352" s="3219"/>
      <c r="B352" s="3220"/>
      <c r="C352" s="3220"/>
      <c r="D352" s="3220"/>
      <c r="E352" s="3220"/>
      <c r="F352" s="3220"/>
      <c r="G352" s="3220"/>
      <c r="H352" s="3220"/>
      <c r="I352" s="3220"/>
      <c r="J352" s="3220"/>
      <c r="K352" s="3220"/>
      <c r="L352" s="3220"/>
      <c r="M352" s="3220"/>
      <c r="N352" s="3220"/>
      <c r="O352" s="3220"/>
      <c r="P352" s="3220"/>
      <c r="Q352" s="3221"/>
    </row>
    <row r="353" spans="1:31" ht="2.25" customHeight="1">
      <c r="A353" s="686"/>
      <c r="B353" s="893"/>
      <c r="C353" s="889"/>
      <c r="D353" s="889"/>
      <c r="E353" s="889"/>
      <c r="F353" s="889"/>
      <c r="G353" s="889"/>
      <c r="H353" s="889"/>
      <c r="I353" s="889"/>
      <c r="J353" s="889"/>
      <c r="K353" s="889"/>
      <c r="L353" s="889"/>
      <c r="M353" s="889"/>
      <c r="N353" s="889"/>
      <c r="O353" s="889"/>
      <c r="P353" s="889"/>
      <c r="Q353" s="686"/>
      <c r="R353" s="6"/>
      <c r="S353" s="6"/>
    </row>
    <row r="354" spans="1:31" ht="14.1" customHeight="1">
      <c r="A354" s="2" t="s">
        <v>3381</v>
      </c>
      <c r="B354" s="4" t="s">
        <v>3362</v>
      </c>
      <c r="C354" s="4"/>
      <c r="D354" s="4"/>
      <c r="E354" s="4"/>
      <c r="F354" s="4"/>
      <c r="G354" s="4"/>
      <c r="H354" s="889"/>
      <c r="I354" s="889"/>
      <c r="J354" s="889"/>
      <c r="K354" s="889"/>
      <c r="L354" s="889"/>
      <c r="M354" s="889"/>
      <c r="N354" s="396" t="str">
        <f>IF('Part VIII Scoring Criteria'!$P$41="yes","Applicant has applied for Nonprofit Setaside.","Applicant has NOT applied for Nonprofit Setaside.")</f>
        <v>Applicant has NOT applied for Nonprofit Setaside.</v>
      </c>
      <c r="O354" s="101" t="s">
        <v>1731</v>
      </c>
      <c r="P354" s="3224"/>
      <c r="Q354" s="3225"/>
    </row>
    <row r="355" spans="1:31" ht="10.5" customHeight="1">
      <c r="A355" s="40" t="s">
        <v>1842</v>
      </c>
      <c r="B355" s="29" t="s">
        <v>3363</v>
      </c>
      <c r="D355" s="118"/>
      <c r="E355" s="118"/>
      <c r="F355" s="118"/>
      <c r="G355" s="118"/>
      <c r="H355" s="48" t="s">
        <v>1842</v>
      </c>
      <c r="I355" s="3229"/>
      <c r="J355" s="3230"/>
      <c r="K355" s="3230"/>
      <c r="L355" s="3230"/>
      <c r="M355" s="3230"/>
      <c r="N355" s="3230"/>
      <c r="O355" s="3230"/>
      <c r="P355" s="3231"/>
      <c r="Q355" s="419"/>
    </row>
    <row r="356" spans="1:31" ht="10.5" customHeight="1">
      <c r="A356" s="110" t="s">
        <v>1844</v>
      </c>
      <c r="B356" s="29" t="s">
        <v>3364</v>
      </c>
      <c r="D356" s="118"/>
      <c r="E356" s="118"/>
      <c r="F356" s="118"/>
      <c r="G356" s="118"/>
      <c r="H356" s="128" t="s">
        <v>1844</v>
      </c>
      <c r="I356" s="3226"/>
      <c r="J356" s="3227"/>
      <c r="K356" s="3227"/>
      <c r="L356" s="3227"/>
      <c r="M356" s="3227"/>
      <c r="N356" s="3227"/>
      <c r="O356" s="3227"/>
      <c r="P356" s="3228"/>
      <c r="Q356" s="421"/>
    </row>
    <row r="357" spans="1:31" ht="21.75" customHeight="1">
      <c r="A357" s="110" t="s">
        <v>698</v>
      </c>
      <c r="B357" s="3375" t="s">
        <v>3355</v>
      </c>
      <c r="C357" s="3375"/>
      <c r="D357" s="3375"/>
      <c r="E357" s="3375"/>
      <c r="F357" s="3375"/>
      <c r="G357" s="3375"/>
      <c r="H357" s="3375"/>
      <c r="I357" s="3375"/>
      <c r="J357" s="3375"/>
      <c r="K357" s="3375"/>
      <c r="L357" s="3375"/>
      <c r="M357" s="3375"/>
      <c r="N357" s="3375"/>
      <c r="O357" s="128" t="s">
        <v>698</v>
      </c>
      <c r="P357" s="838"/>
      <c r="Q357" s="895"/>
    </row>
    <row r="358" spans="1:31" ht="21.75" customHeight="1">
      <c r="A358" s="110" t="s">
        <v>1963</v>
      </c>
      <c r="B358" s="3218" t="s">
        <v>3356</v>
      </c>
      <c r="C358" s="3218"/>
      <c r="D358" s="3218"/>
      <c r="E358" s="3218"/>
      <c r="F358" s="3218"/>
      <c r="G358" s="3218"/>
      <c r="H358" s="3218"/>
      <c r="I358" s="3218"/>
      <c r="J358" s="3218"/>
      <c r="K358" s="3218"/>
      <c r="L358" s="3218"/>
      <c r="M358" s="3218"/>
      <c r="N358" s="3218"/>
      <c r="O358" s="128" t="s">
        <v>1963</v>
      </c>
      <c r="P358" s="431"/>
      <c r="Q358" s="422"/>
    </row>
    <row r="359" spans="1:31" ht="10.5" customHeight="1">
      <c r="A359" s="110" t="s">
        <v>1613</v>
      </c>
      <c r="B359" s="29" t="s">
        <v>3357</v>
      </c>
      <c r="D359" s="29"/>
      <c r="E359" s="29"/>
      <c r="F359" s="29"/>
      <c r="G359" s="29"/>
      <c r="H359" s="29"/>
      <c r="I359" s="29"/>
      <c r="J359" s="29"/>
      <c r="K359" s="29"/>
      <c r="L359" s="29"/>
      <c r="M359" s="29"/>
      <c r="O359" s="128" t="s">
        <v>1613</v>
      </c>
      <c r="P359" s="299"/>
      <c r="Q359" s="420"/>
    </row>
    <row r="360" spans="1:31" s="102" customFormat="1" ht="21.75" customHeight="1">
      <c r="A360" s="110" t="s">
        <v>1614</v>
      </c>
      <c r="B360" s="3218" t="s">
        <v>3358</v>
      </c>
      <c r="C360" s="3218"/>
      <c r="D360" s="3218"/>
      <c r="E360" s="3218"/>
      <c r="F360" s="3218"/>
      <c r="G360" s="3218"/>
      <c r="H360" s="3218"/>
      <c r="I360" s="3218"/>
      <c r="J360" s="3218"/>
      <c r="K360" s="3218"/>
      <c r="L360" s="3218"/>
      <c r="M360" s="3218"/>
      <c r="N360" s="3218"/>
      <c r="O360" s="128" t="s">
        <v>1614</v>
      </c>
      <c r="P360" s="677"/>
      <c r="Q360" s="678"/>
    </row>
    <row r="361" spans="1:31" s="102" customFormat="1" ht="10.5" customHeight="1">
      <c r="A361" s="110" t="s">
        <v>1808</v>
      </c>
      <c r="B361" s="108" t="s">
        <v>3359</v>
      </c>
      <c r="D361" s="457"/>
      <c r="E361" s="457"/>
      <c r="F361" s="457"/>
      <c r="G361" s="457"/>
      <c r="H361" s="457"/>
      <c r="I361" s="457"/>
      <c r="J361" s="457"/>
      <c r="K361" s="457"/>
      <c r="L361" s="457"/>
      <c r="M361" s="457"/>
      <c r="N361" s="457"/>
      <c r="O361" s="128" t="s">
        <v>1808</v>
      </c>
      <c r="P361" s="896"/>
      <c r="Q361" s="895"/>
    </row>
    <row r="362" spans="1:31" s="102" customFormat="1" ht="10.5" customHeight="1">
      <c r="C362" s="372" t="s">
        <v>3876</v>
      </c>
      <c r="E362" s="889"/>
      <c r="F362" s="889"/>
      <c r="G362" s="889"/>
      <c r="H362" s="889"/>
      <c r="I362" s="889"/>
      <c r="J362" s="889"/>
      <c r="K362" s="889"/>
      <c r="L362" s="889"/>
      <c r="M362" s="889"/>
      <c r="N362" s="889"/>
      <c r="P362" s="898"/>
      <c r="Q362" s="897"/>
    </row>
    <row r="363" spans="1:31" ht="21.75" customHeight="1">
      <c r="A363" s="110" t="s">
        <v>3007</v>
      </c>
      <c r="B363" s="3218" t="s">
        <v>3360</v>
      </c>
      <c r="C363" s="3218"/>
      <c r="D363" s="3218"/>
      <c r="E363" s="3218"/>
      <c r="F363" s="3218"/>
      <c r="G363" s="3218"/>
      <c r="H363" s="3218"/>
      <c r="I363" s="3218"/>
      <c r="J363" s="3218"/>
      <c r="K363" s="3218"/>
      <c r="L363" s="3218"/>
      <c r="M363" s="3218"/>
      <c r="N363" s="3218"/>
      <c r="O363" s="128" t="s">
        <v>3007</v>
      </c>
      <c r="P363" s="896"/>
      <c r="Q363" s="895"/>
    </row>
    <row r="364" spans="1:31" ht="33" customHeight="1">
      <c r="A364" s="110" t="s">
        <v>573</v>
      </c>
      <c r="B364" s="3218" t="s">
        <v>3361</v>
      </c>
      <c r="C364" s="3218"/>
      <c r="D364" s="3218"/>
      <c r="E364" s="3218"/>
      <c r="F364" s="3218"/>
      <c r="G364" s="3218"/>
      <c r="H364" s="3218"/>
      <c r="I364" s="3218"/>
      <c r="J364" s="3218"/>
      <c r="K364" s="3218"/>
      <c r="L364" s="3218"/>
      <c r="M364" s="3218"/>
      <c r="N364" s="3218"/>
      <c r="O364" s="128" t="s">
        <v>573</v>
      </c>
      <c r="P364" s="898"/>
      <c r="Q364" s="897"/>
    </row>
    <row r="365" spans="1:31" ht="10.5" customHeight="1">
      <c r="B365" s="109" t="s">
        <v>3243</v>
      </c>
      <c r="D365" s="109"/>
      <c r="E365" s="109"/>
      <c r="F365" s="109"/>
      <c r="G365" s="109"/>
      <c r="H365" s="33"/>
      <c r="I365" s="893"/>
      <c r="J365" s="893"/>
      <c r="K365" s="893"/>
      <c r="L365" s="686"/>
      <c r="M365" s="686"/>
      <c r="N365" s="686"/>
      <c r="O365" s="686"/>
      <c r="P365" s="686"/>
      <c r="Q365" s="686"/>
    </row>
    <row r="366" spans="1:31" ht="31.5" customHeight="1">
      <c r="A366" s="3215" t="s">
        <v>6962</v>
      </c>
      <c r="B366" s="3216"/>
      <c r="C366" s="3216"/>
      <c r="D366" s="3216"/>
      <c r="E366" s="3216"/>
      <c r="F366" s="3216"/>
      <c r="G366" s="3216"/>
      <c r="H366" s="3216"/>
      <c r="I366" s="3216"/>
      <c r="J366" s="3216"/>
      <c r="K366" s="3216"/>
      <c r="L366" s="3216"/>
      <c r="M366" s="3216"/>
      <c r="N366" s="3216"/>
      <c r="O366" s="3216"/>
      <c r="P366" s="3216"/>
      <c r="Q366" s="3217"/>
      <c r="U366" s="104"/>
      <c r="V366" s="104"/>
      <c r="W366" s="104"/>
      <c r="X366" s="104"/>
      <c r="Y366" s="104"/>
      <c r="Z366" s="104"/>
      <c r="AA366" s="104"/>
      <c r="AB366" s="104"/>
      <c r="AC366" s="104"/>
      <c r="AD366" s="104"/>
      <c r="AE366" s="104"/>
    </row>
    <row r="367" spans="1:31" ht="10.5" customHeight="1">
      <c r="B367" s="105" t="s">
        <v>1730</v>
      </c>
      <c r="C367" s="106"/>
      <c r="D367" s="889"/>
      <c r="E367" s="889"/>
      <c r="F367" s="889"/>
      <c r="G367" s="889"/>
      <c r="H367" s="889"/>
      <c r="I367" s="889"/>
      <c r="J367" s="889"/>
      <c r="K367" s="889"/>
      <c r="L367" s="889"/>
      <c r="M367" s="889"/>
      <c r="N367" s="889"/>
      <c r="O367" s="889"/>
      <c r="P367" s="889"/>
      <c r="Q367" s="889"/>
    </row>
    <row r="368" spans="1:31" ht="23.25" customHeight="1">
      <c r="A368" s="3219"/>
      <c r="B368" s="3220"/>
      <c r="C368" s="3220"/>
      <c r="D368" s="3220"/>
      <c r="E368" s="3220"/>
      <c r="F368" s="3220"/>
      <c r="G368" s="3220"/>
      <c r="H368" s="3220"/>
      <c r="I368" s="3220"/>
      <c r="J368" s="3220"/>
      <c r="K368" s="3220"/>
      <c r="L368" s="3220"/>
      <c r="M368" s="3220"/>
      <c r="N368" s="3220"/>
      <c r="O368" s="3220"/>
      <c r="P368" s="3220"/>
      <c r="Q368" s="3221"/>
    </row>
    <row r="369" spans="1:31" ht="3" customHeight="1">
      <c r="A369" s="686"/>
      <c r="B369" s="893"/>
      <c r="C369" s="889"/>
      <c r="D369" s="889"/>
      <c r="E369" s="889"/>
      <c r="F369" s="889"/>
      <c r="G369" s="889"/>
      <c r="H369" s="889"/>
      <c r="I369" s="889"/>
      <c r="J369" s="889"/>
      <c r="K369" s="889"/>
      <c r="L369" s="889"/>
      <c r="M369" s="889"/>
      <c r="Q369" s="686"/>
    </row>
    <row r="370" spans="1:31" ht="3" customHeight="1">
      <c r="A370" s="686"/>
      <c r="B370" s="893"/>
      <c r="C370" s="889"/>
      <c r="D370" s="889"/>
      <c r="E370" s="889"/>
      <c r="F370" s="889"/>
      <c r="G370" s="889"/>
      <c r="H370" s="889"/>
      <c r="I370" s="889"/>
      <c r="J370" s="889"/>
      <c r="K370" s="889"/>
      <c r="L370" s="889"/>
      <c r="M370" s="889"/>
      <c r="Q370" s="686"/>
    </row>
    <row r="371" spans="1:31" ht="14.1" customHeight="1">
      <c r="A371" s="2" t="s">
        <v>3382</v>
      </c>
      <c r="B371" s="4" t="s">
        <v>2450</v>
      </c>
      <c r="C371" s="4"/>
      <c r="D371" s="4"/>
      <c r="E371" s="4"/>
      <c r="F371" s="4"/>
      <c r="G371" s="4"/>
      <c r="H371" s="889"/>
      <c r="I371" s="889"/>
      <c r="J371" s="889"/>
      <c r="N371" s="396" t="str">
        <f>IF('Part VIII Scoring Criteria'!$P$47="yes","Applicant has applied for CHDO Setaside.","Applicant has NOT applied for CHDO Setaside.")</f>
        <v>Applicant has NOT applied for CHDO Setaside.</v>
      </c>
      <c r="O371" s="101" t="s">
        <v>1731</v>
      </c>
      <c r="P371" s="3236"/>
      <c r="Q371" s="3225"/>
    </row>
    <row r="372" spans="1:31" ht="11.45" customHeight="1">
      <c r="A372" s="40" t="s">
        <v>1842</v>
      </c>
      <c r="B372" s="32" t="s">
        <v>971</v>
      </c>
      <c r="E372" s="3350"/>
      <c r="F372" s="3351"/>
      <c r="G372" s="3351"/>
      <c r="H372" s="3351"/>
      <c r="I372" s="3352"/>
      <c r="J372" s="3353" t="s">
        <v>2438</v>
      </c>
      <c r="K372" s="3354"/>
      <c r="L372" s="3355"/>
      <c r="M372" s="3350"/>
      <c r="N372" s="3351"/>
      <c r="O372" s="3351"/>
      <c r="P372" s="3351"/>
      <c r="Q372" s="3352"/>
    </row>
    <row r="373" spans="1:31" s="102" customFormat="1" ht="22.5" customHeight="1">
      <c r="A373" s="110" t="s">
        <v>1844</v>
      </c>
      <c r="B373" s="3218" t="s">
        <v>3085</v>
      </c>
      <c r="C373" s="3218"/>
      <c r="D373" s="3218"/>
      <c r="E373" s="3218"/>
      <c r="F373" s="3218"/>
      <c r="G373" s="3218"/>
      <c r="H373" s="3218"/>
      <c r="I373" s="3218"/>
      <c r="J373" s="3218"/>
      <c r="K373" s="3218"/>
      <c r="L373" s="3218"/>
      <c r="M373" s="3218"/>
      <c r="N373" s="3218"/>
      <c r="O373" s="128" t="s">
        <v>1844</v>
      </c>
      <c r="P373" s="431"/>
      <c r="Q373" s="422"/>
    </row>
    <row r="374" spans="1:31">
      <c r="A374" s="110" t="s">
        <v>698</v>
      </c>
      <c r="B374" s="44" t="s">
        <v>3205</v>
      </c>
      <c r="G374" s="891"/>
      <c r="H374" s="891"/>
      <c r="I374" s="891"/>
      <c r="J374" s="33" t="s">
        <v>3206</v>
      </c>
      <c r="L374" s="891"/>
      <c r="M374" s="3356">
        <f>'Part II-Sources of Funds'!I6</f>
        <v>0</v>
      </c>
      <c r="N374" s="3357"/>
      <c r="O374" s="128" t="s">
        <v>698</v>
      </c>
      <c r="P374" s="176"/>
      <c r="Q374" s="421"/>
    </row>
    <row r="375" spans="1:31" ht="11.25" customHeight="1">
      <c r="B375" s="109" t="s">
        <v>3243</v>
      </c>
      <c r="D375" s="109"/>
      <c r="E375" s="109"/>
      <c r="F375" s="109"/>
      <c r="G375" s="109"/>
      <c r="H375" s="33"/>
      <c r="I375" s="893"/>
      <c r="J375" s="893"/>
      <c r="K375" s="893"/>
      <c r="L375" s="686"/>
      <c r="M375" s="686"/>
      <c r="N375" s="686"/>
      <c r="O375" s="686"/>
      <c r="P375" s="686"/>
      <c r="Q375" s="686"/>
    </row>
    <row r="376" spans="1:31" ht="11.45" customHeight="1">
      <c r="A376" s="3215" t="s">
        <v>6963</v>
      </c>
      <c r="B376" s="3216"/>
      <c r="C376" s="3216"/>
      <c r="D376" s="3216"/>
      <c r="E376" s="3216"/>
      <c r="F376" s="3216"/>
      <c r="G376" s="3216"/>
      <c r="H376" s="3216"/>
      <c r="I376" s="3216"/>
      <c r="J376" s="3216"/>
      <c r="K376" s="3216"/>
      <c r="L376" s="3216"/>
      <c r="M376" s="3216"/>
      <c r="N376" s="3216"/>
      <c r="O376" s="3216"/>
      <c r="P376" s="3216"/>
      <c r="Q376" s="3217"/>
      <c r="U376" s="104"/>
      <c r="V376" s="104"/>
      <c r="W376" s="104"/>
      <c r="X376" s="104"/>
      <c r="Y376" s="104"/>
      <c r="Z376" s="104"/>
      <c r="AA376" s="104"/>
      <c r="AB376" s="104"/>
      <c r="AC376" s="104"/>
      <c r="AD376" s="104"/>
      <c r="AE376" s="104"/>
    </row>
    <row r="377" spans="1:31" ht="11.25" customHeight="1">
      <c r="B377" s="105" t="s">
        <v>1730</v>
      </c>
      <c r="C377" s="106"/>
      <c r="D377" s="889"/>
      <c r="E377" s="889"/>
      <c r="F377" s="889"/>
      <c r="G377" s="889"/>
      <c r="H377" s="889"/>
      <c r="I377" s="889"/>
      <c r="J377" s="889"/>
      <c r="K377" s="889"/>
      <c r="L377" s="889"/>
      <c r="M377" s="889"/>
      <c r="N377" s="889"/>
      <c r="O377" s="889"/>
      <c r="P377" s="889"/>
      <c r="Q377" s="889"/>
    </row>
    <row r="378" spans="1:31" ht="11.45" customHeight="1">
      <c r="A378" s="3219"/>
      <c r="B378" s="3220"/>
      <c r="C378" s="3220"/>
      <c r="D378" s="3220"/>
      <c r="E378" s="3220"/>
      <c r="F378" s="3220"/>
      <c r="G378" s="3220"/>
      <c r="H378" s="3220"/>
      <c r="I378" s="3220"/>
      <c r="J378" s="3220"/>
      <c r="K378" s="3220"/>
      <c r="L378" s="3220"/>
      <c r="M378" s="3220"/>
      <c r="N378" s="3220"/>
      <c r="O378" s="3220"/>
      <c r="P378" s="3220"/>
      <c r="Q378" s="3221"/>
    </row>
    <row r="379" spans="1:31" ht="3.6" customHeight="1">
      <c r="A379" s="686"/>
      <c r="B379" s="893"/>
      <c r="C379" s="889"/>
      <c r="D379" s="889"/>
      <c r="E379" s="889"/>
      <c r="F379" s="889"/>
      <c r="G379" s="889"/>
      <c r="H379" s="889"/>
      <c r="I379" s="889"/>
      <c r="J379" s="889"/>
      <c r="K379" s="889"/>
      <c r="L379" s="889"/>
      <c r="M379" s="889"/>
      <c r="Q379" s="686"/>
    </row>
    <row r="380" spans="1:31" ht="14.1" customHeight="1">
      <c r="A380" s="2" t="s">
        <v>3383</v>
      </c>
      <c r="B380" s="4" t="s">
        <v>2436</v>
      </c>
      <c r="C380" s="4"/>
      <c r="D380" s="4"/>
      <c r="E380" s="889"/>
      <c r="G380" s="108" t="s">
        <v>655</v>
      </c>
      <c r="H380" s="889"/>
      <c r="I380" s="889"/>
      <c r="J380" s="889"/>
      <c r="K380" s="889"/>
      <c r="L380" s="889"/>
      <c r="M380" s="889"/>
      <c r="O380" s="101" t="s">
        <v>1731</v>
      </c>
      <c r="P380" s="3236"/>
      <c r="Q380" s="3346"/>
    </row>
    <row r="381" spans="1:31" ht="12" customHeight="1">
      <c r="A381" s="40" t="s">
        <v>1842</v>
      </c>
      <c r="B381" s="29" t="s">
        <v>2439</v>
      </c>
      <c r="D381" s="457"/>
      <c r="E381" s="457"/>
      <c r="O381" s="48" t="s">
        <v>1842</v>
      </c>
      <c r="P381" s="175" t="s">
        <v>2655</v>
      </c>
      <c r="Q381" s="419"/>
    </row>
    <row r="382" spans="1:31" ht="12" customHeight="1">
      <c r="A382" s="40" t="s">
        <v>1844</v>
      </c>
      <c r="B382" s="29" t="s">
        <v>3146</v>
      </c>
      <c r="D382" s="457"/>
      <c r="E382" s="457"/>
      <c r="O382" s="48" t="s">
        <v>1844</v>
      </c>
      <c r="P382" s="299" t="s">
        <v>2655</v>
      </c>
      <c r="Q382" s="420"/>
    </row>
    <row r="383" spans="1:31" ht="12" customHeight="1">
      <c r="A383" s="40" t="s">
        <v>698</v>
      </c>
      <c r="B383" s="29" t="s">
        <v>4036</v>
      </c>
      <c r="D383" s="457"/>
      <c r="E383" s="457"/>
      <c r="O383" s="48" t="s">
        <v>698</v>
      </c>
      <c r="P383" s="299" t="s">
        <v>2655</v>
      </c>
      <c r="Q383" s="420"/>
    </row>
    <row r="384" spans="1:31" ht="12" customHeight="1">
      <c r="A384" s="40" t="s">
        <v>1963</v>
      </c>
      <c r="B384" s="29" t="s">
        <v>3147</v>
      </c>
      <c r="E384" s="108"/>
      <c r="O384" s="48" t="s">
        <v>1963</v>
      </c>
      <c r="P384" s="299" t="s">
        <v>2655</v>
      </c>
      <c r="Q384" s="420"/>
    </row>
    <row r="385" spans="1:31" ht="12" customHeight="1">
      <c r="A385" s="40" t="s">
        <v>1613</v>
      </c>
      <c r="B385" s="29" t="s">
        <v>1929</v>
      </c>
      <c r="E385" s="108"/>
      <c r="G385" s="48" t="s">
        <v>1613</v>
      </c>
      <c r="H385" s="3394" t="s">
        <v>6946</v>
      </c>
      <c r="I385" s="3395"/>
      <c r="J385" s="3395"/>
      <c r="K385" s="3395"/>
      <c r="L385" s="3395"/>
      <c r="M385" s="3395"/>
      <c r="N385" s="3395"/>
      <c r="O385" s="3396"/>
      <c r="P385" s="176" t="s">
        <v>2652</v>
      </c>
      <c r="Q385" s="421"/>
    </row>
    <row r="386" spans="1:31" ht="11.25" customHeight="1">
      <c r="B386" s="109" t="s">
        <v>3243</v>
      </c>
      <c r="D386" s="109"/>
      <c r="E386" s="109"/>
      <c r="F386" s="109"/>
      <c r="G386" s="109"/>
      <c r="H386" s="33"/>
      <c r="I386" s="893"/>
      <c r="J386" s="893"/>
      <c r="K386" s="893"/>
      <c r="L386" s="686"/>
      <c r="M386" s="686"/>
      <c r="N386" s="686"/>
      <c r="O386" s="686"/>
      <c r="P386" s="686"/>
      <c r="Q386" s="686"/>
    </row>
    <row r="387" spans="1:31" ht="25.5" customHeight="1">
      <c r="A387" s="3215" t="s">
        <v>6990</v>
      </c>
      <c r="B387" s="3216"/>
      <c r="C387" s="3216"/>
      <c r="D387" s="3216"/>
      <c r="E387" s="3216"/>
      <c r="F387" s="3216"/>
      <c r="G387" s="3216"/>
      <c r="H387" s="3216"/>
      <c r="I387" s="3216"/>
      <c r="J387" s="3216"/>
      <c r="K387" s="3216"/>
      <c r="L387" s="3216"/>
      <c r="M387" s="3216"/>
      <c r="N387" s="3216"/>
      <c r="O387" s="3216"/>
      <c r="P387" s="3216"/>
      <c r="Q387" s="3217"/>
      <c r="U387" s="104"/>
      <c r="V387" s="104"/>
      <c r="W387" s="104"/>
      <c r="X387" s="104"/>
      <c r="Y387" s="104"/>
      <c r="Z387" s="104"/>
      <c r="AA387" s="104"/>
      <c r="AB387" s="104"/>
      <c r="AC387" s="104"/>
      <c r="AD387" s="104"/>
      <c r="AE387" s="104"/>
    </row>
    <row r="388" spans="1:31" ht="11.25" customHeight="1">
      <c r="B388" s="105" t="s">
        <v>1730</v>
      </c>
      <c r="C388" s="106"/>
      <c r="D388" s="889"/>
      <c r="E388" s="889"/>
      <c r="F388" s="889"/>
      <c r="G388" s="889"/>
      <c r="H388" s="889"/>
      <c r="I388" s="889"/>
      <c r="J388" s="889"/>
      <c r="K388" s="889"/>
      <c r="L388" s="889"/>
      <c r="M388" s="889"/>
      <c r="N388" s="889"/>
      <c r="O388" s="889"/>
      <c r="P388" s="889"/>
      <c r="Q388" s="889"/>
    </row>
    <row r="389" spans="1:31" ht="11.45" customHeight="1">
      <c r="A389" s="3219"/>
      <c r="B389" s="3220"/>
      <c r="C389" s="3220"/>
      <c r="D389" s="3220"/>
      <c r="E389" s="3220"/>
      <c r="F389" s="3220"/>
      <c r="G389" s="3220"/>
      <c r="H389" s="3220"/>
      <c r="I389" s="3220"/>
      <c r="J389" s="3220"/>
      <c r="K389" s="3220"/>
      <c r="L389" s="3220"/>
      <c r="M389" s="3220"/>
      <c r="N389" s="3220"/>
      <c r="O389" s="3220"/>
      <c r="P389" s="3220"/>
      <c r="Q389" s="3221"/>
    </row>
    <row r="390" spans="1:31" ht="3" customHeight="1">
      <c r="A390" s="686"/>
      <c r="B390" s="893"/>
      <c r="C390" s="889"/>
      <c r="D390" s="889"/>
      <c r="E390" s="889"/>
      <c r="F390" s="889"/>
      <c r="G390" s="889"/>
      <c r="H390" s="889"/>
      <c r="I390" s="889"/>
      <c r="J390" s="889"/>
      <c r="K390" s="889"/>
      <c r="L390" s="889"/>
      <c r="M390" s="889"/>
      <c r="N390" s="889"/>
      <c r="O390" s="889"/>
      <c r="P390" s="889"/>
      <c r="Q390" s="686"/>
    </row>
    <row r="391" spans="1:31" ht="14.1" customHeight="1">
      <c r="A391" s="2" t="s">
        <v>3384</v>
      </c>
      <c r="B391" s="4" t="s">
        <v>3944</v>
      </c>
      <c r="C391" s="4"/>
      <c r="D391" s="4"/>
      <c r="E391" s="4"/>
      <c r="F391" s="4"/>
      <c r="G391" s="4"/>
      <c r="H391" s="889"/>
      <c r="I391" s="889"/>
      <c r="J391" s="889"/>
      <c r="K391" s="889"/>
      <c r="L391" s="889"/>
      <c r="M391" s="889"/>
      <c r="O391" s="101" t="s">
        <v>1731</v>
      </c>
      <c r="P391" s="3370"/>
      <c r="Q391" s="3371"/>
    </row>
    <row r="392" spans="1:31" ht="12" customHeight="1">
      <c r="B392" s="44" t="s">
        <v>6259</v>
      </c>
      <c r="O392" s="49"/>
      <c r="P392" s="373" t="s">
        <v>2652</v>
      </c>
      <c r="Q392" s="418"/>
    </row>
    <row r="393" spans="1:31" ht="12" customHeight="1">
      <c r="A393" s="40" t="s">
        <v>1842</v>
      </c>
      <c r="B393" s="66" t="s">
        <v>3943</v>
      </c>
      <c r="D393" s="35"/>
      <c r="E393" s="35"/>
      <c r="F393" s="35"/>
      <c r="G393" s="35"/>
      <c r="H393" s="35"/>
      <c r="I393" s="35"/>
      <c r="J393" s="35"/>
      <c r="K393" s="35"/>
      <c r="L393" s="35"/>
      <c r="M393" s="35"/>
      <c r="N393" s="35"/>
      <c r="O393" s="35"/>
      <c r="P393" s="35"/>
      <c r="Q393" s="35"/>
    </row>
    <row r="394" spans="1:31" ht="12" customHeight="1">
      <c r="A394" s="40"/>
      <c r="B394" s="1318" t="s">
        <v>1845</v>
      </c>
      <c r="C394" s="44" t="s">
        <v>701</v>
      </c>
      <c r="D394" s="35"/>
      <c r="E394" s="35"/>
      <c r="F394" s="35"/>
      <c r="G394" s="35"/>
      <c r="H394" s="35"/>
      <c r="I394" s="35"/>
      <c r="J394" s="35"/>
      <c r="K394" s="35"/>
      <c r="L394" s="35"/>
      <c r="M394" s="35"/>
      <c r="N394" s="35"/>
      <c r="O394" s="48">
        <v>1</v>
      </c>
      <c r="P394" s="1760" t="s">
        <v>2655</v>
      </c>
      <c r="Q394" s="1761"/>
    </row>
    <row r="395" spans="1:31" ht="12" customHeight="1">
      <c r="B395" s="29"/>
      <c r="C395" s="29" t="s">
        <v>4037</v>
      </c>
      <c r="D395" s="44" t="s">
        <v>4038</v>
      </c>
      <c r="E395" s="35"/>
      <c r="F395" s="35"/>
      <c r="G395" s="35"/>
      <c r="H395" s="35"/>
      <c r="I395" s="35"/>
      <c r="J395" s="35"/>
      <c r="K395" s="35"/>
      <c r="L395" s="35"/>
      <c r="M395" s="35"/>
      <c r="N395" s="35"/>
      <c r="O395" s="48" t="s">
        <v>4037</v>
      </c>
      <c r="P395" s="3318" t="s">
        <v>2655</v>
      </c>
      <c r="Q395" s="3316"/>
    </row>
    <row r="396" spans="1:31" ht="12" customHeight="1">
      <c r="A396" s="40"/>
      <c r="D396" s="29" t="s">
        <v>6508</v>
      </c>
      <c r="E396" s="29"/>
      <c r="F396" s="29"/>
      <c r="G396" s="29"/>
      <c r="H396" s="29"/>
      <c r="I396" s="29"/>
      <c r="J396" s="29"/>
      <c r="K396" s="29"/>
      <c r="L396" s="29"/>
      <c r="M396" s="29"/>
      <c r="N396" s="35"/>
      <c r="O396" s="1400"/>
      <c r="P396" s="3319"/>
      <c r="Q396" s="3317"/>
    </row>
    <row r="397" spans="1:31" ht="12" customHeight="1">
      <c r="C397" s="29" t="s">
        <v>2242</v>
      </c>
      <c r="D397" s="29" t="s">
        <v>3086</v>
      </c>
      <c r="E397" s="29"/>
      <c r="F397" s="29"/>
      <c r="G397" s="29"/>
      <c r="H397" s="29"/>
      <c r="I397" s="29"/>
      <c r="J397" s="29"/>
      <c r="K397" s="29"/>
      <c r="L397" s="29"/>
      <c r="M397" s="29"/>
      <c r="N397" s="35"/>
      <c r="O397" s="48" t="s">
        <v>2242</v>
      </c>
      <c r="P397" s="794" t="s">
        <v>2655</v>
      </c>
      <c r="Q397" s="720"/>
    </row>
    <row r="398" spans="1:31" s="115" customFormat="1" ht="12" customHeight="1">
      <c r="A398" s="40"/>
      <c r="C398" s="29" t="s">
        <v>3947</v>
      </c>
      <c r="D398" s="29" t="s">
        <v>3143</v>
      </c>
      <c r="E398" s="29"/>
      <c r="F398" s="29"/>
      <c r="G398" s="29"/>
      <c r="H398" s="29"/>
      <c r="I398" s="29"/>
      <c r="J398" s="29"/>
      <c r="K398" s="29"/>
      <c r="L398" s="29"/>
      <c r="M398" s="29"/>
      <c r="N398" s="72"/>
      <c r="O398" s="48" t="s">
        <v>2243</v>
      </c>
      <c r="P398" s="1762" t="s">
        <v>2655</v>
      </c>
      <c r="Q398" s="687"/>
    </row>
    <row r="399" spans="1:31" ht="12" customHeight="1">
      <c r="A399" s="40"/>
      <c r="B399" s="1318" t="s">
        <v>1847</v>
      </c>
      <c r="C399" s="29" t="s">
        <v>2042</v>
      </c>
      <c r="E399" s="29"/>
      <c r="F399" s="29"/>
      <c r="G399" s="29"/>
      <c r="H399" s="29"/>
      <c r="I399" s="29"/>
      <c r="J399" s="29"/>
      <c r="K399" s="29"/>
      <c r="L399" s="29"/>
      <c r="M399" s="29"/>
      <c r="N399" s="29"/>
      <c r="O399" s="48">
        <v>2</v>
      </c>
      <c r="P399" s="74" t="s">
        <v>2655</v>
      </c>
      <c r="Q399" s="417"/>
    </row>
    <row r="400" spans="1:31" ht="12" customHeight="1">
      <c r="A400" s="40"/>
      <c r="B400" s="1318" t="s">
        <v>2333</v>
      </c>
      <c r="C400" s="3218" t="s">
        <v>6159</v>
      </c>
      <c r="D400" s="3218"/>
      <c r="E400" s="3218"/>
      <c r="F400" s="3218"/>
      <c r="G400" s="29" t="s">
        <v>3948</v>
      </c>
      <c r="J400" s="718">
        <v>0</v>
      </c>
      <c r="K400" s="426"/>
      <c r="M400" s="29" t="s">
        <v>6233</v>
      </c>
      <c r="P400" s="1763">
        <v>0</v>
      </c>
      <c r="Q400" s="1764"/>
    </row>
    <row r="401" spans="1:44" ht="12" customHeight="1">
      <c r="A401" s="40"/>
      <c r="C401" s="3218"/>
      <c r="D401" s="3218"/>
      <c r="E401" s="3218"/>
      <c r="F401" s="3218"/>
      <c r="G401" s="29" t="s">
        <v>6232</v>
      </c>
      <c r="J401" s="719">
        <v>0</v>
      </c>
      <c r="K401" s="427"/>
      <c r="M401" s="29" t="s">
        <v>6234</v>
      </c>
      <c r="P401" s="719">
        <v>0</v>
      </c>
      <c r="Q401" s="427"/>
    </row>
    <row r="402" spans="1:44" ht="8.25" customHeight="1">
      <c r="A402" s="40"/>
      <c r="C402" s="3218"/>
      <c r="D402" s="3218"/>
      <c r="E402" s="3218"/>
      <c r="F402" s="3218"/>
      <c r="J402" s="1535"/>
      <c r="L402" s="33"/>
      <c r="M402" s="35"/>
      <c r="N402" s="48"/>
    </row>
    <row r="403" spans="1:44" s="72" customFormat="1" ht="12.75" customHeight="1">
      <c r="A403" s="107"/>
      <c r="B403" s="153"/>
      <c r="D403" s="894"/>
      <c r="E403" s="894"/>
      <c r="F403" s="894"/>
      <c r="G403" s="894"/>
      <c r="H403" s="894"/>
      <c r="I403" s="3277" t="s">
        <v>6189</v>
      </c>
      <c r="J403" s="3277" t="s">
        <v>6190</v>
      </c>
      <c r="K403" s="3277" t="s">
        <v>6192</v>
      </c>
      <c r="L403" s="3277"/>
      <c r="M403" s="3277"/>
      <c r="N403" s="3358" t="s">
        <v>6191</v>
      </c>
      <c r="O403" s="48"/>
      <c r="P403" s="3210" t="s">
        <v>6703</v>
      </c>
      <c r="Q403" s="3210"/>
      <c r="S403" s="1420"/>
      <c r="T403" s="1420"/>
      <c r="U403" s="1420"/>
      <c r="V403" s="1420"/>
      <c r="W403" s="1420"/>
      <c r="X403" s="1420"/>
      <c r="Y403" s="1420"/>
      <c r="Z403" s="1420"/>
      <c r="AA403" s="1420"/>
      <c r="AB403" s="1420"/>
      <c r="AC403" s="1420"/>
      <c r="AD403" s="1420"/>
      <c r="AE403" s="1420"/>
      <c r="AF403" s="1420"/>
      <c r="AG403" s="1420"/>
      <c r="AH403" s="1420"/>
      <c r="AI403" s="1420"/>
      <c r="AJ403" s="1420"/>
      <c r="AK403" s="1420"/>
      <c r="AL403" s="1420"/>
      <c r="AM403" s="1420"/>
      <c r="AN403" s="1420"/>
      <c r="AO403" s="1420"/>
      <c r="AP403" s="1420"/>
      <c r="AQ403" s="1420"/>
      <c r="AR403" s="1420"/>
    </row>
    <row r="404" spans="1:44" s="72" customFormat="1" ht="12.75" customHeight="1">
      <c r="A404" s="107"/>
      <c r="B404" s="153"/>
      <c r="D404" s="894"/>
      <c r="E404" s="894"/>
      <c r="F404" s="894"/>
      <c r="G404" s="894"/>
      <c r="H404" s="894"/>
      <c r="I404" s="3278"/>
      <c r="J404" s="3277"/>
      <c r="K404" s="3277"/>
      <c r="L404" s="3277"/>
      <c r="M404" s="3277"/>
      <c r="N404" s="3359"/>
      <c r="O404" s="48"/>
      <c r="P404" s="3211"/>
      <c r="Q404" s="3211"/>
      <c r="S404" s="1420"/>
      <c r="T404" s="1420"/>
      <c r="U404" s="1420"/>
      <c r="V404" s="1420"/>
      <c r="W404" s="1420"/>
      <c r="X404" s="1420"/>
      <c r="Y404" s="1420"/>
      <c r="Z404" s="1420"/>
      <c r="AA404" s="1420"/>
      <c r="AB404" s="1420"/>
      <c r="AC404" s="1420"/>
      <c r="AD404" s="1420"/>
      <c r="AE404" s="1420"/>
      <c r="AF404" s="1420"/>
      <c r="AG404" s="1420"/>
      <c r="AH404" s="1420"/>
      <c r="AI404" s="1420"/>
      <c r="AJ404" s="1420"/>
      <c r="AK404" s="1420"/>
      <c r="AL404" s="1420"/>
      <c r="AM404" s="1420"/>
      <c r="AN404" s="1420"/>
      <c r="AO404" s="1420"/>
      <c r="AP404" s="1420"/>
      <c r="AQ404" s="1420"/>
      <c r="AR404" s="1420"/>
    </row>
    <row r="405" spans="1:44" s="72" customFormat="1" ht="12.75" customHeight="1">
      <c r="A405" s="151"/>
      <c r="B405" s="1222"/>
      <c r="C405" s="3218" t="s">
        <v>6303</v>
      </c>
      <c r="D405" s="3218"/>
      <c r="E405" s="3218"/>
      <c r="F405" s="3218"/>
      <c r="G405" s="3218"/>
      <c r="H405" s="3218"/>
      <c r="I405" s="365">
        <f>K290</f>
        <v>6</v>
      </c>
      <c r="J405" s="1765">
        <v>6</v>
      </c>
      <c r="K405" s="3360">
        <v>6</v>
      </c>
      <c r="L405" s="3360"/>
      <c r="M405" s="3361"/>
      <c r="N405" s="1593">
        <f>MAX(J405,K405)</f>
        <v>6</v>
      </c>
      <c r="O405" s="48" t="s">
        <v>2245</v>
      </c>
      <c r="P405" s="373" t="s">
        <v>2652</v>
      </c>
      <c r="Q405" s="418"/>
      <c r="S405" s="1420"/>
      <c r="T405" s="1420"/>
      <c r="U405" s="1420"/>
      <c r="V405" s="1420"/>
      <c r="W405" s="1420"/>
      <c r="X405" s="1420"/>
      <c r="Y405" s="1420"/>
      <c r="Z405" s="1420"/>
      <c r="AA405" s="1420"/>
      <c r="AB405" s="1420"/>
      <c r="AC405" s="1420"/>
      <c r="AD405" s="1420"/>
      <c r="AE405" s="1420"/>
      <c r="AF405" s="1420"/>
      <c r="AG405" s="1420"/>
      <c r="AH405" s="1420"/>
      <c r="AI405" s="1420"/>
      <c r="AJ405" s="1420"/>
      <c r="AK405" s="1420"/>
      <c r="AL405" s="1420"/>
      <c r="AM405" s="1420"/>
      <c r="AN405" s="1420"/>
      <c r="AO405" s="1420"/>
      <c r="AP405" s="1420"/>
      <c r="AQ405" s="1420"/>
      <c r="AR405" s="1420"/>
    </row>
    <row r="406" spans="1:44" s="144" customFormat="1" ht="12.75" customHeight="1">
      <c r="A406" s="249"/>
      <c r="B406" s="246"/>
      <c r="C406" s="3218"/>
      <c r="D406" s="3218"/>
      <c r="E406" s="3218"/>
      <c r="F406" s="3218"/>
      <c r="G406" s="3218"/>
      <c r="H406" s="3218"/>
      <c r="I406" s="248"/>
      <c r="J406" s="1766"/>
      <c r="K406" s="3362"/>
      <c r="L406" s="3362"/>
      <c r="M406" s="3363"/>
      <c r="N406" s="159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4"/>
      <c r="N407" s="1594"/>
      <c r="O407" s="48"/>
      <c r="S407" s="261"/>
      <c r="T407" s="261"/>
      <c r="U407" s="261"/>
      <c r="V407" s="1421"/>
      <c r="W407" s="261"/>
      <c r="X407" s="1421"/>
      <c r="Y407" s="261"/>
      <c r="Z407" s="1422" t="str">
        <f t="shared" ref="Z407:AG407" si="3">IF(AA407="","",IF(AA407&lt;AC407,"Check!!!",""))</f>
        <v/>
      </c>
      <c r="AA407" s="1422" t="str">
        <f t="shared" si="3"/>
        <v/>
      </c>
      <c r="AB407" s="1422" t="str">
        <f t="shared" si="3"/>
        <v/>
      </c>
      <c r="AC407" s="1422" t="str">
        <f t="shared" si="3"/>
        <v/>
      </c>
      <c r="AD407" s="1422" t="str">
        <f t="shared" si="3"/>
        <v/>
      </c>
      <c r="AE407" s="1422" t="str">
        <f t="shared" si="3"/>
        <v/>
      </c>
      <c r="AF407" s="1422" t="str">
        <f t="shared" si="3"/>
        <v/>
      </c>
      <c r="AG407" s="1422" t="str">
        <f t="shared" si="3"/>
        <v/>
      </c>
      <c r="AH407" s="261"/>
      <c r="AI407" s="261"/>
      <c r="AJ407" s="261"/>
      <c r="AK407" s="261"/>
      <c r="AL407" s="261"/>
      <c r="AM407" s="261"/>
      <c r="AN407" s="261"/>
      <c r="AO407" s="261"/>
      <c r="AP407" s="261"/>
      <c r="AQ407" s="261"/>
      <c r="AR407" s="261"/>
    </row>
    <row r="408" spans="1:44" s="72" customFormat="1" ht="12.75" customHeight="1">
      <c r="A408" s="110"/>
      <c r="B408" s="1222"/>
      <c r="D408" s="108" t="s">
        <v>6193</v>
      </c>
      <c r="E408" s="108"/>
      <c r="F408" s="108"/>
      <c r="G408" s="108"/>
      <c r="H408" s="108"/>
      <c r="I408" s="365">
        <f>K291</f>
        <v>6</v>
      </c>
      <c r="J408" s="1765">
        <v>6</v>
      </c>
      <c r="K408" s="3360">
        <v>6</v>
      </c>
      <c r="L408" s="3360"/>
      <c r="M408" s="3361"/>
      <c r="N408" s="1593">
        <f>MAX(J408,K408)</f>
        <v>6</v>
      </c>
      <c r="O408" s="48"/>
      <c r="P408" s="907" t="s">
        <v>2652</v>
      </c>
      <c r="Q408" s="1319"/>
      <c r="S408" s="1420"/>
      <c r="T408" s="1423"/>
      <c r="U408" s="1423"/>
      <c r="V408" s="1423"/>
      <c r="W408" s="1423"/>
      <c r="X408" s="1423"/>
      <c r="Y408" s="1423"/>
      <c r="Z408" s="1423"/>
      <c r="AA408" s="1423"/>
      <c r="AB408" s="1423"/>
      <c r="AC408" s="1423"/>
      <c r="AD408" s="1423"/>
      <c r="AE408" s="1423"/>
      <c r="AF408" s="1423"/>
      <c r="AG408" s="1423"/>
      <c r="AH408" s="1420"/>
      <c r="AI408" s="1420"/>
      <c r="AJ408" s="1420"/>
      <c r="AK408" s="1420"/>
      <c r="AL408" s="1420"/>
      <c r="AM408" s="1420"/>
      <c r="AN408" s="1420"/>
      <c r="AO408" s="1420"/>
      <c r="AP408" s="1420"/>
      <c r="AQ408" s="1420"/>
      <c r="AR408" s="1420"/>
    </row>
    <row r="409" spans="1:44" s="144" customFormat="1" ht="12.75" customHeight="1">
      <c r="A409" s="249"/>
      <c r="B409" s="246"/>
      <c r="C409" s="457"/>
      <c r="D409" s="108"/>
      <c r="E409" s="108"/>
      <c r="F409" s="108"/>
      <c r="G409" s="108"/>
      <c r="H409" s="108"/>
      <c r="J409" s="1766"/>
      <c r="K409" s="3362"/>
      <c r="L409" s="3362"/>
      <c r="M409" s="3363"/>
      <c r="N409" s="1593">
        <f>MAX(J409,K409)</f>
        <v>0</v>
      </c>
      <c r="O409" s="33"/>
      <c r="P409" s="33"/>
      <c r="Q409" s="33"/>
      <c r="S409" s="261"/>
      <c r="T409" s="261"/>
      <c r="U409" s="261"/>
      <c r="V409" s="1421"/>
      <c r="W409" s="1424"/>
      <c r="X409" s="1421"/>
      <c r="Y409" s="261"/>
      <c r="Z409" s="1422" t="str">
        <f t="shared" ref="Z409:AG409" si="4">IF(AA409="","",IF(AA409&lt;AC409,"Check!!!",""))</f>
        <v/>
      </c>
      <c r="AA409" s="1422" t="str">
        <f t="shared" si="4"/>
        <v/>
      </c>
      <c r="AB409" s="1422" t="str">
        <f t="shared" si="4"/>
        <v/>
      </c>
      <c r="AC409" s="1422" t="str">
        <f t="shared" si="4"/>
        <v/>
      </c>
      <c r="AD409" s="1422" t="str">
        <f t="shared" si="4"/>
        <v/>
      </c>
      <c r="AE409" s="1422" t="str">
        <f t="shared" si="4"/>
        <v/>
      </c>
      <c r="AF409" s="1422" t="str">
        <f t="shared" si="4"/>
        <v/>
      </c>
      <c r="AG409" s="1422"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4"/>
      <c r="N410" s="1594"/>
      <c r="O410" s="33"/>
      <c r="P410" s="33"/>
      <c r="Q410" s="33"/>
      <c r="S410" s="261"/>
      <c r="T410" s="261"/>
      <c r="U410" s="261"/>
      <c r="V410" s="1421"/>
      <c r="W410" s="1424"/>
      <c r="X410" s="1421"/>
      <c r="Y410" s="261"/>
      <c r="Z410" s="1422"/>
      <c r="AA410" s="1422"/>
      <c r="AB410" s="1422"/>
      <c r="AC410" s="1422"/>
      <c r="AD410" s="1422"/>
      <c r="AE410" s="1422"/>
      <c r="AF410" s="1422"/>
      <c r="AG410" s="1422"/>
      <c r="AH410" s="261"/>
      <c r="AI410" s="261"/>
      <c r="AJ410" s="261"/>
      <c r="AK410" s="261"/>
      <c r="AL410" s="261"/>
      <c r="AM410" s="261"/>
      <c r="AN410" s="261"/>
      <c r="AO410" s="261"/>
      <c r="AP410" s="261"/>
      <c r="AQ410" s="261"/>
      <c r="AR410" s="261"/>
    </row>
    <row r="411" spans="1:44" s="72" customFormat="1" ht="12.75" customHeight="1">
      <c r="A411" s="40"/>
      <c r="B411" s="113"/>
      <c r="C411" s="3218" t="s">
        <v>6304</v>
      </c>
      <c r="D411" s="3218"/>
      <c r="E411" s="3218"/>
      <c r="F411" s="3218"/>
      <c r="G411" s="3218"/>
      <c r="H411" s="3218"/>
      <c r="I411" s="365">
        <f>K293</f>
        <v>3</v>
      </c>
      <c r="J411" s="1765">
        <v>3</v>
      </c>
      <c r="K411" s="3360">
        <v>3</v>
      </c>
      <c r="L411" s="3360"/>
      <c r="M411" s="3361"/>
      <c r="N411" s="1593">
        <f>MAX(J411,K411)</f>
        <v>3</v>
      </c>
      <c r="O411" s="48" t="s">
        <v>2261</v>
      </c>
      <c r="P411" s="373" t="s">
        <v>2652</v>
      </c>
      <c r="Q411" s="418"/>
      <c r="S411" s="1420"/>
      <c r="T411" s="1421"/>
      <c r="U411" s="1421"/>
      <c r="V411" s="1421"/>
      <c r="W411" s="1421"/>
      <c r="X411" s="1421"/>
      <c r="Y411" s="1421"/>
      <c r="Z411" s="1421"/>
      <c r="AA411" s="1421"/>
      <c r="AB411" s="1421"/>
      <c r="AC411" s="1421"/>
      <c r="AD411" s="1421"/>
      <c r="AE411" s="1421"/>
      <c r="AF411" s="1421"/>
      <c r="AG411" s="1421"/>
      <c r="AH411" s="1420"/>
      <c r="AI411" s="1420"/>
      <c r="AJ411" s="1420"/>
      <c r="AK411" s="1420"/>
      <c r="AL411" s="1420"/>
      <c r="AM411" s="1420"/>
      <c r="AN411" s="1420"/>
      <c r="AO411" s="1420"/>
      <c r="AP411" s="1420"/>
      <c r="AQ411" s="1420"/>
      <c r="AR411" s="1420"/>
    </row>
    <row r="412" spans="1:44" s="144" customFormat="1" ht="12.75" customHeight="1">
      <c r="A412" s="249"/>
      <c r="C412" s="3218"/>
      <c r="D412" s="3218"/>
      <c r="E412" s="3218"/>
      <c r="F412" s="3218"/>
      <c r="G412" s="3218"/>
      <c r="H412" s="3218"/>
      <c r="J412" s="1766"/>
      <c r="K412" s="3362"/>
      <c r="L412" s="3362"/>
      <c r="M412" s="3363"/>
      <c r="N412" s="1593">
        <f>MAX(J412,K412)</f>
        <v>0</v>
      </c>
      <c r="O412" s="29"/>
      <c r="P412" s="893"/>
      <c r="Q412" s="29"/>
      <c r="S412" s="261"/>
      <c r="T412" s="1421"/>
      <c r="U412" s="1424"/>
      <c r="V412" s="1421"/>
      <c r="W412" s="1424"/>
      <c r="X412" s="1421"/>
      <c r="Y412" s="1421"/>
      <c r="Z412" s="1421"/>
      <c r="AA412" s="1421"/>
      <c r="AB412" s="1421"/>
      <c r="AC412" s="1421"/>
      <c r="AD412" s="1421"/>
      <c r="AE412" s="1421"/>
      <c r="AF412" s="1421"/>
      <c r="AG412" s="1421"/>
      <c r="AH412" s="261"/>
      <c r="AI412" s="261"/>
      <c r="AJ412" s="261"/>
      <c r="AK412" s="261"/>
      <c r="AL412" s="261"/>
      <c r="AM412" s="261"/>
      <c r="AN412" s="261"/>
      <c r="AO412" s="261"/>
      <c r="AP412" s="261"/>
      <c r="AQ412" s="261"/>
      <c r="AR412" s="261"/>
    </row>
    <row r="413" spans="1:44" s="144" customFormat="1" ht="3" customHeight="1">
      <c r="A413" s="249"/>
      <c r="C413" s="889"/>
      <c r="D413" s="889"/>
      <c r="E413" s="889"/>
      <c r="F413" s="889"/>
      <c r="G413" s="889"/>
      <c r="H413" s="889"/>
      <c r="O413" s="33"/>
      <c r="P413" s="48"/>
      <c r="S413" s="261"/>
      <c r="T413" s="261"/>
      <c r="U413" s="261"/>
      <c r="V413" s="1421"/>
      <c r="W413" s="1424"/>
      <c r="X413" s="1421"/>
      <c r="Y413" s="261"/>
      <c r="Z413" s="1422"/>
      <c r="AA413" s="1422"/>
      <c r="AB413" s="1422"/>
      <c r="AC413" s="1422"/>
      <c r="AD413" s="1422"/>
      <c r="AE413" s="1422"/>
      <c r="AF413" s="1422"/>
      <c r="AG413" s="1422"/>
      <c r="AH413" s="261"/>
      <c r="AI413" s="261"/>
      <c r="AJ413" s="261"/>
      <c r="AK413" s="261"/>
      <c r="AL413" s="261"/>
      <c r="AM413" s="261"/>
      <c r="AN413" s="261"/>
      <c r="AO413" s="261"/>
      <c r="AP413" s="261"/>
      <c r="AQ413" s="261"/>
      <c r="AR413" s="261"/>
    </row>
    <row r="414" spans="1:44" ht="12" customHeight="1">
      <c r="A414" s="40"/>
      <c r="B414" s="1318" t="s">
        <v>1151</v>
      </c>
      <c r="C414" s="33" t="s">
        <v>3840</v>
      </c>
      <c r="E414" s="33"/>
      <c r="F414" s="33"/>
      <c r="G414" s="33"/>
      <c r="J414" s="35"/>
      <c r="K414" s="33"/>
      <c r="L414" s="33"/>
      <c r="M414" s="35"/>
      <c r="N414" s="48"/>
      <c r="P414" s="48"/>
      <c r="Q414" s="48"/>
    </row>
    <row r="415" spans="1:44" ht="12" customHeight="1">
      <c r="A415" s="40"/>
      <c r="B415" s="44"/>
      <c r="C415" s="33" t="s">
        <v>6236</v>
      </c>
      <c r="D415" s="115"/>
      <c r="E415" s="33"/>
      <c r="F415" s="33"/>
      <c r="L415" s="33"/>
      <c r="M415" s="33"/>
      <c r="O415" s="48" t="s">
        <v>2241</v>
      </c>
      <c r="P415" s="373" t="s">
        <v>2892</v>
      </c>
      <c r="Q415" s="418" t="s">
        <v>1647</v>
      </c>
    </row>
    <row r="416" spans="1:44" ht="12" customHeight="1">
      <c r="A416" s="35"/>
      <c r="B416" s="115"/>
      <c r="D416" s="3393" t="s">
        <v>6237</v>
      </c>
      <c r="E416" s="352" t="s">
        <v>2264</v>
      </c>
      <c r="F416" s="44" t="s">
        <v>3291</v>
      </c>
      <c r="G416" s="3372" t="s">
        <v>7013</v>
      </c>
      <c r="H416" s="3373"/>
      <c r="I416" s="3373"/>
      <c r="J416" s="3373"/>
      <c r="K416" s="3374"/>
      <c r="L416" s="352"/>
    </row>
    <row r="417" spans="1:31" ht="12" customHeight="1">
      <c r="B417" s="115"/>
      <c r="D417" s="3393"/>
      <c r="E417" s="352" t="s">
        <v>3945</v>
      </c>
      <c r="F417" s="44" t="s">
        <v>3946</v>
      </c>
      <c r="G417" s="3347" t="s">
        <v>7015</v>
      </c>
      <c r="H417" s="3348"/>
      <c r="I417" s="3349"/>
      <c r="J417" s="44" t="s">
        <v>3807</v>
      </c>
      <c r="K417" s="115"/>
      <c r="M417" s="3372"/>
      <c r="N417" s="3373"/>
      <c r="O417" s="3373"/>
      <c r="P417" s="3373"/>
      <c r="Q417" s="3374"/>
    </row>
    <row r="418" spans="1:31" ht="12" customHeight="1">
      <c r="A418" s="35"/>
      <c r="B418" s="115"/>
      <c r="C418" s="44" t="s">
        <v>6235</v>
      </c>
      <c r="D418" s="115"/>
      <c r="E418" s="33"/>
      <c r="F418" s="33"/>
      <c r="G418" s="33"/>
      <c r="H418" s="33"/>
      <c r="I418" s="33"/>
      <c r="J418" s="33"/>
      <c r="K418" s="33"/>
      <c r="L418" s="33"/>
      <c r="M418" s="33"/>
      <c r="N418" s="33"/>
      <c r="O418" s="33"/>
      <c r="P418" s="33"/>
      <c r="Q418" s="33"/>
    </row>
    <row r="419" spans="1:31" ht="49.5" customHeight="1">
      <c r="B419" s="3364" t="s">
        <v>7014</v>
      </c>
      <c r="C419" s="3365"/>
      <c r="D419" s="3365"/>
      <c r="E419" s="3365"/>
      <c r="F419" s="3365"/>
      <c r="G419" s="3365"/>
      <c r="H419" s="3365"/>
      <c r="I419" s="3365"/>
      <c r="J419" s="3365"/>
      <c r="K419" s="3365"/>
      <c r="L419" s="3365"/>
      <c r="M419" s="3365"/>
      <c r="N419" s="3365"/>
      <c r="O419" s="3365"/>
      <c r="P419" s="3365"/>
      <c r="Q419" s="3366"/>
      <c r="R419" s="354" t="s">
        <v>3806</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1844</v>
      </c>
      <c r="B421" s="3392" t="s">
        <v>4039</v>
      </c>
      <c r="C421" s="3218"/>
      <c r="D421" s="3218"/>
      <c r="E421" s="3218"/>
      <c r="F421" s="3218"/>
      <c r="G421" s="3218"/>
      <c r="H421" s="3218"/>
      <c r="I421" s="3218"/>
      <c r="J421" s="3218"/>
      <c r="K421" s="3218"/>
      <c r="L421" s="3218"/>
      <c r="M421" s="3218"/>
      <c r="N421" s="3218"/>
    </row>
    <row r="422" spans="1:31" s="115" customFormat="1" ht="45" customHeight="1">
      <c r="B422" s="3218" t="s">
        <v>6552</v>
      </c>
      <c r="C422" s="3218"/>
      <c r="D422" s="3218"/>
      <c r="E422" s="3218"/>
      <c r="F422" s="3218"/>
      <c r="G422" s="3218"/>
      <c r="H422" s="3218"/>
      <c r="I422" s="3218"/>
      <c r="J422" s="3218"/>
      <c r="K422" s="3218"/>
      <c r="L422" s="3218"/>
      <c r="M422" s="3218"/>
      <c r="N422" s="3218"/>
      <c r="O422" s="128" t="s">
        <v>1844</v>
      </c>
      <c r="P422" s="907" t="s">
        <v>6933</v>
      </c>
      <c r="Q422" s="908"/>
    </row>
    <row r="423" spans="1:31" ht="12" customHeight="1">
      <c r="B423" s="109" t="s">
        <v>3243</v>
      </c>
      <c r="D423" s="109"/>
      <c r="E423" s="109"/>
      <c r="F423" s="109"/>
      <c r="G423" s="109"/>
      <c r="H423" s="33"/>
      <c r="I423" s="893"/>
      <c r="J423" s="893"/>
      <c r="K423" s="893"/>
    </row>
    <row r="424" spans="1:31" ht="33.6" customHeight="1">
      <c r="A424" s="3215" t="s">
        <v>6979</v>
      </c>
      <c r="B424" s="3216"/>
      <c r="C424" s="3216"/>
      <c r="D424" s="3216"/>
      <c r="E424" s="3216"/>
      <c r="F424" s="3216"/>
      <c r="G424" s="3216"/>
      <c r="H424" s="3216"/>
      <c r="I424" s="3216"/>
      <c r="J424" s="3216"/>
      <c r="K424" s="3216"/>
      <c r="L424" s="3216"/>
      <c r="M424" s="3216"/>
      <c r="N424" s="3216"/>
      <c r="O424" s="3216"/>
      <c r="P424" s="3216"/>
      <c r="Q424" s="3217"/>
      <c r="U424" s="104"/>
      <c r="V424" s="104"/>
      <c r="W424" s="104"/>
      <c r="X424" s="104"/>
      <c r="Y424" s="104"/>
      <c r="Z424" s="104"/>
      <c r="AA424" s="104"/>
      <c r="AB424" s="104"/>
      <c r="AC424" s="104"/>
      <c r="AD424" s="104"/>
      <c r="AE424" s="104"/>
    </row>
    <row r="425" spans="1:31" ht="12" customHeight="1">
      <c r="B425" s="105" t="s">
        <v>1730</v>
      </c>
      <c r="C425" s="106"/>
      <c r="D425" s="889"/>
      <c r="E425" s="889"/>
      <c r="F425" s="889"/>
      <c r="G425" s="889"/>
      <c r="H425" s="889"/>
      <c r="I425" s="889"/>
      <c r="J425" s="889"/>
      <c r="K425" s="889"/>
      <c r="L425" s="889"/>
      <c r="M425" s="889"/>
      <c r="N425" s="889"/>
      <c r="O425" s="889"/>
      <c r="P425" s="889"/>
      <c r="Q425" s="889"/>
    </row>
    <row r="426" spans="1:31" ht="33.6" customHeight="1">
      <c r="A426" s="3219"/>
      <c r="B426" s="3220"/>
      <c r="C426" s="3220"/>
      <c r="D426" s="3220"/>
      <c r="E426" s="3220"/>
      <c r="F426" s="3220"/>
      <c r="G426" s="3220"/>
      <c r="H426" s="3220"/>
      <c r="I426" s="3220"/>
      <c r="J426" s="3220"/>
      <c r="K426" s="3220"/>
      <c r="L426" s="3220"/>
      <c r="M426" s="3220"/>
      <c r="N426" s="3220"/>
      <c r="O426" s="3220"/>
      <c r="P426" s="3220"/>
      <c r="Q426" s="3221"/>
    </row>
    <row r="427" spans="1:31" ht="3" customHeight="1">
      <c r="A427" s="686"/>
      <c r="B427" s="893"/>
      <c r="C427" s="889"/>
      <c r="D427" s="889"/>
      <c r="E427" s="889"/>
      <c r="F427" s="889"/>
      <c r="G427" s="889"/>
      <c r="H427" s="889"/>
      <c r="I427" s="889"/>
      <c r="J427" s="889"/>
      <c r="K427" s="889"/>
      <c r="L427" s="889"/>
      <c r="M427" s="889"/>
      <c r="Q427" s="686"/>
    </row>
    <row r="428" spans="1:31" ht="14.1" customHeight="1">
      <c r="A428" s="2" t="s">
        <v>3385</v>
      </c>
      <c r="B428" s="4" t="s">
        <v>2511</v>
      </c>
      <c r="C428" s="4"/>
      <c r="D428" s="66"/>
      <c r="E428" s="889"/>
      <c r="F428" s="889"/>
      <c r="G428" s="889"/>
      <c r="H428" s="889"/>
      <c r="O428" s="101" t="s">
        <v>1731</v>
      </c>
      <c r="P428" s="3236"/>
      <c r="Q428" s="3225"/>
    </row>
    <row r="429" spans="1:31" ht="14.1" customHeight="1">
      <c r="B429" s="66" t="s">
        <v>3902</v>
      </c>
      <c r="C429" s="4"/>
      <c r="D429" s="66"/>
      <c r="E429" s="889"/>
      <c r="F429" s="889"/>
      <c r="G429" s="889"/>
      <c r="H429" s="889"/>
    </row>
    <row r="430" spans="1:31" s="102" customFormat="1" ht="21.75" customHeight="1">
      <c r="A430" s="110" t="s">
        <v>1842</v>
      </c>
      <c r="B430" s="3218" t="s">
        <v>3316</v>
      </c>
      <c r="C430" s="3218"/>
      <c r="D430" s="3218"/>
      <c r="E430" s="3218"/>
      <c r="F430" s="3218"/>
      <c r="G430" s="3218"/>
      <c r="H430" s="3218"/>
      <c r="I430" s="3218"/>
      <c r="J430" s="3218"/>
      <c r="K430" s="3218"/>
      <c r="L430" s="3218"/>
      <c r="M430" s="3218"/>
      <c r="N430" s="3218"/>
      <c r="O430" s="128" t="s">
        <v>1842</v>
      </c>
      <c r="P430" s="896" t="s">
        <v>6933</v>
      </c>
      <c r="Q430" s="895"/>
    </row>
    <row r="431" spans="1:31" s="102" customFormat="1" ht="22.5" customHeight="1">
      <c r="A431" s="110" t="s">
        <v>1844</v>
      </c>
      <c r="B431" s="3218" t="s">
        <v>3315</v>
      </c>
      <c r="C431" s="3218"/>
      <c r="D431" s="3218"/>
      <c r="E431" s="3218"/>
      <c r="F431" s="3218"/>
      <c r="G431" s="3218"/>
      <c r="H431" s="3218"/>
      <c r="I431" s="3218"/>
      <c r="J431" s="3218"/>
      <c r="K431" s="3218"/>
      <c r="L431" s="3218"/>
      <c r="M431" s="3218"/>
      <c r="N431" s="3218"/>
      <c r="O431" s="128" t="s">
        <v>1844</v>
      </c>
      <c r="P431" s="431" t="s">
        <v>6933</v>
      </c>
      <c r="Q431" s="422"/>
    </row>
    <row r="432" spans="1:31" s="102" customFormat="1" ht="22.5" customHeight="1">
      <c r="B432" s="1222" t="s">
        <v>1615</v>
      </c>
      <c r="C432" s="3218" t="s">
        <v>3872</v>
      </c>
      <c r="D432" s="3218"/>
      <c r="E432" s="3218"/>
      <c r="F432" s="3218"/>
      <c r="G432" s="3218"/>
      <c r="H432" s="3218"/>
      <c r="I432" s="3218"/>
      <c r="J432" s="3218"/>
      <c r="K432" s="3218"/>
      <c r="L432" s="3218"/>
      <c r="M432" s="3218"/>
      <c r="N432" s="3218"/>
      <c r="O432" s="128" t="s">
        <v>1615</v>
      </c>
      <c r="P432" s="431" t="s">
        <v>6933</v>
      </c>
      <c r="Q432" s="422"/>
    </row>
    <row r="433" spans="1:31" s="35" customFormat="1" ht="12" customHeight="1">
      <c r="B433" s="1222" t="s">
        <v>1616</v>
      </c>
      <c r="C433" s="29" t="s">
        <v>3873</v>
      </c>
      <c r="D433" s="103"/>
      <c r="E433" s="103"/>
      <c r="F433" s="103"/>
      <c r="G433" s="103"/>
      <c r="H433" s="103"/>
      <c r="I433" s="103"/>
      <c r="J433" s="103"/>
      <c r="K433" s="103"/>
      <c r="L433" s="103"/>
      <c r="M433" s="103"/>
      <c r="N433" s="103"/>
      <c r="O433" s="48" t="s">
        <v>1616</v>
      </c>
      <c r="P433" s="299" t="s">
        <v>6933</v>
      </c>
      <c r="Q433" s="420"/>
    </row>
    <row r="434" spans="1:31" s="102" customFormat="1" ht="33" customHeight="1">
      <c r="B434" s="372" t="s">
        <v>1617</v>
      </c>
      <c r="C434" s="3218" t="s">
        <v>3874</v>
      </c>
      <c r="D434" s="3218"/>
      <c r="E434" s="3218"/>
      <c r="F434" s="3218"/>
      <c r="G434" s="3218"/>
      <c r="H434" s="3218"/>
      <c r="I434" s="3218"/>
      <c r="J434" s="3218"/>
      <c r="K434" s="3218"/>
      <c r="L434" s="3218"/>
      <c r="M434" s="3218"/>
      <c r="N434" s="3218"/>
      <c r="O434" s="128" t="s">
        <v>1617</v>
      </c>
      <c r="P434" s="431" t="s">
        <v>6933</v>
      </c>
      <c r="Q434" s="422"/>
    </row>
    <row r="435" spans="1:31" s="102" customFormat="1" ht="22.5" customHeight="1">
      <c r="B435" s="372" t="s">
        <v>2183</v>
      </c>
      <c r="C435" s="3218" t="s">
        <v>3875</v>
      </c>
      <c r="D435" s="3218"/>
      <c r="E435" s="3218"/>
      <c r="F435" s="3218"/>
      <c r="G435" s="3218"/>
      <c r="H435" s="3218"/>
      <c r="I435" s="3218"/>
      <c r="J435" s="3218"/>
      <c r="K435" s="3218"/>
      <c r="L435" s="3218"/>
      <c r="M435" s="3218"/>
      <c r="N435" s="3218"/>
      <c r="O435" s="128" t="s">
        <v>2183</v>
      </c>
      <c r="P435" s="431" t="s">
        <v>6933</v>
      </c>
      <c r="Q435" s="422"/>
    </row>
    <row r="436" spans="1:31" s="102" customFormat="1" ht="22.5" customHeight="1">
      <c r="A436" s="110" t="s">
        <v>698</v>
      </c>
      <c r="B436" s="3218" t="s">
        <v>3317</v>
      </c>
      <c r="C436" s="3218"/>
      <c r="D436" s="3218"/>
      <c r="E436" s="3218"/>
      <c r="F436" s="3218"/>
      <c r="G436" s="3218"/>
      <c r="H436" s="3218"/>
      <c r="I436" s="3218"/>
      <c r="J436" s="3218"/>
      <c r="K436" s="3218"/>
      <c r="L436" s="3218"/>
      <c r="M436" s="3218"/>
      <c r="N436" s="3218"/>
      <c r="O436" s="128" t="s">
        <v>698</v>
      </c>
      <c r="P436" s="431" t="s">
        <v>6933</v>
      </c>
      <c r="Q436" s="422"/>
    </row>
    <row r="437" spans="1:31" s="102" customFormat="1" ht="22.5" customHeight="1">
      <c r="A437" s="110" t="s">
        <v>1963</v>
      </c>
      <c r="B437" s="3218" t="s">
        <v>3923</v>
      </c>
      <c r="C437" s="3218"/>
      <c r="D437" s="3218"/>
      <c r="E437" s="3218"/>
      <c r="F437" s="3218"/>
      <c r="G437" s="3218"/>
      <c r="H437" s="3218"/>
      <c r="I437" s="3218"/>
      <c r="J437" s="3218"/>
      <c r="K437" s="3218"/>
      <c r="L437" s="3218"/>
      <c r="M437" s="3218"/>
      <c r="N437" s="3218"/>
      <c r="O437" s="128" t="s">
        <v>1963</v>
      </c>
      <c r="P437" s="431" t="s">
        <v>6933</v>
      </c>
      <c r="Q437" s="422"/>
    </row>
    <row r="438" spans="1:31" s="102" customFormat="1" ht="21.75" customHeight="1">
      <c r="A438" s="110" t="s">
        <v>1613</v>
      </c>
      <c r="B438" s="3218" t="s">
        <v>3924</v>
      </c>
      <c r="C438" s="3218"/>
      <c r="D438" s="3218"/>
      <c r="E438" s="3218"/>
      <c r="F438" s="3218"/>
      <c r="G438" s="3218"/>
      <c r="H438" s="3218"/>
      <c r="I438" s="3218"/>
      <c r="J438" s="3218"/>
      <c r="K438" s="3218"/>
      <c r="L438" s="3218"/>
      <c r="M438" s="3218"/>
      <c r="N438" s="3218"/>
      <c r="O438" s="128" t="s">
        <v>1613</v>
      </c>
      <c r="P438" s="431" t="s">
        <v>6933</v>
      </c>
      <c r="Q438" s="422"/>
    </row>
    <row r="439" spans="1:31" s="334" customFormat="1" ht="21.75" customHeight="1">
      <c r="A439" s="110" t="s">
        <v>1614</v>
      </c>
      <c r="B439" s="3218" t="s">
        <v>3957</v>
      </c>
      <c r="C439" s="3218"/>
      <c r="D439" s="3218"/>
      <c r="E439" s="3218"/>
      <c r="F439" s="3218"/>
      <c r="G439" s="3218"/>
      <c r="H439" s="3218"/>
      <c r="I439" s="3218"/>
      <c r="J439" s="3218"/>
      <c r="K439" s="3218"/>
      <c r="L439" s="3218"/>
      <c r="M439" s="3218"/>
      <c r="N439" s="3218"/>
      <c r="O439" s="128" t="s">
        <v>1614</v>
      </c>
      <c r="P439" s="898" t="s">
        <v>6933</v>
      </c>
      <c r="Q439" s="897"/>
    </row>
    <row r="440" spans="1:31" ht="11.25" customHeight="1">
      <c r="B440" s="109" t="s">
        <v>3243</v>
      </c>
      <c r="D440" s="109"/>
      <c r="E440" s="109"/>
      <c r="F440" s="109"/>
      <c r="G440" s="109"/>
      <c r="H440" s="33"/>
      <c r="I440" s="893"/>
      <c r="J440" s="893"/>
      <c r="K440" s="893"/>
      <c r="L440" s="686"/>
      <c r="M440" s="686"/>
      <c r="N440" s="686"/>
      <c r="O440" s="686"/>
      <c r="P440" s="686"/>
      <c r="Q440" s="686"/>
    </row>
    <row r="441" spans="1:31" ht="12.75" customHeight="1">
      <c r="A441" s="3215" t="s">
        <v>6947</v>
      </c>
      <c r="B441" s="3216"/>
      <c r="C441" s="3216"/>
      <c r="D441" s="3216"/>
      <c r="E441" s="3216"/>
      <c r="F441" s="3216"/>
      <c r="G441" s="3216"/>
      <c r="H441" s="3216"/>
      <c r="I441" s="3216"/>
      <c r="J441" s="3216"/>
      <c r="K441" s="3216"/>
      <c r="L441" s="3216"/>
      <c r="M441" s="3216"/>
      <c r="N441" s="3216"/>
      <c r="O441" s="3216"/>
      <c r="P441" s="3216"/>
      <c r="Q441" s="3217"/>
      <c r="R441" s="354" t="s">
        <v>1181</v>
      </c>
      <c r="S441" s="355"/>
      <c r="U441" s="104"/>
      <c r="V441" s="104"/>
      <c r="W441" s="104"/>
      <c r="X441" s="104"/>
      <c r="Y441" s="104"/>
      <c r="Z441" s="104"/>
      <c r="AA441" s="104"/>
      <c r="AB441" s="104"/>
      <c r="AC441" s="104"/>
      <c r="AD441" s="104"/>
      <c r="AE441" s="104"/>
    </row>
    <row r="442" spans="1:31" ht="11.25" customHeight="1">
      <c r="B442" s="105" t="s">
        <v>1730</v>
      </c>
      <c r="C442" s="106"/>
      <c r="D442" s="889"/>
      <c r="E442" s="889"/>
      <c r="F442" s="889"/>
      <c r="G442" s="889"/>
      <c r="H442" s="889"/>
      <c r="I442" s="889"/>
      <c r="J442" s="889"/>
      <c r="K442" s="889"/>
      <c r="L442" s="889"/>
      <c r="M442" s="889"/>
      <c r="N442" s="889"/>
      <c r="O442" s="889"/>
      <c r="P442" s="889"/>
      <c r="Q442" s="889"/>
    </row>
    <row r="443" spans="1:31" ht="12.75" customHeight="1">
      <c r="A443" s="3219"/>
      <c r="B443" s="3220"/>
      <c r="C443" s="3220"/>
      <c r="D443" s="3220"/>
      <c r="E443" s="3220"/>
      <c r="F443" s="3220"/>
      <c r="G443" s="3220"/>
      <c r="H443" s="3220"/>
      <c r="I443" s="3220"/>
      <c r="J443" s="3220"/>
      <c r="K443" s="3220"/>
      <c r="L443" s="3220"/>
      <c r="M443" s="3220"/>
      <c r="N443" s="3220"/>
      <c r="O443" s="3220"/>
      <c r="P443" s="3220"/>
      <c r="Q443" s="3221"/>
    </row>
    <row r="444" spans="1:31" ht="3" customHeight="1">
      <c r="A444" s="686"/>
      <c r="B444" s="893"/>
      <c r="C444" s="889"/>
      <c r="D444" s="889"/>
      <c r="E444" s="889"/>
      <c r="F444" s="889"/>
      <c r="G444" s="889"/>
      <c r="H444" s="889"/>
      <c r="I444" s="889"/>
      <c r="J444" s="889"/>
      <c r="K444" s="889"/>
      <c r="L444" s="889"/>
      <c r="M444" s="889"/>
      <c r="Q444" s="686"/>
    </row>
    <row r="445" spans="1:31" ht="14.1" customHeight="1">
      <c r="A445" s="2" t="s">
        <v>3808</v>
      </c>
      <c r="B445" s="4"/>
      <c r="C445" s="4" t="s">
        <v>2437</v>
      </c>
      <c r="D445" s="66"/>
      <c r="E445" s="889"/>
      <c r="F445" s="889"/>
      <c r="G445" s="889"/>
      <c r="H445" s="889"/>
      <c r="J445" s="889"/>
      <c r="K445" s="889"/>
      <c r="L445" s="889"/>
      <c r="M445" s="889"/>
      <c r="O445" s="101" t="s">
        <v>1731</v>
      </c>
      <c r="P445" s="3236"/>
      <c r="Q445" s="3225"/>
    </row>
    <row r="446" spans="1:31" ht="11.25" customHeight="1">
      <c r="A446" s="2"/>
      <c r="B446" s="109" t="s">
        <v>3243</v>
      </c>
      <c r="D446" s="109"/>
      <c r="E446" s="109"/>
      <c r="F446" s="109"/>
      <c r="G446" s="109"/>
      <c r="H446" s="33"/>
      <c r="I446" s="893"/>
      <c r="J446" s="893"/>
      <c r="K446" s="893"/>
      <c r="L446" s="686"/>
      <c r="M446" s="686"/>
      <c r="N446" s="686"/>
      <c r="O446" s="686"/>
      <c r="P446" s="686"/>
      <c r="Q446" s="686"/>
    </row>
    <row r="447" spans="1:31" ht="37.5" customHeight="1">
      <c r="A447" s="3215" t="s">
        <v>6980</v>
      </c>
      <c r="B447" s="3216"/>
      <c r="C447" s="3216"/>
      <c r="D447" s="3216"/>
      <c r="E447" s="3216"/>
      <c r="F447" s="3216"/>
      <c r="G447" s="3216"/>
      <c r="H447" s="3216"/>
      <c r="I447" s="3216"/>
      <c r="J447" s="3216"/>
      <c r="K447" s="3216"/>
      <c r="L447" s="3216"/>
      <c r="M447" s="3216"/>
      <c r="N447" s="3216"/>
      <c r="O447" s="3216"/>
      <c r="P447" s="3216"/>
      <c r="Q447" s="3217"/>
      <c r="R447" s="354" t="s">
        <v>1181</v>
      </c>
      <c r="S447" s="355"/>
      <c r="U447" s="104"/>
      <c r="V447" s="104"/>
      <c r="W447" s="104"/>
      <c r="X447" s="104"/>
      <c r="Y447" s="104"/>
      <c r="Z447" s="104"/>
      <c r="AA447" s="104"/>
      <c r="AB447" s="104"/>
      <c r="AC447" s="104"/>
      <c r="AD447" s="104"/>
      <c r="AE447" s="104"/>
    </row>
    <row r="448" spans="1:31" ht="11.25" customHeight="1">
      <c r="B448" s="105" t="s">
        <v>1730</v>
      </c>
      <c r="C448" s="106"/>
      <c r="D448" s="889"/>
      <c r="E448" s="889"/>
      <c r="F448" s="889"/>
      <c r="G448" s="889"/>
      <c r="H448" s="889"/>
      <c r="I448" s="889"/>
      <c r="J448" s="889"/>
      <c r="K448" s="889"/>
      <c r="L448" s="889"/>
      <c r="M448" s="889"/>
      <c r="N448" s="889"/>
      <c r="O448" s="889"/>
      <c r="P448" s="889"/>
      <c r="Q448" s="889"/>
    </row>
    <row r="449" spans="1:18" ht="12" customHeight="1">
      <c r="A449" s="3219"/>
      <c r="B449" s="3220"/>
      <c r="C449" s="3220"/>
      <c r="D449" s="3220"/>
      <c r="E449" s="3220"/>
      <c r="F449" s="3220"/>
      <c r="G449" s="3220"/>
      <c r="H449" s="3220"/>
      <c r="I449" s="3220"/>
      <c r="J449" s="3220"/>
      <c r="K449" s="3220"/>
      <c r="L449" s="3220"/>
      <c r="M449" s="3220"/>
      <c r="N449" s="3220"/>
      <c r="O449" s="3220"/>
      <c r="P449" s="3220"/>
      <c r="Q449" s="3221"/>
    </row>
    <row r="450" spans="1:18" ht="3" customHeight="1">
      <c r="A450" s="686"/>
      <c r="B450" s="893"/>
      <c r="C450" s="889"/>
      <c r="D450" s="889"/>
      <c r="E450" s="889"/>
      <c r="F450" s="889"/>
      <c r="G450" s="889"/>
      <c r="H450" s="889"/>
      <c r="I450" s="889"/>
      <c r="J450" s="889"/>
      <c r="K450" s="889"/>
      <c r="L450" s="889"/>
      <c r="M450" s="889"/>
      <c r="N450" s="889"/>
      <c r="O450" s="889"/>
      <c r="P450" s="889"/>
      <c r="Q450" s="686"/>
    </row>
    <row r="451" spans="1:18" ht="3" customHeight="1">
      <c r="A451" s="686"/>
      <c r="B451" s="893"/>
      <c r="C451" s="889"/>
      <c r="D451" s="889"/>
      <c r="E451" s="889"/>
      <c r="F451" s="889"/>
      <c r="G451" s="889"/>
      <c r="H451" s="889"/>
      <c r="I451" s="889"/>
      <c r="J451" s="889"/>
      <c r="K451" s="889"/>
      <c r="L451" s="889"/>
      <c r="M451" s="889"/>
      <c r="N451" s="889"/>
      <c r="O451" s="889"/>
      <c r="P451" s="889"/>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1647</v>
      </c>
      <c r="J456" s="1873" t="s">
        <v>1545</v>
      </c>
      <c r="N456" s="808"/>
      <c r="O456" s="1873" t="s">
        <v>4051</v>
      </c>
      <c r="P456" s="1874"/>
      <c r="R456" s="44"/>
    </row>
    <row r="457" spans="1:18" s="807" customFormat="1" ht="11.25">
      <c r="A457" s="44"/>
      <c r="B457" s="44"/>
      <c r="C457" s="1875" t="s">
        <v>1313</v>
      </c>
      <c r="J457" s="1873" t="s">
        <v>1954</v>
      </c>
      <c r="N457" s="808"/>
      <c r="O457" s="1873" t="s">
        <v>4052</v>
      </c>
      <c r="P457" s="1874"/>
      <c r="R457" s="44"/>
    </row>
    <row r="458" spans="1:18" s="807" customFormat="1" ht="11.25">
      <c r="A458" s="44"/>
      <c r="B458" s="44"/>
      <c r="C458" s="1875" t="s">
        <v>1314</v>
      </c>
      <c r="J458" s="1873" t="s">
        <v>1538</v>
      </c>
      <c r="N458" s="808"/>
      <c r="O458" s="1873" t="s">
        <v>4053</v>
      </c>
      <c r="P458" s="1874"/>
      <c r="R458" s="44"/>
    </row>
    <row r="459" spans="1:18" s="807" customFormat="1" ht="11.25">
      <c r="A459" s="44"/>
      <c r="B459" s="44"/>
      <c r="C459" s="1875" t="s">
        <v>1981</v>
      </c>
      <c r="J459" s="1873" t="s">
        <v>1121</v>
      </c>
      <c r="N459" s="808"/>
      <c r="O459" s="1873" t="s">
        <v>4057</v>
      </c>
      <c r="P459" s="1874"/>
      <c r="R459" s="44"/>
    </row>
    <row r="460" spans="1:18" s="807" customFormat="1" ht="11.25">
      <c r="A460" s="44"/>
      <c r="B460" s="44"/>
      <c r="C460" s="1875" t="s">
        <v>1310</v>
      </c>
      <c r="J460" s="1873" t="s">
        <v>549</v>
      </c>
      <c r="N460" s="808"/>
      <c r="O460" s="1873" t="s">
        <v>4054</v>
      </c>
      <c r="P460" s="1874"/>
      <c r="R460" s="44"/>
    </row>
    <row r="461" spans="1:18" s="807" customFormat="1" ht="11.25">
      <c r="A461" s="44"/>
      <c r="B461" s="44"/>
      <c r="C461" s="1875" t="s">
        <v>1311</v>
      </c>
      <c r="J461" s="1873" t="s">
        <v>1544</v>
      </c>
      <c r="N461" s="808"/>
      <c r="O461" s="1873" t="s">
        <v>4055</v>
      </c>
      <c r="P461" s="1874"/>
      <c r="R461" s="44"/>
    </row>
    <row r="462" spans="1:18" s="807" customFormat="1" ht="11.25">
      <c r="A462" s="44"/>
      <c r="B462" s="44"/>
      <c r="C462" s="1875" t="s">
        <v>1976</v>
      </c>
      <c r="J462" s="1873" t="s">
        <v>1118</v>
      </c>
      <c r="N462" s="808"/>
      <c r="O462" s="1873" t="s">
        <v>4056</v>
      </c>
      <c r="P462" s="1874"/>
      <c r="R462" s="44"/>
    </row>
    <row r="463" spans="1:18" s="807" customFormat="1" ht="11.25">
      <c r="A463" s="44"/>
      <c r="B463" s="44"/>
      <c r="C463" s="1875" t="s">
        <v>1977</v>
      </c>
      <c r="J463" s="1873" t="s">
        <v>1117</v>
      </c>
      <c r="N463" s="808"/>
      <c r="O463" s="807" t="s">
        <v>3281</v>
      </c>
      <c r="P463" s="1874"/>
      <c r="R463" s="44"/>
    </row>
    <row r="464" spans="1:18" s="807" customFormat="1" ht="11.25">
      <c r="A464" s="44"/>
      <c r="B464" s="44"/>
      <c r="C464" s="1875" t="s">
        <v>1978</v>
      </c>
      <c r="J464" s="1873" t="s">
        <v>1604</v>
      </c>
      <c r="N464" s="808"/>
      <c r="O464" s="807" t="s">
        <v>3282</v>
      </c>
      <c r="P464" s="1874"/>
      <c r="R464" s="44"/>
    </row>
    <row r="465" spans="1:22" s="807" customFormat="1" ht="11.25">
      <c r="A465" s="44"/>
      <c r="B465" s="44"/>
      <c r="C465" s="1875" t="s">
        <v>1979</v>
      </c>
      <c r="J465" s="1873" t="s">
        <v>1547</v>
      </c>
      <c r="N465" s="808"/>
      <c r="O465" s="1873"/>
      <c r="P465" s="1874"/>
      <c r="R465" s="44"/>
    </row>
    <row r="466" spans="1:22" s="807" customFormat="1" ht="11.25">
      <c r="A466" s="44"/>
      <c r="B466" s="44"/>
      <c r="C466" s="1875" t="s">
        <v>1980</v>
      </c>
      <c r="J466" s="1873" t="s">
        <v>1539</v>
      </c>
      <c r="N466" s="808"/>
      <c r="O466" s="1874"/>
      <c r="P466" s="1874"/>
      <c r="R466" s="44"/>
    </row>
    <row r="467" spans="1:22" s="807" customFormat="1" ht="11.25">
      <c r="A467" s="44"/>
      <c r="B467" s="44"/>
      <c r="C467" s="1875" t="s">
        <v>1312</v>
      </c>
      <c r="J467" s="1873" t="s">
        <v>1953</v>
      </c>
      <c r="N467" s="808"/>
      <c r="O467" s="1873"/>
      <c r="P467" s="1874"/>
      <c r="R467" s="44"/>
    </row>
    <row r="468" spans="1:22" s="807" customFormat="1" ht="11.25">
      <c r="A468" s="44"/>
      <c r="B468" s="44"/>
      <c r="C468" s="1875" t="s">
        <v>2109</v>
      </c>
      <c r="N468" s="808"/>
      <c r="O468" s="1874"/>
      <c r="P468" s="1874"/>
      <c r="R468" s="44"/>
    </row>
    <row r="469" spans="1:22" s="807" customFormat="1" ht="11.25">
      <c r="A469" s="44"/>
      <c r="B469" s="44"/>
      <c r="N469" s="808"/>
      <c r="O469" s="1874"/>
      <c r="P469" s="1874"/>
      <c r="R469" s="44"/>
    </row>
    <row r="470" spans="1:22" s="807" customFormat="1" ht="11.25">
      <c r="A470" s="44"/>
      <c r="B470" s="44"/>
      <c r="R470" s="44"/>
      <c r="S470" s="44"/>
      <c r="T470" s="44"/>
      <c r="U470" s="44"/>
      <c r="V470" s="44"/>
    </row>
    <row r="471" spans="1:22" s="807" customFormat="1" ht="11.25">
      <c r="A471" s="44"/>
      <c r="B471" s="44"/>
      <c r="C471" s="1876" t="s">
        <v>1665</v>
      </c>
      <c r="R471" s="44"/>
    </row>
    <row r="472" spans="1:22" s="807" customFormat="1" ht="11.25">
      <c r="A472" s="44"/>
      <c r="B472" s="44"/>
      <c r="C472" s="807" t="s">
        <v>869</v>
      </c>
      <c r="R472" s="44"/>
    </row>
    <row r="473" spans="1:22" s="807" customFormat="1" ht="11.25">
      <c r="A473" s="44"/>
      <c r="B473" s="44"/>
      <c r="C473" s="1875" t="s">
        <v>1523</v>
      </c>
      <c r="R473" s="44"/>
    </row>
    <row r="474" spans="1:22" s="807" customFormat="1" ht="11.25">
      <c r="A474" s="44"/>
      <c r="B474" s="44"/>
      <c r="C474" s="1875" t="s">
        <v>672</v>
      </c>
      <c r="L474" s="1875"/>
      <c r="R474" s="44"/>
    </row>
    <row r="475" spans="1:22" s="807" customFormat="1" ht="11.25">
      <c r="A475" s="44"/>
      <c r="B475" s="44"/>
      <c r="C475" s="1875" t="s">
        <v>673</v>
      </c>
      <c r="L475" s="1875"/>
      <c r="R475" s="44"/>
    </row>
    <row r="476" spans="1:22" s="807" customFormat="1" ht="11.25">
      <c r="A476" s="44"/>
      <c r="B476" s="44"/>
      <c r="C476" s="1875" t="s">
        <v>2002</v>
      </c>
      <c r="L476" s="1875"/>
      <c r="R476" s="44"/>
    </row>
    <row r="477" spans="1:22" s="807" customFormat="1" ht="11.25">
      <c r="A477" s="44"/>
      <c r="B477" s="44"/>
      <c r="C477" s="1875" t="s">
        <v>120</v>
      </c>
      <c r="L477" s="1875"/>
      <c r="R477" s="44"/>
    </row>
    <row r="478" spans="1:22" s="807" customFormat="1" ht="11.25">
      <c r="A478" s="44"/>
      <c r="B478" s="44"/>
      <c r="C478" s="807" t="s">
        <v>118</v>
      </c>
      <c r="L478" s="1875"/>
      <c r="R478" s="44"/>
    </row>
    <row r="479" spans="1:22" s="807" customFormat="1" ht="11.25">
      <c r="A479" s="44"/>
      <c r="B479" s="44"/>
      <c r="C479" s="807" t="s">
        <v>1741</v>
      </c>
      <c r="R479" s="44"/>
    </row>
    <row r="480" spans="1:22" s="807" customFormat="1" ht="11.25">
      <c r="A480" s="44"/>
      <c r="B480" s="44"/>
      <c r="C480" s="1875" t="s">
        <v>888</v>
      </c>
      <c r="L480" s="1875"/>
      <c r="R480" s="44"/>
    </row>
    <row r="481" spans="1:18" s="807" customFormat="1" ht="11.25">
      <c r="A481" s="44"/>
      <c r="B481" s="44"/>
      <c r="C481" s="807" t="s">
        <v>119</v>
      </c>
      <c r="L481" s="1875"/>
      <c r="R481" s="44"/>
    </row>
    <row r="482" spans="1:18" s="807" customFormat="1" ht="11.25">
      <c r="A482" s="44"/>
      <c r="B482" s="44"/>
      <c r="C482" s="807" t="s">
        <v>120</v>
      </c>
      <c r="L482" s="1875"/>
      <c r="R482" s="44"/>
    </row>
    <row r="483" spans="1:18" s="807" customFormat="1" ht="11.25">
      <c r="A483" s="44"/>
      <c r="B483" s="44"/>
      <c r="C483" s="807" t="s">
        <v>121</v>
      </c>
      <c r="L483" s="1875"/>
      <c r="R483" s="44"/>
    </row>
    <row r="484" spans="1:18" s="807" customFormat="1" ht="11.25">
      <c r="A484" s="44"/>
      <c r="B484" s="44"/>
      <c r="C484" s="807" t="s">
        <v>2440</v>
      </c>
      <c r="R484" s="44"/>
    </row>
    <row r="485" spans="1:18" s="807" customFormat="1" ht="11.25">
      <c r="A485" s="44"/>
      <c r="B485" s="44"/>
      <c r="C485" s="1875" t="s">
        <v>1866</v>
      </c>
      <c r="L485" s="1875"/>
      <c r="R485" s="44"/>
    </row>
    <row r="486" spans="1:18" s="807" customFormat="1" ht="11.25">
      <c r="A486" s="44"/>
      <c r="B486" s="44"/>
      <c r="C486" s="807" t="s">
        <v>2441</v>
      </c>
      <c r="L486" s="1875"/>
      <c r="R486" s="44"/>
    </row>
    <row r="487" spans="1:18" s="807" customFormat="1" ht="11.25">
      <c r="A487" s="44"/>
      <c r="B487" s="44"/>
      <c r="C487" s="807" t="s">
        <v>1305</v>
      </c>
      <c r="L487" s="1875"/>
      <c r="R487" s="44"/>
    </row>
    <row r="488" spans="1:18" s="807" customFormat="1" ht="11.25">
      <c r="A488" s="44"/>
      <c r="B488" s="44"/>
      <c r="C488" s="807" t="s">
        <v>1486</v>
      </c>
      <c r="K488" s="1876" t="s">
        <v>434</v>
      </c>
      <c r="L488" s="1875"/>
      <c r="R488" s="44"/>
    </row>
    <row r="489" spans="1:18" s="807" customFormat="1" ht="11.25">
      <c r="A489" s="44"/>
      <c r="B489" s="44"/>
      <c r="C489" s="807" t="s">
        <v>2442</v>
      </c>
      <c r="K489" s="807" t="s">
        <v>1019</v>
      </c>
      <c r="L489" s="1875"/>
      <c r="R489" s="44"/>
    </row>
    <row r="490" spans="1:18" s="807" customFormat="1" ht="11.25">
      <c r="A490" s="44"/>
      <c r="B490" s="44"/>
      <c r="C490" s="807" t="s">
        <v>2443</v>
      </c>
      <c r="K490" s="807" t="s">
        <v>3252</v>
      </c>
      <c r="R490" s="44"/>
    </row>
    <row r="491" spans="1:18" s="807" customFormat="1" ht="11.25">
      <c r="A491" s="44"/>
      <c r="B491" s="44"/>
      <c r="C491" s="1875" t="s">
        <v>1131</v>
      </c>
      <c r="K491" s="807" t="s">
        <v>6210</v>
      </c>
      <c r="R491" s="44"/>
    </row>
    <row r="492" spans="1:18" s="807" customFormat="1" ht="11.25">
      <c r="A492" s="44"/>
      <c r="B492" s="44"/>
      <c r="R492" s="44"/>
    </row>
    <row r="493" spans="1:18" s="807" customFormat="1" ht="11.25">
      <c r="A493" s="44"/>
      <c r="B493" s="44"/>
      <c r="C493" s="1876" t="s">
        <v>244</v>
      </c>
      <c r="K493" s="1876" t="s">
        <v>2073</v>
      </c>
      <c r="R493" s="44"/>
    </row>
    <row r="494" spans="1:18" s="807" customFormat="1" ht="11.25">
      <c r="A494" s="44"/>
      <c r="B494" s="44"/>
      <c r="C494" s="807" t="s">
        <v>1020</v>
      </c>
      <c r="K494" s="807" t="s">
        <v>2148</v>
      </c>
      <c r="R494" s="44"/>
    </row>
    <row r="495" spans="1:18" s="807" customFormat="1" ht="11.25">
      <c r="A495" s="44"/>
      <c r="B495" s="44"/>
      <c r="C495" s="807" t="s">
        <v>163</v>
      </c>
      <c r="K495" s="807" t="s">
        <v>6313</v>
      </c>
      <c r="R495" s="44"/>
    </row>
    <row r="496" spans="1:18" s="807" customFormat="1" ht="11.25">
      <c r="A496" s="44"/>
      <c r="B496" s="44"/>
      <c r="C496" s="807" t="s">
        <v>1430</v>
      </c>
      <c r="K496" s="807" t="s">
        <v>6312</v>
      </c>
      <c r="R496" s="44"/>
    </row>
    <row r="497" spans="1:18" s="807" customFormat="1" ht="11.25">
      <c r="A497" s="44"/>
      <c r="B497" s="44"/>
      <c r="C497" s="807" t="s">
        <v>1966</v>
      </c>
      <c r="K497" s="807" t="s">
        <v>6211</v>
      </c>
      <c r="R497" s="44"/>
    </row>
    <row r="498" spans="1:18" s="807" customFormat="1" ht="11.25">
      <c r="A498" s="44"/>
      <c r="B498" s="44"/>
      <c r="C498" s="807" t="s">
        <v>162</v>
      </c>
      <c r="K498" s="807" t="s">
        <v>6314</v>
      </c>
      <c r="R498" s="44"/>
    </row>
    <row r="499" spans="1:18" s="807" customFormat="1" ht="11.25">
      <c r="A499" s="44"/>
      <c r="B499" s="44"/>
      <c r="K499" s="1876" t="s">
        <v>1809</v>
      </c>
      <c r="R499" s="44"/>
    </row>
    <row r="500" spans="1:18" s="807" customFormat="1" ht="11.25">
      <c r="A500" s="44"/>
      <c r="B500" s="44"/>
      <c r="K500" s="807" t="s">
        <v>1018</v>
      </c>
      <c r="R500" s="44"/>
    </row>
    <row r="501" spans="1:18" s="807" customFormat="1" ht="11.25">
      <c r="A501" s="44"/>
      <c r="B501" s="44"/>
      <c r="K501" s="807" t="s">
        <v>1629</v>
      </c>
      <c r="R501" s="44"/>
    </row>
    <row r="502" spans="1:18" s="807" customFormat="1" ht="11.25">
      <c r="A502" s="44"/>
      <c r="B502" s="44"/>
      <c r="K502" s="807" t="s">
        <v>1068</v>
      </c>
      <c r="R502" s="44"/>
    </row>
    <row r="503" spans="1:18" s="807" customFormat="1" ht="11.25">
      <c r="A503" s="44"/>
      <c r="B503" s="44"/>
      <c r="K503" s="807" t="s">
        <v>1630</v>
      </c>
      <c r="R503" s="44"/>
    </row>
    <row r="504" spans="1:18" s="807" customFormat="1" ht="11.25">
      <c r="A504" s="44"/>
      <c r="B504" s="44"/>
      <c r="K504" s="807" t="s">
        <v>2186</v>
      </c>
      <c r="R504" s="44"/>
    </row>
    <row r="505" spans="1:18" s="807" customFormat="1" ht="11.25">
      <c r="A505" s="44"/>
      <c r="B505" s="44"/>
      <c r="R505" s="44"/>
    </row>
    <row r="506" spans="1:18" s="807" customFormat="1" ht="11.25">
      <c r="A506" s="44"/>
      <c r="B506" s="44"/>
      <c r="C506" s="1876" t="s">
        <v>952</v>
      </c>
      <c r="M506" s="1876" t="s">
        <v>3857</v>
      </c>
      <c r="R506" s="44"/>
    </row>
    <row r="507" spans="1:18" s="807" customFormat="1" ht="11.25">
      <c r="A507" s="44"/>
      <c r="B507" s="44"/>
      <c r="C507" s="807" t="s">
        <v>951</v>
      </c>
      <c r="M507" s="807" t="s">
        <v>951</v>
      </c>
      <c r="R507" s="44"/>
    </row>
    <row r="508" spans="1:18" s="807" customFormat="1" ht="11.25">
      <c r="A508" s="44"/>
      <c r="B508" s="44"/>
      <c r="C508" s="807" t="s">
        <v>1939</v>
      </c>
      <c r="M508" s="807" t="s">
        <v>3854</v>
      </c>
      <c r="R508" s="44"/>
    </row>
    <row r="509" spans="1:18" s="807" customFormat="1" ht="11.25">
      <c r="A509" s="44"/>
      <c r="B509" s="44"/>
      <c r="C509" s="807" t="s">
        <v>2342</v>
      </c>
      <c r="M509" s="807" t="s">
        <v>3885</v>
      </c>
      <c r="R509" s="44"/>
    </row>
    <row r="510" spans="1:18" s="807" customFormat="1" ht="11.25">
      <c r="A510" s="44"/>
      <c r="B510" s="44"/>
      <c r="C510" s="807" t="s">
        <v>1940</v>
      </c>
      <c r="M510" s="807" t="s">
        <v>1541</v>
      </c>
      <c r="R510" s="44"/>
    </row>
    <row r="511" spans="1:18" s="807" customFormat="1" ht="11.25">
      <c r="A511" s="44"/>
      <c r="B511" s="44"/>
      <c r="C511" s="807" t="s">
        <v>1810</v>
      </c>
      <c r="M511" s="807" t="s">
        <v>3855</v>
      </c>
      <c r="R511" s="44"/>
    </row>
    <row r="512" spans="1:18" s="807" customFormat="1" ht="11.25">
      <c r="A512" s="44"/>
      <c r="B512" s="44"/>
      <c r="C512" s="807" t="s">
        <v>548</v>
      </c>
      <c r="M512" s="807" t="s">
        <v>3904</v>
      </c>
      <c r="R512" s="44"/>
    </row>
    <row r="513" spans="1:18" s="807" customFormat="1" ht="11.25">
      <c r="A513" s="44"/>
      <c r="B513" s="44"/>
      <c r="C513" s="807" t="s">
        <v>2036</v>
      </c>
      <c r="M513" s="807" t="s">
        <v>3905</v>
      </c>
      <c r="R513" s="44"/>
    </row>
    <row r="514" spans="1:18" s="807" customFormat="1" ht="11.25">
      <c r="A514" s="44"/>
      <c r="B514" s="44"/>
      <c r="C514" s="807" t="s">
        <v>30</v>
      </c>
      <c r="M514" s="807" t="s">
        <v>3856</v>
      </c>
      <c r="R514" s="44"/>
    </row>
    <row r="515" spans="1:18" s="807" customFormat="1" ht="11.25">
      <c r="A515" s="44"/>
      <c r="B515" s="44"/>
      <c r="M515" s="807" t="s">
        <v>1953</v>
      </c>
      <c r="R515" s="44"/>
    </row>
    <row r="516" spans="1:18" s="807" customFormat="1" ht="11.25">
      <c r="A516" s="44"/>
      <c r="B516" s="44"/>
      <c r="R516" s="44"/>
    </row>
    <row r="517" spans="1:18" s="807" customFormat="1" ht="11.25">
      <c r="A517" s="44"/>
      <c r="B517" s="44"/>
      <c r="R517" s="44"/>
    </row>
    <row r="518" spans="1:18" s="807" customFormat="1" ht="11.25">
      <c r="A518" s="44"/>
      <c r="B518" s="44"/>
      <c r="M518" s="1877" t="s">
        <v>3264</v>
      </c>
      <c r="R518" s="44"/>
    </row>
    <row r="519" spans="1:18" s="807" customFormat="1" ht="11.25">
      <c r="A519" s="44"/>
      <c r="B519" s="44"/>
      <c r="M519" s="807" t="s">
        <v>3341</v>
      </c>
      <c r="R519" s="44"/>
    </row>
    <row r="520" spans="1:18" s="807" customFormat="1" ht="11.25">
      <c r="A520" s="44"/>
      <c r="B520" s="44"/>
      <c r="M520" s="807" t="s">
        <v>3336</v>
      </c>
      <c r="R520" s="44"/>
    </row>
    <row r="521" spans="1:18" s="807" customFormat="1" ht="11.25">
      <c r="A521" s="44"/>
      <c r="B521" s="44"/>
      <c r="M521" s="807" t="s">
        <v>3257</v>
      </c>
      <c r="R521" s="44"/>
    </row>
    <row r="522" spans="1:18" s="807" customFormat="1" ht="11.25">
      <c r="A522" s="44"/>
      <c r="B522" s="44"/>
      <c r="M522" s="807" t="s">
        <v>3332</v>
      </c>
      <c r="R522" s="44"/>
    </row>
    <row r="523" spans="1:18" s="807" customFormat="1" ht="11.25">
      <c r="A523" s="44"/>
      <c r="B523" s="44"/>
      <c r="D523" s="1877" t="s">
        <v>1889</v>
      </c>
      <c r="M523" s="807" t="s">
        <v>3258</v>
      </c>
      <c r="R523" s="44"/>
    </row>
    <row r="524" spans="1:18" s="807" customFormat="1">
      <c r="A524" s="44"/>
      <c r="B524" s="44"/>
      <c r="J524" s="357"/>
      <c r="M524" s="807" t="s">
        <v>3333</v>
      </c>
      <c r="R524" s="44"/>
    </row>
    <row r="525" spans="1:18" s="357" customFormat="1">
      <c r="A525" s="115"/>
      <c r="B525" s="115"/>
      <c r="M525" s="807" t="s">
        <v>3259</v>
      </c>
      <c r="O525" s="807"/>
      <c r="R525" s="115"/>
    </row>
    <row r="526" spans="1:18" s="357" customFormat="1">
      <c r="A526" s="115"/>
      <c r="B526" s="115"/>
      <c r="M526" s="807" t="s">
        <v>3334</v>
      </c>
      <c r="R526" s="115"/>
    </row>
    <row r="527" spans="1:18" s="357" customFormat="1">
      <c r="A527" s="115"/>
      <c r="B527" s="115"/>
      <c r="M527" s="807" t="s">
        <v>3337</v>
      </c>
      <c r="R527" s="115"/>
    </row>
    <row r="528" spans="1:18" s="357" customFormat="1">
      <c r="A528" s="115"/>
      <c r="B528" s="115"/>
      <c r="M528" s="807" t="s">
        <v>3260</v>
      </c>
      <c r="R528" s="115"/>
    </row>
    <row r="529" spans="1:22" s="357" customFormat="1">
      <c r="A529" s="115"/>
      <c r="B529" s="115"/>
      <c r="M529" s="807" t="s">
        <v>3261</v>
      </c>
      <c r="R529" s="115"/>
    </row>
    <row r="530" spans="1:22" s="357" customFormat="1">
      <c r="A530" s="115"/>
      <c r="B530" s="115"/>
      <c r="M530" s="807" t="s">
        <v>3335</v>
      </c>
      <c r="R530" s="115"/>
    </row>
    <row r="531" spans="1:22" s="357" customFormat="1">
      <c r="A531" s="115"/>
      <c r="B531" s="115"/>
      <c r="M531" s="807" t="s">
        <v>3338</v>
      </c>
      <c r="R531" s="115"/>
    </row>
    <row r="532" spans="1:22" s="357" customFormat="1">
      <c r="A532" s="115"/>
      <c r="B532" s="115"/>
      <c r="M532" s="807" t="s">
        <v>3339</v>
      </c>
      <c r="R532" s="115"/>
    </row>
    <row r="533" spans="1:22" s="357" customFormat="1">
      <c r="A533" s="115"/>
      <c r="B533" s="115"/>
      <c r="M533" s="807" t="s">
        <v>6536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algorithmName="SHA-512" hashValue="3sHh+0bcVLoalX/Wi4BX6z7VDjP8ZUFqE5e4p6SwAAyIfkTCuW92l6FWS8XQ29ULfPppM/TyrC2cFaly5N0g7w==" saltValue="QADQMEuXUlVAEG47ceX5K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4%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5"/>
      <c r="H1" s="233"/>
      <c r="I1" s="144"/>
      <c r="J1" s="147"/>
      <c r="K1" s="234"/>
      <c r="L1" s="234"/>
      <c r="M1" s="234"/>
      <c r="N1" s="234"/>
      <c r="O1" s="147"/>
      <c r="P1" s="144"/>
      <c r="Q1" s="232"/>
      <c r="R1" s="232"/>
      <c r="S1" s="144"/>
      <c r="T1" s="144"/>
      <c r="U1" s="144"/>
      <c r="AA1" s="68"/>
      <c r="AB1" s="68"/>
    </row>
    <row r="2" spans="1:28" s="145" customFormat="1" ht="11.45" customHeight="1">
      <c r="A2" s="3407" t="s">
        <v>6533</v>
      </c>
      <c r="B2" s="3407"/>
      <c r="C2" s="147"/>
      <c r="D2" s="795">
        <v>2021</v>
      </c>
      <c r="E2" s="144"/>
      <c r="F2" s="3442" t="s">
        <v>3002</v>
      </c>
      <c r="G2" s="3443"/>
      <c r="H2" s="3443"/>
      <c r="I2" s="3443"/>
      <c r="J2" s="3444"/>
      <c r="K2" s="234"/>
      <c r="L2" s="443" t="s">
        <v>3145</v>
      </c>
      <c r="M2" s="234"/>
      <c r="N2" s="3442" t="s">
        <v>3002</v>
      </c>
      <c r="O2" s="3443"/>
      <c r="P2" s="3443"/>
      <c r="Q2" s="3443"/>
      <c r="R2" s="3444"/>
      <c r="S2" s="241"/>
      <c r="T2" s="144"/>
      <c r="U2" s="144"/>
      <c r="V2" s="322"/>
      <c r="W2" s="322"/>
      <c r="X2" s="322"/>
      <c r="AA2" s="68"/>
      <c r="AB2" s="68"/>
    </row>
    <row r="3" spans="1:28" s="145" customFormat="1" ht="11.45" customHeight="1">
      <c r="A3" s="3407"/>
      <c r="B3" s="3407"/>
      <c r="D3" s="444" t="s">
        <v>2402</v>
      </c>
      <c r="E3" s="444" t="s">
        <v>1220</v>
      </c>
      <c r="F3" s="445">
        <v>0</v>
      </c>
      <c r="G3" s="446">
        <v>1</v>
      </c>
      <c r="H3" s="834">
        <v>2</v>
      </c>
      <c r="I3" s="834">
        <v>3</v>
      </c>
      <c r="J3" s="447" t="s">
        <v>2999</v>
      </c>
      <c r="L3" s="444" t="s">
        <v>2402</v>
      </c>
      <c r="M3" s="444" t="s">
        <v>1220</v>
      </c>
      <c r="N3" s="445">
        <v>0</v>
      </c>
      <c r="O3" s="446">
        <v>1</v>
      </c>
      <c r="P3" s="834">
        <v>2</v>
      </c>
      <c r="Q3" s="834">
        <v>3</v>
      </c>
      <c r="R3" s="447" t="s">
        <v>2999</v>
      </c>
      <c r="S3" s="241"/>
      <c r="T3" s="144"/>
      <c r="U3" s="144"/>
      <c r="V3" s="322"/>
      <c r="W3" s="322"/>
      <c r="X3" s="322"/>
      <c r="AA3" s="68"/>
      <c r="AB3" s="68"/>
    </row>
    <row r="4" spans="1:28" s="145" customFormat="1" ht="11.45" customHeight="1">
      <c r="A4" s="3407"/>
      <c r="B4" s="3407"/>
      <c r="D4" s="784" t="s">
        <v>1658</v>
      </c>
      <c r="E4" s="784" t="s">
        <v>3001</v>
      </c>
      <c r="F4" s="785">
        <v>142816</v>
      </c>
      <c r="G4" s="785">
        <v>184662</v>
      </c>
      <c r="H4" s="785">
        <v>220865</v>
      </c>
      <c r="I4" s="785">
        <v>263215</v>
      </c>
      <c r="J4" s="785">
        <v>310038</v>
      </c>
      <c r="L4" s="241" t="s">
        <v>1658</v>
      </c>
      <c r="M4" s="241" t="s">
        <v>3001</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45" customHeight="1">
      <c r="A5" s="147"/>
      <c r="D5" s="784" t="s">
        <v>1658</v>
      </c>
      <c r="E5" s="784" t="s">
        <v>2998</v>
      </c>
      <c r="F5" s="785">
        <v>111333</v>
      </c>
      <c r="G5" s="785">
        <v>155866</v>
      </c>
      <c r="H5" s="785">
        <v>200399</v>
      </c>
      <c r="I5" s="785">
        <v>267199</v>
      </c>
      <c r="J5" s="785">
        <v>333999</v>
      </c>
      <c r="L5" s="241" t="s">
        <v>1658</v>
      </c>
      <c r="M5" s="241" t="s">
        <v>2998</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45" customHeight="1">
      <c r="A6" s="147"/>
      <c r="D6" s="784" t="s">
        <v>1658</v>
      </c>
      <c r="E6" s="784" t="s">
        <v>2996</v>
      </c>
      <c r="F6" s="785">
        <v>123345</v>
      </c>
      <c r="G6" s="785">
        <v>160923</v>
      </c>
      <c r="H6" s="785">
        <v>194869</v>
      </c>
      <c r="I6" s="785">
        <v>237606</v>
      </c>
      <c r="J6" s="785">
        <v>281429</v>
      </c>
      <c r="L6" s="241" t="s">
        <v>1658</v>
      </c>
      <c r="M6" s="241" t="s">
        <v>2996</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45" customHeight="1">
      <c r="A7" s="147"/>
      <c r="D7" s="784" t="s">
        <v>1658</v>
      </c>
      <c r="E7" s="784" t="s">
        <v>2997</v>
      </c>
      <c r="F7" s="785">
        <v>110658</v>
      </c>
      <c r="G7" s="785">
        <v>150909</v>
      </c>
      <c r="H7" s="785">
        <v>191026</v>
      </c>
      <c r="I7" s="785">
        <v>251664</v>
      </c>
      <c r="J7" s="785">
        <v>311733</v>
      </c>
      <c r="L7" s="241" t="s">
        <v>1658</v>
      </c>
      <c r="M7" s="241" t="s">
        <v>2997</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45" customHeight="1">
      <c r="A8" s="147"/>
      <c r="D8" s="776" t="s">
        <v>159</v>
      </c>
      <c r="E8" s="776" t="s">
        <v>3001</v>
      </c>
      <c r="F8" s="777">
        <v>141797</v>
      </c>
      <c r="G8" s="777">
        <v>183527</v>
      </c>
      <c r="H8" s="777">
        <v>219633</v>
      </c>
      <c r="I8" s="777">
        <v>261936</v>
      </c>
      <c r="J8" s="777">
        <v>308710</v>
      </c>
      <c r="L8" s="241" t="s">
        <v>159</v>
      </c>
      <c r="M8" s="241" t="s">
        <v>3001</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45" customHeight="1">
      <c r="A9" s="147"/>
      <c r="D9" s="776" t="s">
        <v>159</v>
      </c>
      <c r="E9" s="776" t="s">
        <v>2998</v>
      </c>
      <c r="F9" s="777">
        <v>110497</v>
      </c>
      <c r="G9" s="777">
        <v>154696</v>
      </c>
      <c r="H9" s="777">
        <v>198895</v>
      </c>
      <c r="I9" s="777">
        <v>265193</v>
      </c>
      <c r="J9" s="777">
        <v>331491</v>
      </c>
      <c r="L9" s="241" t="s">
        <v>159</v>
      </c>
      <c r="M9" s="241" t="s">
        <v>2998</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45" customHeight="1">
      <c r="A10" s="147"/>
      <c r="D10" s="776" t="s">
        <v>159</v>
      </c>
      <c r="E10" s="776" t="s">
        <v>2996</v>
      </c>
      <c r="F10" s="777">
        <v>121614</v>
      </c>
      <c r="G10" s="777">
        <v>158920</v>
      </c>
      <c r="H10" s="777">
        <v>192685</v>
      </c>
      <c r="I10" s="777">
        <v>235391</v>
      </c>
      <c r="J10" s="777">
        <v>279054</v>
      </c>
      <c r="L10" s="241" t="s">
        <v>159</v>
      </c>
      <c r="M10" s="241" t="s">
        <v>2996</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45" customHeight="1">
      <c r="A11" s="147"/>
      <c r="D11" s="776" t="s">
        <v>159</v>
      </c>
      <c r="E11" s="776" t="s">
        <v>2997</v>
      </c>
      <c r="F11" s="777">
        <v>108520</v>
      </c>
      <c r="G11" s="777">
        <v>147769</v>
      </c>
      <c r="H11" s="777">
        <v>186880</v>
      </c>
      <c r="I11" s="777">
        <v>246024</v>
      </c>
      <c r="J11" s="777">
        <v>304578</v>
      </c>
      <c r="L11" s="241" t="s">
        <v>159</v>
      </c>
      <c r="M11" s="241" t="s">
        <v>2997</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45" customHeight="1">
      <c r="A12" s="147"/>
      <c r="D12" s="774" t="s">
        <v>1132</v>
      </c>
      <c r="E12" s="774" t="s">
        <v>3001</v>
      </c>
      <c r="F12" s="775">
        <v>155687</v>
      </c>
      <c r="G12" s="775">
        <v>201438</v>
      </c>
      <c r="H12" s="775">
        <v>241022</v>
      </c>
      <c r="I12" s="775">
        <v>287374</v>
      </c>
      <c r="J12" s="775">
        <v>338625</v>
      </c>
      <c r="L12" s="442" t="s">
        <v>1132</v>
      </c>
      <c r="M12" s="442" t="s">
        <v>3001</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45" customHeight="1">
      <c r="A13" s="147"/>
      <c r="D13" s="774" t="s">
        <v>1132</v>
      </c>
      <c r="E13" s="774" t="s">
        <v>2998</v>
      </c>
      <c r="F13" s="775">
        <v>121337</v>
      </c>
      <c r="G13" s="775">
        <v>169871</v>
      </c>
      <c r="H13" s="775">
        <v>218406</v>
      </c>
      <c r="I13" s="775">
        <v>291208</v>
      </c>
      <c r="J13" s="775">
        <v>364010</v>
      </c>
      <c r="L13" s="442" t="s">
        <v>1132</v>
      </c>
      <c r="M13" s="442" t="s">
        <v>2998</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45" customHeight="1">
      <c r="A14" s="147"/>
      <c r="D14" s="774" t="s">
        <v>1132</v>
      </c>
      <c r="E14" s="774" t="s">
        <v>2996</v>
      </c>
      <c r="F14" s="775">
        <v>133842</v>
      </c>
      <c r="G14" s="775">
        <v>174804</v>
      </c>
      <c r="H14" s="775">
        <v>211854</v>
      </c>
      <c r="I14" s="775">
        <v>258642</v>
      </c>
      <c r="J14" s="775">
        <v>306526</v>
      </c>
      <c r="L14" s="442" t="s">
        <v>1132</v>
      </c>
      <c r="M14" s="442" t="s">
        <v>2996</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45" customHeight="1">
      <c r="A15" s="147"/>
      <c r="D15" s="774" t="s">
        <v>1132</v>
      </c>
      <c r="E15" s="774" t="s">
        <v>2997</v>
      </c>
      <c r="F15" s="775">
        <v>119649</v>
      </c>
      <c r="G15" s="775">
        <v>163008</v>
      </c>
      <c r="H15" s="775">
        <v>206217</v>
      </c>
      <c r="I15" s="775">
        <v>271547</v>
      </c>
      <c r="J15" s="775">
        <v>336239</v>
      </c>
      <c r="L15" s="442" t="s">
        <v>1132</v>
      </c>
      <c r="M15" s="442" t="s">
        <v>2997</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45" customHeight="1">
      <c r="A16" s="147"/>
      <c r="D16" s="778" t="s">
        <v>1253</v>
      </c>
      <c r="E16" s="778" t="s">
        <v>3001</v>
      </c>
      <c r="F16" s="779">
        <v>145521</v>
      </c>
      <c r="G16" s="779">
        <v>188031</v>
      </c>
      <c r="H16" s="779">
        <v>224805</v>
      </c>
      <c r="I16" s="779">
        <v>267776</v>
      </c>
      <c r="J16" s="779">
        <v>315283</v>
      </c>
      <c r="L16" s="442" t="s">
        <v>1253</v>
      </c>
      <c r="M16" s="442" t="s">
        <v>3001</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45" customHeight="1">
      <c r="A17" s="147"/>
      <c r="D17" s="778" t="s">
        <v>1253</v>
      </c>
      <c r="E17" s="778" t="s">
        <v>2998</v>
      </c>
      <c r="F17" s="779">
        <v>113472</v>
      </c>
      <c r="G17" s="779">
        <v>158861</v>
      </c>
      <c r="H17" s="779">
        <v>204249</v>
      </c>
      <c r="I17" s="779">
        <v>272333</v>
      </c>
      <c r="J17" s="779">
        <v>340416</v>
      </c>
      <c r="L17" s="442" t="s">
        <v>1253</v>
      </c>
      <c r="M17" s="442" t="s">
        <v>2998</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45" customHeight="1">
      <c r="A18" s="147"/>
      <c r="D18" s="778" t="s">
        <v>1253</v>
      </c>
      <c r="E18" s="778" t="s">
        <v>2996</v>
      </c>
      <c r="F18" s="779">
        <v>126289</v>
      </c>
      <c r="G18" s="779">
        <v>164581</v>
      </c>
      <c r="H18" s="779">
        <v>199126</v>
      </c>
      <c r="I18" s="779">
        <v>242479</v>
      </c>
      <c r="J18" s="779">
        <v>287022</v>
      </c>
      <c r="L18" s="442" t="s">
        <v>1253</v>
      </c>
      <c r="M18" s="442" t="s">
        <v>2996</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45" customHeight="1">
      <c r="A19" s="147"/>
      <c r="D19" s="778" t="s">
        <v>1253</v>
      </c>
      <c r="E19" s="778" t="s">
        <v>2997</v>
      </c>
      <c r="F19" s="779">
        <v>113715</v>
      </c>
      <c r="G19" s="779">
        <v>155238</v>
      </c>
      <c r="H19" s="779">
        <v>196629</v>
      </c>
      <c r="I19" s="779">
        <v>259171</v>
      </c>
      <c r="J19" s="779">
        <v>321151</v>
      </c>
      <c r="L19" s="442" t="s">
        <v>1253</v>
      </c>
      <c r="M19" s="442" t="s">
        <v>2997</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45" customHeight="1">
      <c r="A20" s="147"/>
      <c r="D20" s="241" t="s">
        <v>1425</v>
      </c>
      <c r="E20" s="241" t="s">
        <v>3001</v>
      </c>
      <c r="F20" s="662">
        <v>151294</v>
      </c>
      <c r="G20" s="662">
        <v>195836</v>
      </c>
      <c r="H20" s="662">
        <v>234374</v>
      </c>
      <c r="I20" s="662">
        <v>279532</v>
      </c>
      <c r="J20" s="662">
        <v>329464</v>
      </c>
      <c r="L20" s="241" t="s">
        <v>1425</v>
      </c>
      <c r="M20" s="442" t="s">
        <v>3001</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45" customHeight="1">
      <c r="A21" s="147"/>
      <c r="D21" s="241" t="s">
        <v>1425</v>
      </c>
      <c r="E21" s="241" t="s">
        <v>2998</v>
      </c>
      <c r="F21" s="662">
        <v>117895</v>
      </c>
      <c r="G21" s="662">
        <v>165052</v>
      </c>
      <c r="H21" s="662">
        <v>212210</v>
      </c>
      <c r="I21" s="662">
        <v>282947</v>
      </c>
      <c r="J21" s="662">
        <v>353684</v>
      </c>
      <c r="L21" s="241" t="s">
        <v>1425</v>
      </c>
      <c r="M21" s="442" t="s">
        <v>2998</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45" customHeight="1">
      <c r="A22" s="147"/>
      <c r="D22" s="241" t="s">
        <v>1425</v>
      </c>
      <c r="E22" s="241" t="s">
        <v>2996</v>
      </c>
      <c r="F22" s="662">
        <v>129687</v>
      </c>
      <c r="G22" s="662">
        <v>169491</v>
      </c>
      <c r="H22" s="662">
        <v>205524</v>
      </c>
      <c r="I22" s="662">
        <v>251113</v>
      </c>
      <c r="J22" s="662">
        <v>297714</v>
      </c>
      <c r="L22" s="241" t="s">
        <v>1425</v>
      </c>
      <c r="M22" s="442" t="s">
        <v>2996</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45" customHeight="1">
      <c r="A23" s="147"/>
      <c r="D23" s="241" t="s">
        <v>1425</v>
      </c>
      <c r="E23" s="241" t="s">
        <v>2997</v>
      </c>
      <c r="F23" s="662">
        <v>115673</v>
      </c>
      <c r="G23" s="662">
        <v>157490</v>
      </c>
      <c r="H23" s="662">
        <v>199159</v>
      </c>
      <c r="I23" s="662">
        <v>262174</v>
      </c>
      <c r="J23" s="662">
        <v>324557</v>
      </c>
      <c r="L23" s="241" t="s">
        <v>1425</v>
      </c>
      <c r="M23" s="442" t="s">
        <v>2997</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45" customHeight="1">
      <c r="A24" s="147"/>
      <c r="D24" s="780" t="s">
        <v>154</v>
      </c>
      <c r="E24" s="780" t="s">
        <v>3001</v>
      </c>
      <c r="F24" s="781">
        <v>142816</v>
      </c>
      <c r="G24" s="781">
        <v>184662</v>
      </c>
      <c r="H24" s="781">
        <v>220865</v>
      </c>
      <c r="I24" s="781">
        <v>263215</v>
      </c>
      <c r="J24" s="781">
        <v>310038</v>
      </c>
      <c r="L24" s="241" t="s">
        <v>154</v>
      </c>
      <c r="M24" s="241" t="s">
        <v>3001</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45" customHeight="1">
      <c r="A25" s="147"/>
      <c r="D25" s="780" t="s">
        <v>154</v>
      </c>
      <c r="E25" s="780" t="s">
        <v>2998</v>
      </c>
      <c r="F25" s="781">
        <v>111333</v>
      </c>
      <c r="G25" s="781">
        <v>155866</v>
      </c>
      <c r="H25" s="781">
        <v>200399</v>
      </c>
      <c r="I25" s="781">
        <v>267199</v>
      </c>
      <c r="J25" s="781">
        <v>333999</v>
      </c>
      <c r="L25" s="241" t="s">
        <v>154</v>
      </c>
      <c r="M25" s="241" t="s">
        <v>2998</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45" customHeight="1">
      <c r="A26" s="147"/>
      <c r="D26" s="780" t="s">
        <v>154</v>
      </c>
      <c r="E26" s="780" t="s">
        <v>2996</v>
      </c>
      <c r="F26" s="781">
        <v>123345</v>
      </c>
      <c r="G26" s="781">
        <v>160923</v>
      </c>
      <c r="H26" s="781">
        <v>194869</v>
      </c>
      <c r="I26" s="781">
        <v>237606</v>
      </c>
      <c r="J26" s="781">
        <v>281429</v>
      </c>
      <c r="L26" s="241" t="s">
        <v>154</v>
      </c>
      <c r="M26" s="241" t="s">
        <v>2996</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45" customHeight="1">
      <c r="A27" s="147"/>
      <c r="D27" s="780" t="s">
        <v>154</v>
      </c>
      <c r="E27" s="780" t="s">
        <v>2997</v>
      </c>
      <c r="F27" s="781">
        <v>110658</v>
      </c>
      <c r="G27" s="781">
        <v>150909</v>
      </c>
      <c r="H27" s="781">
        <v>191026</v>
      </c>
      <c r="I27" s="781">
        <v>251664</v>
      </c>
      <c r="J27" s="781">
        <v>311733</v>
      </c>
      <c r="L27" s="241" t="s">
        <v>154</v>
      </c>
      <c r="M27" s="241" t="s">
        <v>2997</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45" customHeight="1">
      <c r="A28" s="147"/>
      <c r="D28" s="782" t="s">
        <v>1243</v>
      </c>
      <c r="E28" s="782" t="s">
        <v>3001</v>
      </c>
      <c r="F28" s="783">
        <v>145346</v>
      </c>
      <c r="G28" s="783">
        <v>188013</v>
      </c>
      <c r="H28" s="783">
        <v>224927</v>
      </c>
      <c r="I28" s="783">
        <v>268137</v>
      </c>
      <c r="J28" s="783">
        <v>315913</v>
      </c>
      <c r="L28" s="442" t="s">
        <v>1243</v>
      </c>
      <c r="M28" s="442" t="s">
        <v>3001</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45" customHeight="1">
      <c r="A29" s="147"/>
      <c r="D29" s="782" t="s">
        <v>1243</v>
      </c>
      <c r="E29" s="782" t="s">
        <v>2998</v>
      </c>
      <c r="F29" s="783">
        <v>113288</v>
      </c>
      <c r="G29" s="783">
        <v>158603</v>
      </c>
      <c r="H29" s="783">
        <v>203918</v>
      </c>
      <c r="I29" s="783">
        <v>271890</v>
      </c>
      <c r="J29" s="783">
        <v>339863</v>
      </c>
      <c r="L29" s="442" t="s">
        <v>1243</v>
      </c>
      <c r="M29" s="442" t="s">
        <v>2998</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45" customHeight="1">
      <c r="A30" s="147"/>
      <c r="D30" s="782" t="s">
        <v>1243</v>
      </c>
      <c r="E30" s="782" t="s">
        <v>2996</v>
      </c>
      <c r="F30" s="783">
        <v>125163</v>
      </c>
      <c r="G30" s="783">
        <v>163405</v>
      </c>
      <c r="H30" s="783">
        <v>197979</v>
      </c>
      <c r="I30" s="783">
        <v>241592</v>
      </c>
      <c r="J30" s="783">
        <v>286257</v>
      </c>
      <c r="L30" s="442" t="s">
        <v>1243</v>
      </c>
      <c r="M30" s="442" t="s">
        <v>2996</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45" customHeight="1">
      <c r="A31" s="147"/>
      <c r="D31" s="782" t="s">
        <v>1243</v>
      </c>
      <c r="E31" s="782" t="s">
        <v>2997</v>
      </c>
      <c r="F31" s="783">
        <v>112036</v>
      </c>
      <c r="G31" s="783">
        <v>152693</v>
      </c>
      <c r="H31" s="783">
        <v>193210</v>
      </c>
      <c r="I31" s="783">
        <v>254464</v>
      </c>
      <c r="J31" s="783">
        <v>315128</v>
      </c>
      <c r="L31" s="442" t="s">
        <v>1243</v>
      </c>
      <c r="M31" s="442" t="s">
        <v>2997</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45" customHeight="1">
      <c r="A32" s="147"/>
      <c r="D32" s="774" t="s">
        <v>1249</v>
      </c>
      <c r="E32" s="774" t="s">
        <v>3001</v>
      </c>
      <c r="F32" s="775">
        <v>148008</v>
      </c>
      <c r="G32" s="775">
        <v>191377</v>
      </c>
      <c r="H32" s="775">
        <v>228898</v>
      </c>
      <c r="I32" s="775">
        <v>272788</v>
      </c>
      <c r="J32" s="775">
        <v>321315</v>
      </c>
      <c r="L32" s="442" t="s">
        <v>1249</v>
      </c>
      <c r="M32" s="442" t="s">
        <v>3001</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45" customHeight="1">
      <c r="A33" s="147"/>
      <c r="D33" s="774" t="s">
        <v>1249</v>
      </c>
      <c r="E33" s="774" t="s">
        <v>2998</v>
      </c>
      <c r="F33" s="775">
        <v>115381</v>
      </c>
      <c r="G33" s="775">
        <v>161533</v>
      </c>
      <c r="H33" s="775">
        <v>207685</v>
      </c>
      <c r="I33" s="775">
        <v>276913</v>
      </c>
      <c r="J33" s="775">
        <v>346142</v>
      </c>
      <c r="L33" s="442" t="s">
        <v>1249</v>
      </c>
      <c r="M33" s="442" t="s">
        <v>2998</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45" customHeight="1">
      <c r="A34" s="147"/>
      <c r="D34" s="774" t="s">
        <v>1249</v>
      </c>
      <c r="E34" s="774" t="s">
        <v>2996</v>
      </c>
      <c r="F34" s="775">
        <v>127825</v>
      </c>
      <c r="G34" s="775">
        <v>166769</v>
      </c>
      <c r="H34" s="775">
        <v>201950</v>
      </c>
      <c r="I34" s="775">
        <v>246243</v>
      </c>
      <c r="J34" s="775">
        <v>291659</v>
      </c>
      <c r="L34" s="442" t="s">
        <v>1249</v>
      </c>
      <c r="M34" s="442" t="s">
        <v>2996</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45" customHeight="1">
      <c r="A35" s="147"/>
      <c r="D35" s="774" t="s">
        <v>1249</v>
      </c>
      <c r="E35" s="774" t="s">
        <v>2997</v>
      </c>
      <c r="F35" s="775">
        <v>114674</v>
      </c>
      <c r="G35" s="775">
        <v>156385</v>
      </c>
      <c r="H35" s="775">
        <v>197957</v>
      </c>
      <c r="I35" s="775">
        <v>260794</v>
      </c>
      <c r="J35" s="775">
        <v>323041</v>
      </c>
      <c r="L35" s="442" t="s">
        <v>1249</v>
      </c>
      <c r="M35" s="442" t="s">
        <v>2997</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45" customHeight="1">
      <c r="A36" s="147"/>
      <c r="D36" s="778" t="s">
        <v>1578</v>
      </c>
      <c r="E36" s="778" t="s">
        <v>3001</v>
      </c>
      <c r="F36" s="779">
        <v>135717</v>
      </c>
      <c r="G36" s="779">
        <v>175691</v>
      </c>
      <c r="H36" s="779">
        <v>210278</v>
      </c>
      <c r="I36" s="779">
        <v>250813</v>
      </c>
      <c r="J36" s="779">
        <v>295633</v>
      </c>
      <c r="L36" s="442" t="s">
        <v>1578</v>
      </c>
      <c r="M36" s="442" t="s">
        <v>3001</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45" customHeight="1">
      <c r="A37" s="147"/>
      <c r="D37" s="778" t="s">
        <v>1578</v>
      </c>
      <c r="E37" s="778" t="s">
        <v>2998</v>
      </c>
      <c r="F37" s="779">
        <v>105752</v>
      </c>
      <c r="G37" s="779">
        <v>148052</v>
      </c>
      <c r="H37" s="779">
        <v>190353</v>
      </c>
      <c r="I37" s="779">
        <v>253804</v>
      </c>
      <c r="J37" s="779">
        <v>317255</v>
      </c>
      <c r="L37" s="442" t="s">
        <v>1578</v>
      </c>
      <c r="M37" s="442" t="s">
        <v>2998</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45" customHeight="1">
      <c r="A38" s="147"/>
      <c r="D38" s="778" t="s">
        <v>1578</v>
      </c>
      <c r="E38" s="778" t="s">
        <v>2996</v>
      </c>
      <c r="F38" s="779">
        <v>116246</v>
      </c>
      <c r="G38" s="779">
        <v>151952</v>
      </c>
      <c r="H38" s="779">
        <v>184281</v>
      </c>
      <c r="I38" s="779">
        <v>225204</v>
      </c>
      <c r="J38" s="779">
        <v>267023</v>
      </c>
      <c r="L38" s="442" t="s">
        <v>1578</v>
      </c>
      <c r="M38" s="442" t="s">
        <v>2996</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45" customHeight="1">
      <c r="A39" s="147"/>
      <c r="D39" s="778" t="s">
        <v>1578</v>
      </c>
      <c r="E39" s="778" t="s">
        <v>2997</v>
      </c>
      <c r="F39" s="779">
        <v>103624</v>
      </c>
      <c r="G39" s="779">
        <v>141062</v>
      </c>
      <c r="H39" s="779">
        <v>178366</v>
      </c>
      <c r="I39" s="779">
        <v>234784</v>
      </c>
      <c r="J39" s="779">
        <v>290632</v>
      </c>
      <c r="L39" s="442" t="s">
        <v>1578</v>
      </c>
      <c r="M39" s="442" t="s">
        <v>2997</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2" t="s">
        <v>6534</v>
      </c>
      <c r="B42" s="1803"/>
      <c r="C42" s="1803"/>
    </row>
    <row r="44" spans="1:295" s="28" customFormat="1" ht="12.75" customHeight="1">
      <c r="A44" s="2" t="s">
        <v>689</v>
      </c>
      <c r="B44" s="4" t="s">
        <v>2463</v>
      </c>
      <c r="C44" s="4"/>
      <c r="D44" s="4"/>
      <c r="E44" s="889"/>
      <c r="G44" s="488"/>
      <c r="H44" s="488"/>
      <c r="I44" s="488"/>
      <c r="J44" s="35"/>
      <c r="L44" s="489"/>
      <c r="M44" s="489"/>
      <c r="N44" s="489"/>
      <c r="O44" s="101" t="s">
        <v>1731</v>
      </c>
      <c r="P44" s="3236"/>
      <c r="Q44" s="3225"/>
    </row>
    <row r="45" spans="1:295" s="28" customFormat="1" ht="11.25" customHeight="1">
      <c r="A45" s="3414"/>
      <c r="B45" s="3414"/>
      <c r="C45" s="3414"/>
      <c r="D45" s="3414"/>
      <c r="E45" s="3414"/>
      <c r="F45" s="1247"/>
      <c r="G45" s="3398" t="s">
        <v>2467</v>
      </c>
      <c r="H45" s="3399"/>
      <c r="I45" s="66"/>
      <c r="J45" s="35"/>
      <c r="K45" s="3400" t="s">
        <v>3168</v>
      </c>
      <c r="L45" s="3401"/>
      <c r="M45" s="3401"/>
      <c r="N45" s="3402"/>
    </row>
    <row r="46" spans="1:295" s="28" customFormat="1" ht="11.25" customHeight="1">
      <c r="A46" s="3414"/>
      <c r="B46" s="3414"/>
      <c r="C46" s="3414"/>
      <c r="D46" s="3414"/>
      <c r="E46" s="3414"/>
      <c r="F46" s="1247"/>
      <c r="G46" s="3403" t="s">
        <v>333</v>
      </c>
      <c r="H46" s="3404"/>
      <c r="I46" s="66"/>
      <c r="J46" s="35"/>
      <c r="K46" s="3409" t="s">
        <v>3169</v>
      </c>
      <c r="L46" s="3410"/>
      <c r="M46" s="3410"/>
      <c r="N46" s="3411"/>
      <c r="P46" s="405" t="s">
        <v>2476</v>
      </c>
      <c r="Q46" s="74"/>
    </row>
    <row r="47" spans="1:295" s="28" customFormat="1" ht="4.5" customHeight="1">
      <c r="A47" s="1247"/>
      <c r="B47" s="1247"/>
      <c r="C47" s="1247"/>
      <c r="D47" s="1247"/>
      <c r="E47" s="1247"/>
      <c r="F47" s="1247"/>
      <c r="G47" s="66"/>
      <c r="H47" s="66"/>
      <c r="I47" s="66"/>
      <c r="J47" s="35"/>
      <c r="K47" s="3354"/>
      <c r="L47" s="3354"/>
      <c r="M47" s="3354"/>
      <c r="N47" s="3354"/>
      <c r="P47" s="3412" t="s">
        <v>3941</v>
      </c>
      <c r="Q47" s="3412"/>
    </row>
    <row r="48" spans="1:295" s="62" customFormat="1" ht="10.5" customHeight="1">
      <c r="D48" s="491" t="s">
        <v>2466</v>
      </c>
      <c r="E48" s="28"/>
      <c r="F48" s="492" t="s">
        <v>3071</v>
      </c>
      <c r="G48" s="3427" t="s">
        <v>3898</v>
      </c>
      <c r="H48" s="3427"/>
      <c r="I48" s="3427"/>
      <c r="J48" s="28"/>
      <c r="K48" s="492" t="s">
        <v>3071</v>
      </c>
      <c r="L48" s="3427" t="s">
        <v>3897</v>
      </c>
      <c r="M48" s="3427"/>
      <c r="N48" s="3427"/>
      <c r="O48" s="28"/>
      <c r="P48" s="3412"/>
      <c r="Q48" s="3412"/>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3397" t="s">
        <v>3001</v>
      </c>
      <c r="B49" s="3397"/>
      <c r="C49" s="3397"/>
      <c r="D49" s="659" t="s">
        <v>526</v>
      </c>
      <c r="E49" s="660">
        <v>0</v>
      </c>
      <c r="F49" s="1245" t="str">
        <f>IF('Part V-Revenues &amp; Expenses'!$K$147 =0,"",'Part V-Revenues &amp; Expenses'!$K$147)</f>
        <v/>
      </c>
      <c r="G49" s="661" t="e">
        <f ca="1">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#NUM!</v>
      </c>
      <c r="H49" s="33" t="str">
        <f>CONCATENATE("x ", F49," units = ")</f>
        <v xml:space="preserve">x  units = </v>
      </c>
      <c r="I49" s="1246" t="str">
        <f>IF(F49="","",F49*G49)</f>
        <v/>
      </c>
      <c r="J49" s="35"/>
      <c r="K49" s="1245" t="str">
        <f>IF('Part V-Revenues &amp; Expenses'!$K$148 =0,"",'Part V-Revenues &amp; Expenses'!$K$148)</f>
        <v/>
      </c>
      <c r="L49" s="661" t="e">
        <f ca="1">G49*(1+'DCA Underwriting Assumptions'!$Q$12)</f>
        <v>#NUM!</v>
      </c>
      <c r="M49" s="33" t="str">
        <f>CONCATENATE("x ", K49," units = ")</f>
        <v xml:space="preserve">x  units = </v>
      </c>
      <c r="N49" s="1246" t="str">
        <f>IF(K49="","",K49*L49)</f>
        <v/>
      </c>
      <c r="O49" s="889"/>
      <c r="P49" s="3413"/>
      <c r="Q49" s="3413"/>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3397"/>
      <c r="B50" s="3397"/>
      <c r="C50" s="3397"/>
      <c r="D50" s="659" t="s">
        <v>2246</v>
      </c>
      <c r="E50" s="660">
        <v>1</v>
      </c>
      <c r="F50" s="1245" t="str">
        <f>IF('Part V-Revenues &amp; Expenses'!$L$147 =0,"",'Part V-Revenues &amp; Expenses'!$L$147)</f>
        <v/>
      </c>
      <c r="G50" s="661" t="e">
        <f ca="1">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#NUM!</v>
      </c>
      <c r="H50" s="33" t="str">
        <f>CONCATENATE("x ", F50," units = ")</f>
        <v xml:space="preserve">x  units = </v>
      </c>
      <c r="I50" s="1246" t="str">
        <f>IF(F50="","",F50*G50)</f>
        <v/>
      </c>
      <c r="J50" s="35"/>
      <c r="K50" s="1245" t="str">
        <f>IF('Part V-Revenues &amp; Expenses'!$L$148 =0,"",'Part V-Revenues &amp; Expenses'!$L$148)</f>
        <v/>
      </c>
      <c r="L50" s="661" t="e">
        <f ca="1">G50*(1+'DCA Underwriting Assumptions'!$Q$12)</f>
        <v>#NUM!</v>
      </c>
      <c r="M50" s="33" t="str">
        <f>CONCATENATE("x ", K50," units = ")</f>
        <v xml:space="preserve">x  units = </v>
      </c>
      <c r="N50" s="1246" t="str">
        <f>IF(K50="","",K50*L50)</f>
        <v/>
      </c>
      <c r="O50" s="889"/>
      <c r="P50" s="3419" t="str">
        <f>IF('Part I-Project Identification'!$F$30="","",VLOOKUP('Part I-Project Identification'!$J$30,'DCA Underwriting Assumptions'!$G$136:$N$295,8,FALSE))</f>
        <v>Atlanta</v>
      </c>
      <c r="Q50" s="3420"/>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3397"/>
      <c r="B51" s="3397"/>
      <c r="C51" s="3397"/>
      <c r="D51" s="659" t="s">
        <v>2247</v>
      </c>
      <c r="E51" s="660">
        <v>2</v>
      </c>
      <c r="F51" s="1245" t="str">
        <f>IF('Part V-Revenues &amp; Expenses'!$M$147 =0,"",'Part V-Revenues &amp; Expenses'!$M$147)</f>
        <v/>
      </c>
      <c r="G51" s="661" t="e">
        <f ca="1">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#NUM!</v>
      </c>
      <c r="H51" s="33" t="str">
        <f>CONCATENATE("x ", F51," units = ")</f>
        <v xml:space="preserve">x  units = </v>
      </c>
      <c r="I51" s="1246" t="str">
        <f>IF(F51="","",F51*G51)</f>
        <v/>
      </c>
      <c r="J51" s="35"/>
      <c r="K51" s="1245" t="str">
        <f>IF('Part V-Revenues &amp; Expenses'!$M$148 =0,"",'Part V-Revenues &amp; Expenses'!$M$148)</f>
        <v/>
      </c>
      <c r="L51" s="661" t="e">
        <f ca="1">G51*(1+'DCA Underwriting Assumptions'!$Q$12)</f>
        <v>#NUM!</v>
      </c>
      <c r="M51" s="33" t="str">
        <f>CONCATENATE("x ", K51," units = ")</f>
        <v xml:space="preserve">x  units = </v>
      </c>
      <c r="N51" s="1246" t="str">
        <f>IF(K51="","",K51*L51)</f>
        <v/>
      </c>
      <c r="O51" s="889"/>
      <c r="P51" s="3421"/>
      <c r="Q51" s="3422"/>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3397"/>
      <c r="B52" s="3397"/>
      <c r="C52" s="3397"/>
      <c r="D52" s="659" t="s">
        <v>2248</v>
      </c>
      <c r="E52" s="660">
        <v>3</v>
      </c>
      <c r="F52" s="1245" t="str">
        <f>IF('Part V-Revenues &amp; Expenses'!$N$147 =0,"",'Part V-Revenues &amp; Expenses'!$N$147)</f>
        <v/>
      </c>
      <c r="G52" s="661" t="e">
        <f ca="1">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#NUM!</v>
      </c>
      <c r="H52" s="33" t="str">
        <f>CONCATENATE("x ", F52," units = ")</f>
        <v xml:space="preserve">x  units = </v>
      </c>
      <c r="I52" s="1246" t="str">
        <f>IF(F52="","",F52*G52)</f>
        <v/>
      </c>
      <c r="J52" s="35"/>
      <c r="K52" s="1245" t="str">
        <f>IF('Part V-Revenues &amp; Expenses'!$N$148 =0,"",'Part V-Revenues &amp; Expenses'!$N$148)</f>
        <v/>
      </c>
      <c r="L52" s="661" t="e">
        <f ca="1">G52*(1+'DCA Underwriting Assumptions'!$Q$12)</f>
        <v>#NUM!</v>
      </c>
      <c r="M52" s="33" t="str">
        <f>CONCATENATE("x ", K52," units = ")</f>
        <v xml:space="preserve">x  units = </v>
      </c>
      <c r="N52" s="1246" t="str">
        <f>IF(K52="","",K52*L52)</f>
        <v/>
      </c>
      <c r="O52" s="889"/>
      <c r="P52" s="3210" t="s">
        <v>3942</v>
      </c>
      <c r="Q52" s="3210"/>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2249</v>
      </c>
      <c r="E53" s="660">
        <v>4</v>
      </c>
      <c r="F53" s="1245" t="str">
        <f>IF('Part V-Revenues &amp; Expenses'!$O$147 =0,"",'Part V-Revenues &amp; Expenses'!$O$147)</f>
        <v/>
      </c>
      <c r="G53" s="661" t="e">
        <f ca="1">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#NUM!</v>
      </c>
      <c r="H53" s="33" t="str">
        <f>CONCATENATE("x ", F53," units = ")</f>
        <v xml:space="preserve">x  units = </v>
      </c>
      <c r="I53" s="1246" t="str">
        <f>IF(F53="","",F53*G53)</f>
        <v/>
      </c>
      <c r="J53" s="35"/>
      <c r="K53" s="1245" t="str">
        <f>IF('Part V-Revenues &amp; Expenses'!$O$148 =0,"",'Part V-Revenues &amp; Expenses'!$O$148)</f>
        <v/>
      </c>
      <c r="L53" s="661" t="e">
        <f ca="1">G53*(1+'DCA Underwriting Assumptions'!$Q$12)</f>
        <v>#NUM!</v>
      </c>
      <c r="M53" s="33" t="str">
        <f>CONCATENATE("x ", K53," units = ")</f>
        <v xml:space="preserve">x  units = </v>
      </c>
      <c r="N53" s="1246" t="str">
        <f>IF(K53="","",K53*L53)</f>
        <v/>
      </c>
      <c r="O53" s="889"/>
      <c r="P53" s="3405">
        <f>'Part III-A-Uses of Funds'!$G$146</f>
        <v>36348071</v>
      </c>
      <c r="Q53" s="3406"/>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3005</v>
      </c>
      <c r="E54" s="102"/>
      <c r="F54" s="870">
        <f>SUM(F49:F53)</f>
        <v>0</v>
      </c>
      <c r="G54" s="493"/>
      <c r="H54" s="871"/>
      <c r="I54" s="872">
        <f>SUM(I49:I53)</f>
        <v>0</v>
      </c>
      <c r="J54" s="873"/>
      <c r="K54" s="870">
        <f>SUM(K49:K53)</f>
        <v>0</v>
      </c>
      <c r="L54" s="873"/>
      <c r="M54" s="871"/>
      <c r="N54" s="872">
        <f>SUM(N49:N53)</f>
        <v>0</v>
      </c>
      <c r="O54" s="889"/>
      <c r="P54" s="3210" t="s">
        <v>3933</v>
      </c>
      <c r="Q54" s="3210"/>
      <c r="R54" s="3445" t="s">
        <v>6308</v>
      </c>
      <c r="S54" s="3445"/>
      <c r="T54" s="3445"/>
      <c r="V54" s="1317"/>
      <c r="W54" s="1317"/>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9"/>
      <c r="N55" s="494"/>
      <c r="O55" s="889"/>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3397" t="s">
        <v>2996</v>
      </c>
      <c r="B56" s="3397"/>
      <c r="C56" s="3397"/>
      <c r="D56" s="659" t="s">
        <v>526</v>
      </c>
      <c r="E56" s="663">
        <v>0</v>
      </c>
      <c r="F56" s="1245" t="str">
        <f>IF('Part V-Revenues &amp; Expenses'!$K$149 =0,"",'Part V-Revenues &amp; Expenses'!$K$149)</f>
        <v/>
      </c>
      <c r="G56" s="661" t="e">
        <f ca="1">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#NUM!</v>
      </c>
      <c r="H56" s="33" t="str">
        <f>CONCATENATE("x ", F56," units = ")</f>
        <v xml:space="preserve">x  units = </v>
      </c>
      <c r="I56" s="1246" t="str">
        <f>IF(F56="","",F56*G56)</f>
        <v/>
      </c>
      <c r="J56" s="35"/>
      <c r="K56" s="1245" t="str">
        <f>IF('Part V-Revenues &amp; Expenses'!$K$150 =0,"",'Part V-Revenues &amp; Expenses'!$K$150)</f>
        <v/>
      </c>
      <c r="L56" s="661" t="e">
        <f ca="1">G56*(1+'DCA Underwriting Assumptions'!$Q$12)</f>
        <v>#NUM!</v>
      </c>
      <c r="M56" s="33" t="str">
        <f>CONCATENATE("x ", K56," units = ")</f>
        <v xml:space="preserve">x  units = </v>
      </c>
      <c r="N56" s="1246" t="str">
        <f>IF(K56="","",K56*L56)</f>
        <v/>
      </c>
      <c r="P56" s="3405">
        <f>'Part III-A-Uses of Funds'!$G$146-'Part III-A-Uses of Funds'!$G$92-'Part III-A-Uses of Funds'!$G$114-'Part III-A-Uses of Funds'!$G$130-'Part III-A-Uses of Funds'!$G$131-'Part III-A-Uses of Funds'!$G$132</f>
        <v>34182045</v>
      </c>
      <c r="Q56" s="3406"/>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3397"/>
      <c r="B57" s="3397"/>
      <c r="C57" s="3397"/>
      <c r="D57" s="659" t="s">
        <v>2246</v>
      </c>
      <c r="E57" s="660">
        <v>1</v>
      </c>
      <c r="F57" s="1245" t="str">
        <f>IF('Part V-Revenues &amp; Expenses'!$L$149 =0,"",'Part V-Revenues &amp; Expenses'!$L$149)</f>
        <v/>
      </c>
      <c r="G57" s="661" t="e">
        <f ca="1">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#NUM!</v>
      </c>
      <c r="H57" s="33" t="str">
        <f>CONCATENATE("x ", F57," units = ")</f>
        <v xml:space="preserve">x  units = </v>
      </c>
      <c r="I57" s="1246" t="str">
        <f>IF(F57="","",F57*G57)</f>
        <v/>
      </c>
      <c r="J57" s="35"/>
      <c r="K57" s="1245" t="str">
        <f>IF('Part V-Revenues &amp; Expenses'!$L$150 =0,"",'Part V-Revenues &amp; Expenses'!$L$150)</f>
        <v/>
      </c>
      <c r="L57" s="661" t="e">
        <f ca="1">G57*(1+'DCA Underwriting Assumptions'!$Q$12)</f>
        <v>#NUM!</v>
      </c>
      <c r="M57" s="33" t="str">
        <f>CONCATENATE("x ", K57," units = ")</f>
        <v xml:space="preserve">x  units = </v>
      </c>
      <c r="N57" s="1246" t="str">
        <f>IF(K57="","",K57*L57)</f>
        <v/>
      </c>
      <c r="P57" s="2583" t="s">
        <v>3369</v>
      </c>
      <c r="Q57" s="2583"/>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3397"/>
      <c r="B58" s="3397"/>
      <c r="C58" s="3397"/>
      <c r="D58" s="659" t="s">
        <v>2247</v>
      </c>
      <c r="E58" s="660">
        <v>2</v>
      </c>
      <c r="F58" s="1245" t="str">
        <f>IF('Part V-Revenues &amp; Expenses'!$M$149 =0,"",'Part V-Revenues &amp; Expenses'!$M$149)</f>
        <v/>
      </c>
      <c r="G58" s="661" t="e">
        <f ca="1">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#NUM!</v>
      </c>
      <c r="H58" s="33" t="str">
        <f>CONCATENATE("x ", F58," units = ")</f>
        <v xml:space="preserve">x  units = </v>
      </c>
      <c r="I58" s="1246" t="str">
        <f>IF(F58="","",F58*G58)</f>
        <v/>
      </c>
      <c r="J58" s="35"/>
      <c r="K58" s="1245" t="str">
        <f>IF('Part V-Revenues &amp; Expenses'!$M$150 =0,"",'Part V-Revenues &amp; Expenses'!$M$150)</f>
        <v/>
      </c>
      <c r="L58" s="661" t="e">
        <f ca="1">G58*(1+'DCA Underwriting Assumptions'!$Q$12)</f>
        <v>#NUM!</v>
      </c>
      <c r="M58" s="33" t="str">
        <f>CONCATENATE("x ", K58," units = ")</f>
        <v xml:space="preserve">x  units = </v>
      </c>
      <c r="N58" s="1246" t="str">
        <f>IF(K58="","",K58*L58)</f>
        <v/>
      </c>
      <c r="O58" s="441"/>
      <c r="P58" s="3423"/>
      <c r="Q58" s="3424"/>
      <c r="R58" s="328"/>
      <c r="S58" s="3428" t="s">
        <v>3936</v>
      </c>
      <c r="T58" s="3429"/>
      <c r="U58" s="3429"/>
      <c r="V58" s="3430"/>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2248</v>
      </c>
      <c r="E59" s="660">
        <v>3</v>
      </c>
      <c r="F59" s="1245" t="str">
        <f>IF('Part V-Revenues &amp; Expenses'!$N$149 =0,"",'Part V-Revenues &amp; Expenses'!$N$149)</f>
        <v/>
      </c>
      <c r="G59" s="661" t="e">
        <f ca="1">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#NUM!</v>
      </c>
      <c r="H59" s="33" t="str">
        <f>CONCATENATE("x ", F59," units = ")</f>
        <v xml:space="preserve">x  units = </v>
      </c>
      <c r="I59" s="1246" t="str">
        <f>IF(F59="","",F59*G59)</f>
        <v/>
      </c>
      <c r="J59" s="35"/>
      <c r="K59" s="1245" t="str">
        <f>IF('Part V-Revenues &amp; Expenses'!$N$150 =0,"",'Part V-Revenues &amp; Expenses'!$N$150)</f>
        <v/>
      </c>
      <c r="L59" s="661" t="e">
        <f ca="1">G59*(1+'DCA Underwriting Assumptions'!$Q$12)</f>
        <v>#NUM!</v>
      </c>
      <c r="M59" s="33" t="str">
        <f>CONCATENATE("x ", K59," units = ")</f>
        <v xml:space="preserve">x  units = </v>
      </c>
      <c r="N59" s="1246" t="str">
        <f>IF(K59="","",K59*L59)</f>
        <v/>
      </c>
      <c r="O59" s="441"/>
      <c r="P59" s="3425"/>
      <c r="Q59" s="3426"/>
      <c r="S59" s="3431"/>
      <c r="T59" s="3432"/>
      <c r="U59" s="3432"/>
      <c r="V59" s="3433"/>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2249</v>
      </c>
      <c r="E60" s="660">
        <v>4</v>
      </c>
      <c r="F60" s="1245" t="str">
        <f>IF('Part V-Revenues &amp; Expenses'!$O$149 =0,"",'Part V-Revenues &amp; Expenses'!$O$149)</f>
        <v/>
      </c>
      <c r="G60" s="661" t="e">
        <f ca="1">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#NUM!</v>
      </c>
      <c r="H60" s="33" t="str">
        <f>CONCATENATE("x ", F60," units = ")</f>
        <v xml:space="preserve">x  units = </v>
      </c>
      <c r="I60" s="1246" t="str">
        <f>IF(F60="","",F60*G60)</f>
        <v/>
      </c>
      <c r="J60" s="35"/>
      <c r="K60" s="1245" t="str">
        <f>IF('Part V-Revenues &amp; Expenses'!$O$150 =0,"",'Part V-Revenues &amp; Expenses'!$O$150)</f>
        <v/>
      </c>
      <c r="L60" s="661" t="e">
        <f ca="1">G60*(1+'DCA Underwriting Assumptions'!$Q$12)</f>
        <v>#NUM!</v>
      </c>
      <c r="M60" s="33" t="str">
        <f>CONCATENATE("x ", K60," units = ")</f>
        <v xml:space="preserve">x  units = </v>
      </c>
      <c r="N60" s="1246" t="str">
        <f>IF(K60="","",K60*L60)</f>
        <v/>
      </c>
      <c r="O60" s="441"/>
      <c r="P60" s="3408" t="s">
        <v>3164</v>
      </c>
      <c r="Q60" s="3408"/>
      <c r="S60" s="3431"/>
      <c r="T60" s="3432"/>
      <c r="U60" s="3432"/>
      <c r="V60" s="3433"/>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3005</v>
      </c>
      <c r="E61" s="102"/>
      <c r="F61" s="870">
        <f>SUM(F56:F60)</f>
        <v>0</v>
      </c>
      <c r="G61" s="493"/>
      <c r="H61" s="871"/>
      <c r="I61" s="872">
        <f>SUM(I56:I60)</f>
        <v>0</v>
      </c>
      <c r="J61" s="873"/>
      <c r="K61" s="870">
        <f>SUM(K56:K60)</f>
        <v>0</v>
      </c>
      <c r="L61" s="873"/>
      <c r="M61" s="871"/>
      <c r="N61" s="872">
        <f>SUM(N56:N60)</f>
        <v>0</v>
      </c>
      <c r="O61" s="441"/>
      <c r="P61" s="876" t="s">
        <v>2892</v>
      </c>
      <c r="Q61" s="876" t="s">
        <v>245</v>
      </c>
      <c r="R61" s="328"/>
      <c r="S61" s="3431"/>
      <c r="T61" s="3432"/>
      <c r="U61" s="3432"/>
      <c r="V61" s="3433"/>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9"/>
      <c r="N62" s="494"/>
      <c r="O62" s="441"/>
      <c r="R62" s="328"/>
      <c r="S62" s="3431"/>
      <c r="T62" s="3432"/>
      <c r="U62" s="3432"/>
      <c r="V62" s="3433"/>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2997</v>
      </c>
      <c r="B63" s="450"/>
      <c r="C63" s="1"/>
      <c r="D63" s="659" t="s">
        <v>526</v>
      </c>
      <c r="E63" s="660">
        <v>0</v>
      </c>
      <c r="F63" s="1245" t="str">
        <f>IF('Part V-Revenues &amp; Expenses'!$K$151 =0,"",'Part V-Revenues &amp; Expenses'!$K$151)</f>
        <v/>
      </c>
      <c r="G63" s="661" t="e">
        <f ca="1">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#NUM!</v>
      </c>
      <c r="H63" s="33" t="str">
        <f>CONCATENATE("x ", F63," units = ")</f>
        <v xml:space="preserve">x  units = </v>
      </c>
      <c r="I63" s="1246" t="str">
        <f>IF(F63="","",F63*G63)</f>
        <v/>
      </c>
      <c r="J63" s="35"/>
      <c r="K63" s="1245" t="str">
        <f>IF('Part V-Revenues &amp; Expenses'!$K$152 =0,"",'Part V-Revenues &amp; Expenses'!$K$152)</f>
        <v/>
      </c>
      <c r="L63" s="661" t="e">
        <f ca="1">G63*(1+'DCA Underwriting Assumptions'!$Q$12)</f>
        <v>#NUM!</v>
      </c>
      <c r="M63" s="33" t="str">
        <f>CONCATENATE("x ", K63," units = ")</f>
        <v xml:space="preserve">x  units = </v>
      </c>
      <c r="N63" s="1246" t="str">
        <f>IF(K63="","",K63*L63)</f>
        <v/>
      </c>
      <c r="O63" s="441"/>
      <c r="P63" s="875">
        <f>'Part VIII Scoring Criteria'!O377</f>
        <v>0</v>
      </c>
      <c r="Q63" s="875">
        <f>'Part VIII Scoring Criteria'!P377</f>
        <v>0</v>
      </c>
      <c r="R63" s="328"/>
      <c r="S63" s="3431"/>
      <c r="T63" s="3432"/>
      <c r="U63" s="3432"/>
      <c r="V63" s="3433"/>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2246</v>
      </c>
      <c r="E64" s="660">
        <v>1</v>
      </c>
      <c r="F64" s="1245">
        <f>IF('Part V-Revenues &amp; Expenses'!$L$151 =0,"",'Part V-Revenues &amp; Expenses'!$L$151)</f>
        <v>15</v>
      </c>
      <c r="G64" s="661" t="e">
        <f ca="1">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#NUM!</v>
      </c>
      <c r="H64" s="33" t="str">
        <f>CONCATENATE("x ", F64," units = ")</f>
        <v xml:space="preserve">x 15 units = </v>
      </c>
      <c r="I64" s="1246" t="e">
        <f ca="1">IF(F64="","",F64*G64)</f>
        <v>#NUM!</v>
      </c>
      <c r="J64" s="35"/>
      <c r="K64" s="1245" t="str">
        <f>IF('Part V-Revenues &amp; Expenses'!$L$152 =0,"",'Part V-Revenues &amp; Expenses'!$L$152)</f>
        <v/>
      </c>
      <c r="L64" s="661" t="e">
        <f ca="1">G64*(1+'DCA Underwriting Assumptions'!$Q$12)</f>
        <v>#NUM!</v>
      </c>
      <c r="M64" s="33" t="str">
        <f>CONCATENATE("x ", K64," units = ")</f>
        <v xml:space="preserve">x  units = </v>
      </c>
      <c r="N64" s="1246" t="str">
        <f>IF(K64="","",K64*L64)</f>
        <v/>
      </c>
      <c r="P64" s="3408" t="s">
        <v>3165</v>
      </c>
      <c r="Q64" s="3408"/>
      <c r="S64" s="3431"/>
      <c r="T64" s="3432"/>
      <c r="U64" s="3432"/>
      <c r="V64" s="3433"/>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2247</v>
      </c>
      <c r="E65" s="660">
        <v>2</v>
      </c>
      <c r="F65" s="1245">
        <f>IF('Part V-Revenues &amp; Expenses'!$M$151 =0,"",'Part V-Revenues &amp; Expenses'!$M$151)</f>
        <v>39</v>
      </c>
      <c r="G65" s="661" t="e">
        <f ca="1">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#NUM!</v>
      </c>
      <c r="H65" s="33" t="str">
        <f>CONCATENATE("x ", F65," units = ")</f>
        <v xml:space="preserve">x 39 units = </v>
      </c>
      <c r="I65" s="1246" t="str">
        <f ca="1">IF(F65="","",F65*G65)</f>
        <v/>
      </c>
      <c r="J65" s="35"/>
      <c r="K65" s="1245" t="str">
        <f>IF('Part V-Revenues &amp; Expenses'!$M$152 =0,"",'Part V-Revenues &amp; Expenses'!$M$152)</f>
        <v/>
      </c>
      <c r="L65" s="661" t="e">
        <f ca="1">G65*(1+'DCA Underwriting Assumptions'!$Q$12)</f>
        <v>#NUM!</v>
      </c>
      <c r="M65" s="33" t="str">
        <f>CONCATENATE("x ", K65," units = ")</f>
        <v xml:space="preserve">x  units = </v>
      </c>
      <c r="N65" s="1246" t="str">
        <f>IF(K65="","",K65*L65)</f>
        <v/>
      </c>
      <c r="P65" s="876" t="s">
        <v>2892</v>
      </c>
      <c r="Q65" s="876" t="s">
        <v>245</v>
      </c>
      <c r="S65" s="3431"/>
      <c r="T65" s="3432"/>
      <c r="U65" s="3432"/>
      <c r="V65" s="3433"/>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2248</v>
      </c>
      <c r="E66" s="660">
        <v>3</v>
      </c>
      <c r="F66" s="1245">
        <f>IF('Part V-Revenues &amp; Expenses'!$N$151 =0,"",'Part V-Revenues &amp; Expenses'!$N$151)</f>
        <v>45</v>
      </c>
      <c r="G66" s="661" t="e">
        <f ca="1">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#NUM!</v>
      </c>
      <c r="H66" s="33" t="str">
        <f>CONCATENATE("x ", F66," units = ")</f>
        <v xml:space="preserve">x 45 units = </v>
      </c>
      <c r="I66" s="1246" t="str">
        <f ca="1">IF(F66="","",F66*G66)</f>
        <v/>
      </c>
      <c r="J66" s="35"/>
      <c r="K66" s="1245" t="str">
        <f>IF('Part V-Revenues &amp; Expenses'!$N$152 =0,"",'Part V-Revenues &amp; Expenses'!$N$152)</f>
        <v/>
      </c>
      <c r="L66" s="661" t="e">
        <f ca="1">G66*(1+'DCA Underwriting Assumptions'!$Q$12)</f>
        <v>#NUM!</v>
      </c>
      <c r="M66" s="33" t="str">
        <f>CONCATENATE("x ", K66," units = ")</f>
        <v xml:space="preserve">x  units = </v>
      </c>
      <c r="N66" s="1246" t="str">
        <f>IF(K66="","",K66*L66)</f>
        <v/>
      </c>
      <c r="O66" s="441"/>
      <c r="P66" s="875">
        <f>'Part VIII Scoring Criteria'!O112</f>
        <v>0</v>
      </c>
      <c r="Q66" s="875">
        <f>'Part VIII Scoring Criteria'!P112</f>
        <v>0</v>
      </c>
      <c r="S66" s="3431"/>
      <c r="T66" s="3432"/>
      <c r="U66" s="3432"/>
      <c r="V66" s="3433"/>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2249</v>
      </c>
      <c r="E67" s="660">
        <v>4</v>
      </c>
      <c r="F67" s="1245">
        <f>IF('Part V-Revenues &amp; Expenses'!$O$151 =0,"",'Part V-Revenues &amp; Expenses'!$O$151)</f>
        <v>21</v>
      </c>
      <c r="G67" s="661" t="e">
        <f ca="1">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#NUM!</v>
      </c>
      <c r="H67" s="33" t="str">
        <f>CONCATENATE("x ", F67," units = ")</f>
        <v xml:space="preserve">x 21 units = </v>
      </c>
      <c r="I67" s="1246" t="str">
        <f ca="1">IF(F67="","",F67*G67)</f>
        <v/>
      </c>
      <c r="J67" s="35"/>
      <c r="K67" s="1245" t="str">
        <f>IF('Part V-Revenues &amp; Expenses'!$O$152 =0,"",'Part V-Revenues &amp; Expenses'!$O$152)</f>
        <v/>
      </c>
      <c r="L67" s="661" t="e">
        <f ca="1">G67*(1+'DCA Underwriting Assumptions'!$Q$12)</f>
        <v>#NUM!</v>
      </c>
      <c r="M67" s="33" t="str">
        <f>CONCATENATE("x ", K67," units = ")</f>
        <v xml:space="preserve">x  units = </v>
      </c>
      <c r="N67" s="1246" t="str">
        <f>IF(K67="","",K67*L67)</f>
        <v/>
      </c>
      <c r="O67" s="441"/>
      <c r="P67" s="3440" t="s">
        <v>2494</v>
      </c>
      <c r="Q67" s="3440"/>
      <c r="S67" s="3431"/>
      <c r="T67" s="3432"/>
      <c r="U67" s="3432"/>
      <c r="V67" s="3433"/>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3005</v>
      </c>
      <c r="E68" s="102"/>
      <c r="F68" s="870">
        <f>SUM(F63:F67)</f>
        <v>120</v>
      </c>
      <c r="G68" s="493"/>
      <c r="H68" s="871"/>
      <c r="I68" s="872" t="e">
        <f ca="1">SUM(I63:I67)</f>
        <v>#NUM!</v>
      </c>
      <c r="J68" s="873"/>
      <c r="K68" s="870">
        <f>SUM(K63:K67)</f>
        <v>0</v>
      </c>
      <c r="L68" s="873"/>
      <c r="M68" s="871"/>
      <c r="N68" s="872">
        <f>SUM(N63:N67)</f>
        <v>0</v>
      </c>
      <c r="O68" s="441"/>
      <c r="P68" s="3440"/>
      <c r="Q68" s="3440"/>
      <c r="S68" s="3431"/>
      <c r="T68" s="3432"/>
      <c r="U68" s="3432"/>
      <c r="V68" s="3433"/>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9"/>
      <c r="N69" s="494"/>
      <c r="O69" s="441"/>
      <c r="P69" s="3440"/>
      <c r="Q69" s="3440"/>
      <c r="R69" s="328"/>
      <c r="S69" s="3431"/>
      <c r="T69" s="3432"/>
      <c r="U69" s="3432"/>
      <c r="V69" s="3433"/>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2998</v>
      </c>
      <c r="B70" s="6"/>
      <c r="C70" s="1"/>
      <c r="D70" s="659" t="s">
        <v>526</v>
      </c>
      <c r="E70" s="660">
        <v>0</v>
      </c>
      <c r="F70" s="1245" t="str">
        <f>IF('Part V-Revenues &amp; Expenses'!$K$153 =0,"",'Part V-Revenues &amp; Expenses'!$K$153)</f>
        <v/>
      </c>
      <c r="G70" s="661" t="e">
        <f ca="1">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#NUM!</v>
      </c>
      <c r="H70" s="33" t="str">
        <f>CONCATENATE("x ", F70," units = ")</f>
        <v xml:space="preserve">x  units = </v>
      </c>
      <c r="I70" s="1246" t="str">
        <f>IF(F70="","",F70*G70)</f>
        <v/>
      </c>
      <c r="J70" s="35"/>
      <c r="K70" s="1245" t="str">
        <f>IF('Part V-Revenues &amp; Expenses'!$K$154 =0,"",'Part V-Revenues &amp; Expenses'!$K$154)</f>
        <v/>
      </c>
      <c r="L70" s="661" t="e">
        <f ca="1">G70*(1+'DCA Underwriting Assumptions'!$Q$12)</f>
        <v>#NUM!</v>
      </c>
      <c r="M70" s="33" t="str">
        <f>CONCATENATE("x ", K70," units = ")</f>
        <v xml:space="preserve">x  units = </v>
      </c>
      <c r="N70" s="1246" t="str">
        <f>IF(K70="","",K70*L70)</f>
        <v/>
      </c>
      <c r="O70" s="441"/>
      <c r="P70" s="3441"/>
      <c r="Q70" s="3441"/>
      <c r="R70" s="328"/>
      <c r="S70" s="3434"/>
      <c r="T70" s="3435"/>
      <c r="U70" s="3435"/>
      <c r="V70" s="3436"/>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2246</v>
      </c>
      <c r="E71" s="660">
        <v>1</v>
      </c>
      <c r="F71" s="1245" t="str">
        <f>IF('Part V-Revenues &amp; Expenses'!$L$153 =0,"",'Part V-Revenues &amp; Expenses'!$L$153)</f>
        <v/>
      </c>
      <c r="G71" s="661" t="e">
        <f ca="1">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#NUM!</v>
      </c>
      <c r="H71" s="33" t="str">
        <f>CONCATENATE("x ", F71," units = ")</f>
        <v xml:space="preserve">x  units = </v>
      </c>
      <c r="I71" s="1246" t="str">
        <f>IF(F71="","",F71*G71)</f>
        <v/>
      </c>
      <c r="J71" s="35"/>
      <c r="K71" s="1245" t="str">
        <f>IF('Part V-Revenues &amp; Expenses'!$L$154 =0,"",'Part V-Revenues &amp; Expenses'!$L$154)</f>
        <v/>
      </c>
      <c r="L71" s="661" t="e">
        <f ca="1">G71*(1+'DCA Underwriting Assumptions'!$Q$12)</f>
        <v>#NUM!</v>
      </c>
      <c r="M71" s="33" t="str">
        <f>CONCATENATE("x ", K71," units = ")</f>
        <v xml:space="preserve">x  units = </v>
      </c>
      <c r="N71" s="1246" t="str">
        <f>IF(K71="","",K71*L71)</f>
        <v/>
      </c>
      <c r="O71" s="441"/>
      <c r="P71" s="3415" t="e">
        <f ca="1">IF(P58&gt;1,P58, IF(OR('Part VIII Scoring Criteria'!$O$112='Part VIII Scoring Criteria'!$M$112,AND('Part III-A-Uses of Funds'!$T$179="Yes",'Part VIII Scoring Criteria'!$O$377&gt;0)),H77+M77,H77))</f>
        <v>#NUM!</v>
      </c>
      <c r="Q71" s="3416"/>
      <c r="R71" s="1315"/>
      <c r="S71" s="1316"/>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2247</v>
      </c>
      <c r="E72" s="660">
        <v>2</v>
      </c>
      <c r="F72" s="1245" t="str">
        <f>IF('Part V-Revenues &amp; Expenses'!$M$153 =0,"",'Part V-Revenues &amp; Expenses'!$M$153)</f>
        <v/>
      </c>
      <c r="G72" s="661" t="e">
        <f ca="1">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#NUM!</v>
      </c>
      <c r="H72" s="33" t="str">
        <f>CONCATENATE("x ", F72," units = ")</f>
        <v xml:space="preserve">x  units = </v>
      </c>
      <c r="I72" s="1246" t="str">
        <f>IF(F72="","",F72*G72)</f>
        <v/>
      </c>
      <c r="J72" s="35"/>
      <c r="K72" s="1245" t="str">
        <f>IF('Part V-Revenues &amp; Expenses'!$M$154 =0,"",'Part V-Revenues &amp; Expenses'!$M$154)</f>
        <v/>
      </c>
      <c r="L72" s="661" t="e">
        <f ca="1">G72*(1+'DCA Underwriting Assumptions'!$Q$12)</f>
        <v>#NUM!</v>
      </c>
      <c r="M72" s="33" t="str">
        <f>CONCATENATE("x ", K72," units = ")</f>
        <v xml:space="preserve">x  units = </v>
      </c>
      <c r="N72" s="1246" t="str">
        <f>IF(K72="","",K72*L72)</f>
        <v/>
      </c>
      <c r="P72" s="3417"/>
      <c r="Q72" s="3418"/>
      <c r="R72" s="1315"/>
      <c r="S72" s="1316"/>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2248</v>
      </c>
      <c r="E73" s="660">
        <v>3</v>
      </c>
      <c r="F73" s="1245" t="str">
        <f>IF('Part V-Revenues &amp; Expenses'!$N$153 =0,"",'Part V-Revenues &amp; Expenses'!$N$153)</f>
        <v/>
      </c>
      <c r="G73" s="661" t="e">
        <f ca="1">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#NUM!</v>
      </c>
      <c r="H73" s="33" t="str">
        <f>CONCATENATE("x ", F73," units = ")</f>
        <v xml:space="preserve">x  units = </v>
      </c>
      <c r="I73" s="1246" t="str">
        <f>IF(F73="","",F73*G73)</f>
        <v/>
      </c>
      <c r="J73" s="35"/>
      <c r="K73" s="1245" t="str">
        <f>IF('Part V-Revenues &amp; Expenses'!$N$154 =0,"",'Part V-Revenues &amp; Expenses'!$N$154)</f>
        <v/>
      </c>
      <c r="L73" s="661" t="e">
        <f ca="1">G73*(1+'DCA Underwriting Assumptions'!$Q$12)</f>
        <v>#NUM!</v>
      </c>
      <c r="M73" s="33" t="str">
        <f>CONCATENATE("x ", K73," units = ")</f>
        <v xml:space="preserve">x  units = </v>
      </c>
      <c r="N73" s="1246" t="str">
        <f>IF(K73="","",K73*L73)</f>
        <v/>
      </c>
      <c r="P73" s="3437" t="s">
        <v>3452</v>
      </c>
      <c r="Q73" s="3437"/>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2249</v>
      </c>
      <c r="E74" s="660">
        <v>4</v>
      </c>
      <c r="F74" s="1245" t="str">
        <f>IF('Part V-Revenues &amp; Expenses'!$O$153 =0,"",'Part V-Revenues &amp; Expenses'!$O$153)</f>
        <v/>
      </c>
      <c r="G74" s="661" t="e">
        <f ca="1">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#NUM!</v>
      </c>
      <c r="H74" s="33" t="str">
        <f>CONCATENATE("x ", F74," units = ")</f>
        <v xml:space="preserve">x  units = </v>
      </c>
      <c r="I74" s="1246" t="str">
        <f>IF(F74="","",F74*G74)</f>
        <v/>
      </c>
      <c r="J74" s="35"/>
      <c r="K74" s="1245" t="str">
        <f>IF('Part V-Revenues &amp; Expenses'!$O$154 =0,"",'Part V-Revenues &amp; Expenses'!$O$154)</f>
        <v/>
      </c>
      <c r="L74" s="661" t="e">
        <f ca="1">G74*(1+'DCA Underwriting Assumptions'!$Q$12)</f>
        <v>#NUM!</v>
      </c>
      <c r="M74" s="33" t="str">
        <f>CONCATENATE("x ", K74," units = ")</f>
        <v xml:space="preserve">x  units = </v>
      </c>
      <c r="N74" s="1246" t="str">
        <f>IF(K74="","",K74*L74)</f>
        <v/>
      </c>
      <c r="O74" s="441"/>
      <c r="P74" s="3438"/>
      <c r="Q74" s="3438"/>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3005</v>
      </c>
      <c r="E75" s="102"/>
      <c r="F75" s="870">
        <f>SUM(F70:F74)</f>
        <v>0</v>
      </c>
      <c r="G75" s="493"/>
      <c r="H75" s="871"/>
      <c r="I75" s="874">
        <f>SUM(I70:I74)</f>
        <v>0</v>
      </c>
      <c r="J75" s="873"/>
      <c r="K75" s="870">
        <f>SUM(K70:K74)</f>
        <v>0</v>
      </c>
      <c r="L75" s="873"/>
      <c r="M75" s="871"/>
      <c r="N75" s="874">
        <f>SUM(N70:N74)</f>
        <v>0</v>
      </c>
      <c r="O75" s="441"/>
      <c r="P75" s="3438"/>
      <c r="Q75" s="3438"/>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90"/>
      <c r="O76" s="441"/>
      <c r="P76" s="3438"/>
      <c r="Q76" s="3438"/>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3006</v>
      </c>
      <c r="B77" s="1"/>
      <c r="C77" s="1"/>
      <c r="D77" s="69"/>
      <c r="E77" s="81"/>
      <c r="F77" s="486">
        <f>F54+F61+F68+F75</f>
        <v>120</v>
      </c>
      <c r="G77" s="258"/>
      <c r="H77" s="3446" t="e">
        <f ca="1">I54+I61+I68+I75</f>
        <v>#NUM!</v>
      </c>
      <c r="I77" s="3446"/>
      <c r="J77" s="3446"/>
      <c r="K77" s="486">
        <f>K54+K61+K68+K75</f>
        <v>0</v>
      </c>
      <c r="L77" s="487"/>
      <c r="M77" s="3446">
        <f>N54+N61+N68+N75</f>
        <v>0</v>
      </c>
      <c r="N77" s="3446"/>
      <c r="O77" s="3446"/>
      <c r="P77" s="3438"/>
      <c r="Q77" s="3438"/>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3243</v>
      </c>
      <c r="D78" s="73"/>
      <c r="E78" s="73"/>
      <c r="F78" s="73"/>
      <c r="G78" s="73"/>
      <c r="H78" s="33"/>
      <c r="I78" s="893"/>
      <c r="J78" s="893"/>
      <c r="K78" s="105" t="s">
        <v>1730</v>
      </c>
      <c r="L78" s="686"/>
      <c r="M78" s="686"/>
      <c r="N78" s="686"/>
      <c r="O78" s="686"/>
      <c r="P78" s="3439"/>
      <c r="Q78" s="3439"/>
    </row>
    <row r="79" spans="1:295" s="28" customFormat="1" ht="10.5" customHeight="1">
      <c r="A79" s="3215"/>
      <c r="B79" s="3216"/>
      <c r="C79" s="3216"/>
      <c r="D79" s="3216"/>
      <c r="E79" s="3216"/>
      <c r="F79" s="3216"/>
      <c r="G79" s="3216"/>
      <c r="H79" s="3216"/>
      <c r="I79" s="3216"/>
      <c r="J79" s="3217"/>
      <c r="K79" s="3219"/>
      <c r="L79" s="3220"/>
      <c r="M79" s="3220"/>
      <c r="N79" s="3220"/>
      <c r="O79" s="3220"/>
      <c r="P79" s="3220"/>
      <c r="Q79" s="3221"/>
      <c r="R79" s="354" t="s">
        <v>1181</v>
      </c>
      <c r="U79" s="104"/>
      <c r="V79" s="104"/>
      <c r="W79" s="104"/>
      <c r="X79" s="104"/>
      <c r="Y79" s="104"/>
      <c r="Z79" s="104"/>
      <c r="AA79" s="104"/>
      <c r="AB79" s="104"/>
      <c r="AC79" s="104"/>
      <c r="AD79" s="104"/>
      <c r="AE79" s="104"/>
    </row>
    <row r="80" spans="1:295" s="28" customFormat="1" ht="3" customHeight="1">
      <c r="B80" s="893"/>
      <c r="C80" s="889"/>
      <c r="D80" s="889"/>
      <c r="E80" s="889"/>
      <c r="F80" s="889"/>
      <c r="G80" s="889"/>
      <c r="H80" s="889"/>
      <c r="I80" s="889"/>
      <c r="J80" s="889"/>
      <c r="K80" s="889"/>
      <c r="L80" s="889"/>
      <c r="M80" s="889"/>
      <c r="N80" s="889"/>
      <c r="O80" s="889"/>
      <c r="P80" s="889"/>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99" priority="1" stopIfTrue="1" operator="greaterThan">
      <formula>0</formula>
    </cfRule>
  </conditionalFormatting>
  <conditionalFormatting sqref="R55 R58 R61:R63 R69:R70 R73:R75 R76:S77">
    <cfRule type="cellIs" dxfId="98"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280" zoomScaleNormal="100" workbookViewId="0">
      <selection activeCell="T445" sqref="T445"/>
    </sheetView>
  </sheetViews>
  <sheetFormatPr defaultColWidth="9.140625" defaultRowHeight="12.75"/>
  <cols>
    <col min="1" max="1" width="6" customWidth="1"/>
    <col min="2" max="2" width="3.42578125" customWidth="1"/>
    <col min="3" max="3" width="10.5703125" customWidth="1"/>
    <col min="4" max="4" width="10.140625" customWidth="1"/>
    <col min="5" max="5" width="6.140625" customWidth="1"/>
    <col min="6" max="6" width="9.140625" customWidth="1"/>
    <col min="7" max="9" width="11.5703125" customWidth="1"/>
    <col min="10" max="10" width="9.140625" customWidth="1"/>
    <col min="11" max="11" width="11.85546875" customWidth="1"/>
    <col min="12" max="12" width="14.85546875" customWidth="1"/>
    <col min="13" max="13" width="6.85546875" customWidth="1"/>
    <col min="14" max="14" width="2.85546875" style="56" customWidth="1"/>
    <col min="15" max="16" width="6.7109375" style="24" customWidth="1"/>
    <col min="17" max="17" width="6" customWidth="1"/>
    <col min="18" max="21" width="9.140625" customWidth="1"/>
    <col min="22" max="23" width="10" customWidth="1"/>
  </cols>
  <sheetData>
    <row r="1" spans="1:25" s="28" customFormat="1" ht="14.1" customHeight="1">
      <c r="A1" s="2847" t="str">
        <f>CONCATENATE("PART EIGHT - SCORING CRITERIA","  -  ",'Part I-Project Identification'!$O$7," ",'Part I-Project Identification'!$F$29,", ",'Part I-Project Identification'!F30,", ",'Part I-Project Identification'!J30," County")</f>
        <v>PART EIGHT - SCORING CRITERIA  -  2022-522 Harrison Village Apartments, Gainesville, Hall County</v>
      </c>
      <c r="B1" s="2848"/>
      <c r="C1" s="2848"/>
      <c r="D1" s="2848"/>
      <c r="E1" s="2848"/>
      <c r="F1" s="2848"/>
      <c r="G1" s="2848"/>
      <c r="H1" s="2848"/>
      <c r="I1" s="2848"/>
      <c r="J1" s="2848"/>
      <c r="K1" s="2848"/>
      <c r="L1" s="2848"/>
      <c r="M1" s="2848"/>
      <c r="N1" s="2848"/>
      <c r="O1" s="2848"/>
      <c r="P1" s="2849"/>
      <c r="Q1" s="3733" t="s">
        <v>6656</v>
      </c>
      <c r="R1" s="3733"/>
      <c r="S1" s="3733"/>
      <c r="T1" s="3733"/>
      <c r="U1" s="3733"/>
      <c r="V1" s="3733"/>
      <c r="W1" s="1983"/>
      <c r="X1" s="1941"/>
    </row>
    <row r="2" spans="1:25" s="28" customFormat="1" ht="4.3499999999999996" customHeight="1">
      <c r="A2" s="29"/>
      <c r="B2" s="29"/>
      <c r="C2" s="30"/>
      <c r="D2" s="29"/>
      <c r="E2" s="29"/>
      <c r="F2" s="29"/>
      <c r="G2" s="29"/>
      <c r="H2" s="29"/>
      <c r="I2" s="29"/>
      <c r="J2" s="29"/>
      <c r="K2" s="29"/>
      <c r="L2" s="29"/>
      <c r="M2" s="31"/>
      <c r="N2" s="53"/>
      <c r="O2" s="119"/>
      <c r="P2" s="119"/>
      <c r="Q2" s="3733"/>
      <c r="R2" s="3733"/>
      <c r="S2" s="3733"/>
      <c r="T2" s="3733"/>
      <c r="U2" s="3733"/>
      <c r="V2" s="3733"/>
      <c r="W2" s="1983"/>
      <c r="X2" s="1941"/>
    </row>
    <row r="3" spans="1:25" s="35" customFormat="1" ht="12" customHeight="1">
      <c r="A3" s="3624" t="s">
        <v>6670</v>
      </c>
      <c r="B3" s="3624"/>
      <c r="C3" s="3624"/>
      <c r="D3" s="3624"/>
      <c r="E3" s="3624"/>
      <c r="F3" s="3624"/>
      <c r="G3" s="3624"/>
      <c r="H3" s="3624"/>
      <c r="I3" s="3624"/>
      <c r="J3" s="3624"/>
      <c r="K3" s="3624"/>
      <c r="L3" s="3624"/>
      <c r="M3" s="670"/>
      <c r="N3" s="54"/>
      <c r="O3" s="63" t="s">
        <v>2051</v>
      </c>
      <c r="P3" s="916" t="s">
        <v>245</v>
      </c>
      <c r="Q3" s="3733"/>
      <c r="R3" s="3733"/>
      <c r="S3" s="3733"/>
      <c r="T3" s="3733"/>
      <c r="U3" s="3733"/>
      <c r="V3" s="3733"/>
      <c r="W3" s="1983"/>
      <c r="X3" s="1941"/>
    </row>
    <row r="4" spans="1:25" s="37" customFormat="1" ht="12" customHeight="1">
      <c r="A4" s="3624"/>
      <c r="B4" s="3624"/>
      <c r="C4" s="3624"/>
      <c r="D4" s="3624"/>
      <c r="E4" s="3624"/>
      <c r="F4" s="3624"/>
      <c r="G4" s="3624"/>
      <c r="H4" s="3624"/>
      <c r="I4" s="3624"/>
      <c r="J4" s="3624"/>
      <c r="K4" s="3624"/>
      <c r="L4" s="3624"/>
      <c r="M4" s="670"/>
      <c r="N4" s="64"/>
      <c r="O4" s="149" t="s">
        <v>2052</v>
      </c>
      <c r="P4" s="149" t="s">
        <v>2052</v>
      </c>
      <c r="Q4" s="3733"/>
      <c r="R4" s="3733"/>
      <c r="S4" s="3733"/>
      <c r="T4" s="3733"/>
      <c r="U4" s="3733"/>
      <c r="V4" s="3733"/>
    </row>
    <row r="5" spans="1:25" s="37" customFormat="1" ht="3" customHeight="1" thickBot="1">
      <c r="A5" s="35"/>
      <c r="B5" s="35"/>
      <c r="C5" s="35"/>
      <c r="D5" s="35"/>
      <c r="E5" s="35"/>
      <c r="F5" s="35"/>
      <c r="G5" s="35"/>
      <c r="H5" s="35"/>
      <c r="I5" s="35"/>
      <c r="J5" s="35"/>
      <c r="K5" s="35"/>
      <c r="M5" s="1635"/>
      <c r="N5" s="4"/>
      <c r="O5" s="119"/>
      <c r="P5" s="24"/>
      <c r="Q5" s="3733"/>
      <c r="R5" s="3733"/>
      <c r="S5" s="3733"/>
      <c r="T5" s="3733"/>
      <c r="U5" s="3733"/>
      <c r="V5" s="3733"/>
    </row>
    <row r="6" spans="1:25" s="37" customFormat="1" ht="13.5" customHeight="1" thickTop="1" thickBot="1">
      <c r="A6" s="35"/>
      <c r="B6" s="3654" t="str">
        <f>'Part I-Project Identification'!$A$6</f>
        <v>Sept 20, 2022 Core Application - 4% Only</v>
      </c>
      <c r="C6" s="3654"/>
      <c r="D6" s="3654"/>
      <c r="E6" s="3654"/>
      <c r="F6" s="3654"/>
      <c r="G6" s="72"/>
      <c r="H6" s="35"/>
      <c r="I6" s="35"/>
      <c r="J6" s="35"/>
      <c r="L6" s="51" t="s">
        <v>1153</v>
      </c>
      <c r="M6" s="3"/>
      <c r="N6" s="7"/>
      <c r="O6" s="1615">
        <f>O441</f>
        <v>45</v>
      </c>
      <c r="P6" s="1615">
        <f>P441</f>
        <v>22</v>
      </c>
      <c r="Q6" s="1544" t="s">
        <v>6742</v>
      </c>
      <c r="R6" s="1979"/>
      <c r="S6" s="1979"/>
      <c r="T6" s="1979"/>
      <c r="U6" s="1979"/>
      <c r="V6" s="1979"/>
      <c r="W6" s="1979"/>
      <c r="X6" s="1979"/>
      <c r="Y6" s="1979"/>
    </row>
    <row r="7" spans="1:25" s="36" customFormat="1" ht="3.6" customHeight="1" thickTop="1">
      <c r="A7" s="35"/>
      <c r="B7" s="40"/>
      <c r="C7" s="29"/>
      <c r="D7" s="41"/>
      <c r="E7" s="41"/>
      <c r="F7" s="41"/>
      <c r="G7" s="41"/>
      <c r="H7" s="41"/>
      <c r="I7" s="41"/>
      <c r="J7" s="41"/>
      <c r="K7" s="41"/>
      <c r="L7" s="35"/>
      <c r="M7" s="39"/>
      <c r="N7" s="47"/>
      <c r="O7" s="3"/>
      <c r="P7" s="119"/>
      <c r="Q7" s="1979"/>
      <c r="R7" s="1979"/>
      <c r="S7" s="1979"/>
      <c r="T7" s="1979"/>
      <c r="U7" s="1979"/>
      <c r="V7" s="1979"/>
      <c r="W7" s="1979"/>
      <c r="X7" s="1979"/>
      <c r="Y7" s="1979"/>
    </row>
    <row r="8" spans="1:25" s="35" customFormat="1" ht="2.25" customHeight="1">
      <c r="A8" s="1189"/>
      <c r="D8" s="29"/>
      <c r="E8" s="29"/>
      <c r="F8" s="29"/>
      <c r="G8" s="42"/>
      <c r="H8" s="147"/>
      <c r="I8" s="42"/>
      <c r="J8" s="42"/>
      <c r="K8" s="42"/>
      <c r="L8" s="42"/>
      <c r="M8" s="42"/>
      <c r="N8" s="42"/>
      <c r="O8" s="42"/>
      <c r="P8" s="42"/>
    </row>
    <row r="9" spans="1:25" s="35" customFormat="1" ht="12" customHeight="1" thickBot="1">
      <c r="A9" s="120" t="s">
        <v>573</v>
      </c>
      <c r="B9" s="83" t="s">
        <v>6142</v>
      </c>
      <c r="C9" s="4"/>
      <c r="D9" s="29"/>
      <c r="E9" s="29"/>
      <c r="F9" s="29"/>
      <c r="G9" s="42"/>
      <c r="H9" s="147"/>
      <c r="I9" s="42"/>
      <c r="J9" s="42"/>
      <c r="K9" s="42"/>
      <c r="L9" s="42"/>
      <c r="M9" s="42"/>
      <c r="N9" s="42"/>
      <c r="O9" s="42"/>
      <c r="P9" s="42"/>
      <c r="Q9" s="1979"/>
      <c r="R9" s="1979"/>
      <c r="S9" s="1979"/>
      <c r="T9" s="1979"/>
      <c r="U9" s="1979"/>
      <c r="V9" s="1979"/>
      <c r="W9" s="1979"/>
      <c r="X9" s="1979"/>
      <c r="Y9" s="1979"/>
    </row>
    <row r="10" spans="1:25" s="35" customFormat="1" ht="12" customHeight="1" thickBot="1">
      <c r="A10" s="1189" t="s">
        <v>6143</v>
      </c>
      <c r="D10" s="29"/>
      <c r="E10" s="29"/>
      <c r="F10" s="29"/>
      <c r="G10" s="42"/>
      <c r="H10" s="147" t="s">
        <v>3836</v>
      </c>
      <c r="I10" s="42"/>
      <c r="J10" s="42"/>
      <c r="K10" s="42"/>
      <c r="L10" s="42"/>
      <c r="M10" s="1183" t="s">
        <v>3835</v>
      </c>
      <c r="N10" s="42"/>
      <c r="O10" s="42"/>
      <c r="P10" s="900">
        <f>IF(P12&lt;2,0,IF(AND(P12&gt;1,P12&lt;5),1,IF(P12&gt;4,P12-3)))</f>
        <v>0</v>
      </c>
      <c r="Q10" s="1979"/>
      <c r="R10" s="1979"/>
      <c r="S10" s="1979"/>
      <c r="T10" s="1979"/>
      <c r="U10" s="1979"/>
      <c r="V10" s="1979"/>
      <c r="W10" s="1979"/>
      <c r="X10" s="1979"/>
      <c r="Y10" s="1979"/>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2" t="s">
        <v>3396</v>
      </c>
      <c r="B12" s="1202" t="s">
        <v>3397</v>
      </c>
      <c r="C12" s="938"/>
      <c r="D12" s="938"/>
      <c r="E12" s="236" t="s">
        <v>3404</v>
      </c>
      <c r="F12" s="3651" t="s">
        <v>6503</v>
      </c>
      <c r="G12" s="3651"/>
      <c r="H12" s="3651"/>
      <c r="I12" s="3651"/>
      <c r="J12" s="3651"/>
      <c r="K12" s="3651"/>
      <c r="L12" s="3651"/>
      <c r="M12" s="3651"/>
      <c r="N12" s="3651"/>
      <c r="O12" s="1203" t="s">
        <v>3815</v>
      </c>
      <c r="P12" s="1204">
        <f>SUM(P13:P31)</f>
        <v>0</v>
      </c>
      <c r="Q12" s="3732" t="s">
        <v>6554</v>
      </c>
      <c r="R12" s="3732"/>
      <c r="S12" s="3732"/>
      <c r="T12" s="3732"/>
      <c r="U12" s="3732"/>
      <c r="V12" s="1181"/>
    </row>
    <row r="13" spans="1:25" s="35" customFormat="1" ht="10.5" customHeight="1">
      <c r="A13" s="926" t="s">
        <v>1669</v>
      </c>
      <c r="B13" s="923" t="s">
        <v>3398</v>
      </c>
      <c r="C13" s="924"/>
      <c r="D13" s="925"/>
      <c r="E13" s="1197">
        <f>$O$102</f>
        <v>0</v>
      </c>
      <c r="F13" s="3652" t="str">
        <f>$A$108</f>
        <v>The applicant is not claiming points in this section as it is a 4% RAD Preservation.</v>
      </c>
      <c r="G13" s="3653"/>
      <c r="H13" s="3653"/>
      <c r="I13" s="3653"/>
      <c r="J13" s="3653"/>
      <c r="K13" s="3653"/>
      <c r="L13" s="3653"/>
      <c r="M13" s="3653"/>
      <c r="N13" s="3653"/>
      <c r="O13" s="3653"/>
      <c r="P13" s="1210"/>
      <c r="Q13" s="3732"/>
      <c r="R13" s="3732"/>
      <c r="S13" s="3732"/>
      <c r="T13" s="3732"/>
      <c r="U13" s="3732"/>
      <c r="V13" s="1181"/>
    </row>
    <row r="14" spans="1:25" s="35" customFormat="1" ht="10.5" customHeight="1">
      <c r="A14" s="926" t="s">
        <v>496</v>
      </c>
      <c r="B14" s="751" t="s">
        <v>4043</v>
      </c>
      <c r="C14" s="866"/>
      <c r="D14" s="927"/>
      <c r="E14" s="1774">
        <f>$O$112</f>
        <v>0</v>
      </c>
      <c r="F14" s="3645" t="str">
        <f>$A$146</f>
        <v>The applicant is not claiming points in this section as it is a 4% RAD Preservation.</v>
      </c>
      <c r="G14" s="3646"/>
      <c r="H14" s="3646"/>
      <c r="I14" s="3646"/>
      <c r="J14" s="3646"/>
      <c r="K14" s="3646"/>
      <c r="L14" s="3646"/>
      <c r="M14" s="3646"/>
      <c r="N14" s="3646"/>
      <c r="O14" s="3647"/>
      <c r="P14" s="1211"/>
      <c r="Q14" s="3732"/>
      <c r="R14" s="3732"/>
      <c r="S14" s="3732"/>
      <c r="T14" s="3732"/>
      <c r="U14" s="3732"/>
    </row>
    <row r="15" spans="1:25" s="35" customFormat="1" ht="10.5" customHeight="1">
      <c r="A15" s="926" t="s">
        <v>720</v>
      </c>
      <c r="B15" s="751" t="s">
        <v>3343</v>
      </c>
      <c r="C15" s="866"/>
      <c r="D15" s="927"/>
      <c r="E15" s="1774">
        <f>$O$151</f>
        <v>0</v>
      </c>
      <c r="F15" s="3645" t="str">
        <f>$A$164</f>
        <v>The applicant is not claiming points in this section as it is a 4% RAD Preservation.</v>
      </c>
      <c r="G15" s="3646"/>
      <c r="H15" s="3646"/>
      <c r="I15" s="3646"/>
      <c r="J15" s="3646"/>
      <c r="K15" s="3646"/>
      <c r="L15" s="3646"/>
      <c r="M15" s="3646"/>
      <c r="N15" s="3646"/>
      <c r="O15" s="3647"/>
      <c r="P15" s="1211"/>
      <c r="Q15" s="1989"/>
      <c r="R15" s="1989"/>
      <c r="S15" s="1989"/>
      <c r="T15" s="1989"/>
      <c r="U15" s="1989"/>
    </row>
    <row r="16" spans="1:25" s="35" customFormat="1" ht="10.5" customHeight="1">
      <c r="A16" s="1614" t="s">
        <v>280</v>
      </c>
      <c r="B16" s="751" t="s">
        <v>3399</v>
      </c>
      <c r="C16" s="866"/>
      <c r="D16" s="927"/>
      <c r="E16" s="1199">
        <f>$O$168</f>
        <v>0</v>
      </c>
      <c r="F16" s="3645" t="str">
        <f>$A$185</f>
        <v>The applicant is not claiming points in this section as it is a 4% RAD Preservation.</v>
      </c>
      <c r="G16" s="3646"/>
      <c r="H16" s="3646"/>
      <c r="I16" s="3646"/>
      <c r="J16" s="3646"/>
      <c r="K16" s="3646"/>
      <c r="L16" s="3646"/>
      <c r="M16" s="3646"/>
      <c r="N16" s="3646"/>
      <c r="O16" s="3647"/>
      <c r="P16" s="1211"/>
      <c r="Q16" s="1989"/>
      <c r="R16" s="1989"/>
      <c r="S16" s="1989"/>
      <c r="T16" s="1989"/>
      <c r="U16" s="1989"/>
    </row>
    <row r="17" spans="1:35" s="35" customFormat="1" ht="10.5" customHeight="1">
      <c r="A17" s="926" t="s">
        <v>401</v>
      </c>
      <c r="B17" s="933" t="s">
        <v>3400</v>
      </c>
      <c r="C17" s="934"/>
      <c r="D17" s="935"/>
      <c r="E17" s="1200" t="s">
        <v>1611</v>
      </c>
      <c r="F17" s="3655" t="str">
        <f>$A$200</f>
        <v>The applicant is not claiming points in this section as it is a 4% RAD Preservation.</v>
      </c>
      <c r="G17" s="3656"/>
      <c r="H17" s="3656"/>
      <c r="I17" s="3656"/>
      <c r="J17" s="3656"/>
      <c r="K17" s="3656"/>
      <c r="L17" s="3656"/>
      <c r="M17" s="3656"/>
      <c r="N17" s="3656"/>
      <c r="O17" s="3657"/>
      <c r="P17" s="1211"/>
      <c r="Q17" s="1989"/>
      <c r="R17" s="1989"/>
      <c r="S17" s="1989"/>
      <c r="T17" s="1989"/>
      <c r="U17" s="1989"/>
    </row>
    <row r="18" spans="1:35" s="35" customFormat="1" ht="10.5" customHeight="1">
      <c r="A18" s="926" t="s">
        <v>342</v>
      </c>
      <c r="B18" s="751" t="s">
        <v>4044</v>
      </c>
      <c r="C18" s="866"/>
      <c r="D18" s="927"/>
      <c r="E18" s="1198">
        <f>$O$204</f>
        <v>0</v>
      </c>
      <c r="F18" s="3645" t="str">
        <f>$A$219</f>
        <v>The applicant is not claiming points in this section as it is a 4% RAD Preservation.</v>
      </c>
      <c r="G18" s="3646"/>
      <c r="H18" s="3646"/>
      <c r="I18" s="3646"/>
      <c r="J18" s="3646"/>
      <c r="K18" s="3646"/>
      <c r="L18" s="3646"/>
      <c r="M18" s="3646"/>
      <c r="N18" s="3646"/>
      <c r="O18" s="3647"/>
      <c r="P18" s="1211"/>
      <c r="Q18" s="3703" t="str">
        <f>IF(OR($A$108="",$A$146="",$A$164="",$A$185="",$A$200="",$A$219="",$A$237="",$A$247="",$A$256="",$A$280="",$A$305="",$A$313="",$A$337="",$A$373="",$A$392="",$A$413="",$A$419="",$A$429="",$A$437=""),"Some Applicant Scoring Justification boxes are empty! Check to see if points claimed.","")</f>
        <v/>
      </c>
      <c r="R18" s="3704"/>
      <c r="S18" s="3704"/>
    </row>
    <row r="19" spans="1:35" s="35" customFormat="1" ht="10.5" customHeight="1">
      <c r="A19" s="926" t="s">
        <v>4046</v>
      </c>
      <c r="B19" s="751" t="s">
        <v>3265</v>
      </c>
      <c r="C19" s="866"/>
      <c r="D19" s="927"/>
      <c r="E19" s="1198">
        <f>$O$232</f>
        <v>0</v>
      </c>
      <c r="F19" s="3645" t="str">
        <f>$A$237</f>
        <v>The applicant is not claiming points in this section as it is a 4% RAD Preservation.</v>
      </c>
      <c r="G19" s="3646"/>
      <c r="H19" s="3646"/>
      <c r="I19" s="3646"/>
      <c r="J19" s="3646"/>
      <c r="K19" s="3646"/>
      <c r="L19" s="3646"/>
      <c r="M19" s="3646"/>
      <c r="N19" s="3646"/>
      <c r="O19" s="3647"/>
      <c r="P19" s="1211"/>
      <c r="Q19" s="3703"/>
      <c r="R19" s="3704"/>
      <c r="S19" s="3704"/>
    </row>
    <row r="20" spans="1:35" s="35" customFormat="1" ht="10.5" customHeight="1">
      <c r="A20" s="926" t="s">
        <v>4058</v>
      </c>
      <c r="B20" s="751" t="s">
        <v>4047</v>
      </c>
      <c r="C20" s="866"/>
      <c r="D20" s="927"/>
      <c r="E20" s="1200">
        <f>$O$241</f>
        <v>0</v>
      </c>
      <c r="F20" s="3645" t="str">
        <f>$A$247</f>
        <v>The applicant is not claiming points in this section as it is a 4% RAD Preservation.</v>
      </c>
      <c r="G20" s="3646"/>
      <c r="H20" s="3646"/>
      <c r="I20" s="3646"/>
      <c r="J20" s="3646"/>
      <c r="K20" s="3646"/>
      <c r="L20" s="3646"/>
      <c r="M20" s="3646"/>
      <c r="N20" s="3646"/>
      <c r="O20" s="3647"/>
      <c r="P20" s="1211"/>
      <c r="Q20" s="3703"/>
      <c r="R20" s="3704"/>
      <c r="S20" s="3704"/>
    </row>
    <row r="21" spans="1:35" s="35" customFormat="1" ht="10.5" customHeight="1">
      <c r="A21" s="932" t="s">
        <v>6251</v>
      </c>
      <c r="B21" s="933" t="s">
        <v>4048</v>
      </c>
      <c r="C21" s="934"/>
      <c r="D21" s="935"/>
      <c r="E21" s="1201">
        <f>$O$251</f>
        <v>0</v>
      </c>
      <c r="F21" s="3655" t="str">
        <f>$A$256</f>
        <v>The applicant is not claiming points in this section as it is a 4% RAD Preservation.</v>
      </c>
      <c r="G21" s="3656"/>
      <c r="H21" s="3656"/>
      <c r="I21" s="3656"/>
      <c r="J21" s="3656"/>
      <c r="K21" s="3656"/>
      <c r="L21" s="3656"/>
      <c r="M21" s="3656"/>
      <c r="N21" s="3656"/>
      <c r="O21" s="3657"/>
      <c r="P21" s="1211"/>
      <c r="Q21" s="3703"/>
      <c r="R21" s="3704"/>
      <c r="S21" s="3704"/>
    </row>
    <row r="22" spans="1:35" s="35" customFormat="1" ht="10.5" customHeight="1">
      <c r="A22" s="926" t="s">
        <v>6648</v>
      </c>
      <c r="B22" s="751" t="s">
        <v>6558</v>
      </c>
      <c r="C22" s="866"/>
      <c r="D22" s="927"/>
      <c r="E22" s="1198">
        <f>$O$273</f>
        <v>2</v>
      </c>
      <c r="F22" s="3645" t="str">
        <f>$A$280</f>
        <v>The development has budgeted sufficient dollars to provide free Internet (Wi-Fi) services in the common areas, and connections to each unit in conjunction with discussions with local Internet providers such as but not limited to Comcast. Our budget was based on experience providing similar services to other developments in our large portfolio of family projects. We have had discussions with local Internet providers to confirm our budgets are well within sufficient per unit cost to provide robust Internet services.</v>
      </c>
      <c r="G22" s="3646"/>
      <c r="H22" s="3646"/>
      <c r="I22" s="3646"/>
      <c r="J22" s="3646"/>
      <c r="K22" s="3646"/>
      <c r="L22" s="3646"/>
      <c r="M22" s="3646"/>
      <c r="N22" s="3646"/>
      <c r="O22" s="3647"/>
      <c r="P22" s="1211"/>
      <c r="Q22" s="3703"/>
      <c r="R22" s="3704"/>
      <c r="S22" s="3704"/>
    </row>
    <row r="23" spans="1:35" s="35" customFormat="1" ht="10.5" customHeight="1">
      <c r="A23" s="926" t="s">
        <v>6650</v>
      </c>
      <c r="B23" s="751" t="s">
        <v>6649</v>
      </c>
      <c r="C23" s="866"/>
      <c r="D23" s="927"/>
      <c r="E23" s="1198">
        <f>$O$284</f>
        <v>2</v>
      </c>
      <c r="F23" s="3645" t="str">
        <f>$A$305</f>
        <v xml:space="preserve">The applicant commits to 5% of Total Construction Hard Costs to a Minority and/or Women Owned Business. </v>
      </c>
      <c r="G23" s="3646"/>
      <c r="H23" s="3646"/>
      <c r="I23" s="3646"/>
      <c r="J23" s="3646"/>
      <c r="K23" s="3646"/>
      <c r="L23" s="3646"/>
      <c r="M23" s="3646"/>
      <c r="N23" s="3646"/>
      <c r="O23" s="3647"/>
      <c r="P23" s="1211"/>
      <c r="Q23" s="3703"/>
      <c r="R23" s="3704"/>
      <c r="S23" s="3704"/>
    </row>
    <row r="24" spans="1:35" s="35" customFormat="1" ht="10.5" customHeight="1">
      <c r="A24" s="1614" t="s">
        <v>3373</v>
      </c>
      <c r="B24" s="1894" t="s">
        <v>6564</v>
      </c>
      <c r="C24" s="1895"/>
      <c r="D24" s="1896"/>
      <c r="E24" s="1199">
        <f>$O$309</f>
        <v>0</v>
      </c>
      <c r="F24" s="3697" t="str">
        <f>$A$313</f>
        <v>The applicant is not claiming points in this section as it is a 4% RAD Preservation.</v>
      </c>
      <c r="G24" s="3698"/>
      <c r="H24" s="3698"/>
      <c r="I24" s="3698"/>
      <c r="J24" s="3698"/>
      <c r="K24" s="3698"/>
      <c r="L24" s="3698"/>
      <c r="M24" s="3698"/>
      <c r="N24" s="3698"/>
      <c r="O24" s="3699"/>
      <c r="P24" s="1211"/>
      <c r="Q24" s="3703"/>
      <c r="R24" s="3704"/>
      <c r="S24" s="3704"/>
    </row>
    <row r="25" spans="1:35" s="35" customFormat="1" ht="10.5" customHeight="1">
      <c r="A25" s="926" t="s">
        <v>3377</v>
      </c>
      <c r="B25" s="751" t="s">
        <v>3401</v>
      </c>
      <c r="C25" s="866"/>
      <c r="D25" s="927"/>
      <c r="E25" s="1198">
        <f>$O$333</f>
        <v>0</v>
      </c>
      <c r="F25" s="3645" t="str">
        <f>$A$337</f>
        <v>The applicant is not claiming points in this section as it is a 4% RAD Preservation.</v>
      </c>
      <c r="G25" s="3646"/>
      <c r="H25" s="3646"/>
      <c r="I25" s="3646"/>
      <c r="J25" s="3646"/>
      <c r="K25" s="3646"/>
      <c r="L25" s="3646"/>
      <c r="M25" s="3646"/>
      <c r="N25" s="3646"/>
      <c r="O25" s="3647"/>
      <c r="P25" s="1211"/>
      <c r="Q25" s="3703"/>
      <c r="R25" s="3704"/>
      <c r="S25" s="3704"/>
    </row>
    <row r="26" spans="1:35" s="35" customFormat="1" ht="10.5" customHeight="1">
      <c r="A26" s="926" t="s">
        <v>3380</v>
      </c>
      <c r="B26" s="751" t="s">
        <v>3402</v>
      </c>
      <c r="C26" s="866"/>
      <c r="D26" s="927"/>
      <c r="E26" s="1198">
        <f>$O$341</f>
        <v>0</v>
      </c>
      <c r="F26" s="3645" t="str">
        <f>$A$373</f>
        <v>The Gainesville Housing Authority is the owner of the land, and an instrumentality of the Housing Authority is a GP of the partnership.  GHA will provide a long-term ground lease to the partnership.</v>
      </c>
      <c r="G26" s="3646"/>
      <c r="H26" s="3646"/>
      <c r="I26" s="3646"/>
      <c r="J26" s="3646"/>
      <c r="K26" s="3646"/>
      <c r="L26" s="3646"/>
      <c r="M26" s="3646"/>
      <c r="N26" s="3646"/>
      <c r="O26" s="3647"/>
      <c r="P26" s="1211"/>
      <c r="Q26" s="3703"/>
      <c r="R26" s="3704"/>
      <c r="S26" s="3704"/>
    </row>
    <row r="27" spans="1:35" s="35" customFormat="1" ht="10.5" customHeight="1">
      <c r="A27" s="926" t="s">
        <v>3381</v>
      </c>
      <c r="B27" s="751" t="s">
        <v>3403</v>
      </c>
      <c r="C27" s="866"/>
      <c r="D27" s="927"/>
      <c r="E27" s="1200">
        <f>$O$377</f>
        <v>0</v>
      </c>
      <c r="F27" s="3645" t="str">
        <f>$A$392</f>
        <v>The applicant is not claiming points in this section.</v>
      </c>
      <c r="G27" s="3646"/>
      <c r="H27" s="3646"/>
      <c r="I27" s="3646"/>
      <c r="J27" s="3646"/>
      <c r="K27" s="3646"/>
      <c r="L27" s="3646"/>
      <c r="M27" s="3646"/>
      <c r="N27" s="3646"/>
      <c r="O27" s="3647"/>
      <c r="P27" s="1211"/>
      <c r="Q27" s="1978"/>
      <c r="R27" s="1630"/>
      <c r="S27" s="1630"/>
      <c r="AA27" s="4"/>
      <c r="AB27" s="4"/>
      <c r="AC27" s="4"/>
      <c r="AD27" s="4"/>
      <c r="AE27" s="4"/>
      <c r="AF27" s="4"/>
    </row>
    <row r="28" spans="1:35" s="35" customFormat="1" ht="10.5" customHeight="1">
      <c r="A28" s="928" t="s">
        <v>3383</v>
      </c>
      <c r="B28" s="929" t="s">
        <v>6647</v>
      </c>
      <c r="C28" s="930"/>
      <c r="D28" s="931"/>
      <c r="E28" s="1626">
        <f>$O$404</f>
        <v>3</v>
      </c>
      <c r="F28" s="3648" t="str">
        <f>$A$413</f>
        <v xml:space="preserve">In December of 2022 the Housing Authority of Gainesville was awarded a Rental Assistance Demonstration (RAD) Conversion. The purpose of this award is to convert public housing to project-based assistance under Section 8 of the Housing Act of 1937. Our development consists of 75 RAD Units. This is allowing for a conversion of 62.5% of the units to PBRA units through the RAD Conversion. This is being completed in conjunction with the Housing Authority of the City of Gainesville. The corresponding CHAP Portfolio Award is enclosed in our exhibits. </v>
      </c>
      <c r="G28" s="3649"/>
      <c r="H28" s="3649"/>
      <c r="I28" s="3649"/>
      <c r="J28" s="3649"/>
      <c r="K28" s="3649"/>
      <c r="L28" s="3649"/>
      <c r="M28" s="3649"/>
      <c r="N28" s="3649"/>
      <c r="O28" s="3650"/>
      <c r="P28" s="1212"/>
      <c r="Q28" s="1978"/>
      <c r="R28" s="1630"/>
      <c r="S28" s="1630"/>
      <c r="X28" s="4"/>
      <c r="Y28" s="4"/>
      <c r="Z28" s="4"/>
      <c r="AA28" s="4"/>
      <c r="AB28" s="4"/>
      <c r="AC28" s="4"/>
      <c r="AD28" s="4"/>
      <c r="AE28" s="4"/>
      <c r="AF28" s="4"/>
      <c r="AG28" s="4"/>
      <c r="AH28" s="4"/>
      <c r="AI28" s="4"/>
    </row>
    <row r="29" spans="1:35" s="35" customFormat="1" ht="10.5" customHeight="1">
      <c r="A29" s="926" t="s">
        <v>3384</v>
      </c>
      <c r="B29" s="751" t="s">
        <v>6139</v>
      </c>
      <c r="C29" s="866"/>
      <c r="D29" s="927"/>
      <c r="E29" s="1198">
        <f>$O$417</f>
        <v>6</v>
      </c>
      <c r="F29" s="3645" t="str">
        <f>$A$419</f>
        <v xml:space="preserve">The Gainesville Housing Authority is using this project as replacement housing for their Public Housing Project in Harrison Square Apartments which is adjacent to the subject site. Occupancy has been maintained at Harrison Square at 95% or greater for the last 2+ years. We are providing with the Application 24 consecutive months of occupancy rates and substantiating rent rolls. </v>
      </c>
      <c r="G29" s="3646"/>
      <c r="H29" s="3646"/>
      <c r="I29" s="3646"/>
      <c r="J29" s="3646"/>
      <c r="K29" s="3646"/>
      <c r="L29" s="3646"/>
      <c r="M29" s="3646"/>
      <c r="N29" s="3646"/>
      <c r="O29" s="3647"/>
      <c r="P29" s="1211"/>
      <c r="Q29" s="1978"/>
      <c r="R29" s="1630"/>
      <c r="S29" s="1630"/>
    </row>
    <row r="30" spans="1:35" s="35" customFormat="1" ht="10.5" customHeight="1">
      <c r="A30" s="926" t="s">
        <v>3808</v>
      </c>
      <c r="B30" s="751" t="s">
        <v>6562</v>
      </c>
      <c r="C30" s="866"/>
      <c r="D30" s="927"/>
      <c r="E30" s="1198">
        <f>$O$427</f>
        <v>4</v>
      </c>
      <c r="F30" s="3645" t="str">
        <f>$A$429</f>
        <v>Our development consists of 120 total units and more than half of those units (75) will be PBRA/PBV Section 18 units based on the RAD Conversion. This RAD Conversion is in conjunction with the Housing Authority of the City of Gainesville. 75 of the units will be Replacement Housing of the RAD Conversion.</v>
      </c>
      <c r="G30" s="3646"/>
      <c r="H30" s="3646"/>
      <c r="I30" s="3646"/>
      <c r="J30" s="3646"/>
      <c r="K30" s="3646"/>
      <c r="L30" s="3646"/>
      <c r="M30" s="3646"/>
      <c r="N30" s="3646"/>
      <c r="O30" s="3647"/>
      <c r="P30" s="1211"/>
      <c r="Q30" s="1978"/>
      <c r="R30" s="1630"/>
      <c r="S30" s="1630"/>
      <c r="AA30" s="3175" t="s">
        <v>6572</v>
      </c>
      <c r="AB30" s="3175"/>
      <c r="AC30" s="3175"/>
      <c r="AD30" s="3175"/>
      <c r="AE30" s="3175"/>
      <c r="AF30" s="3175"/>
    </row>
    <row r="31" spans="1:35" s="35" customFormat="1" ht="10.5" customHeight="1">
      <c r="A31" s="928" t="s">
        <v>6565</v>
      </c>
      <c r="B31" s="929" t="s">
        <v>6563</v>
      </c>
      <c r="C31" s="930"/>
      <c r="D31" s="931"/>
      <c r="E31" s="1626">
        <f>$O$433</f>
        <v>4</v>
      </c>
      <c r="F31" s="3648" t="str">
        <f>$A$437</f>
        <v>The project is Replacement Housing for GHA's Public Housing property Harrison Square Apartments. Harrison Square Apartments was constructed in 1971 and has had minimal rehabilitation since the time it was built. Evidence is provided with the application illustrating the age of the property is substantiating the points claimed.</v>
      </c>
      <c r="G31" s="3649"/>
      <c r="H31" s="3649"/>
      <c r="I31" s="3649"/>
      <c r="J31" s="3649"/>
      <c r="K31" s="3649"/>
      <c r="L31" s="3649"/>
      <c r="M31" s="3649"/>
      <c r="N31" s="3649"/>
      <c r="O31" s="3650"/>
      <c r="P31" s="1212"/>
      <c r="Q31" s="1978"/>
      <c r="R31" s="1630"/>
      <c r="S31" s="1630"/>
      <c r="X31" s="3175" t="s">
        <v>6573</v>
      </c>
      <c r="Y31" s="3175"/>
      <c r="Z31" s="3175"/>
      <c r="AA31" s="3175"/>
      <c r="AB31" s="3175"/>
      <c r="AC31" s="3175"/>
      <c r="AD31" s="3175" t="s">
        <v>6574</v>
      </c>
      <c r="AE31" s="3175"/>
      <c r="AF31" s="3175"/>
      <c r="AG31" s="3175"/>
      <c r="AH31" s="3175"/>
      <c r="AI31" s="3175"/>
    </row>
    <row r="32" spans="1:35" s="115" customFormat="1" ht="5.25" customHeight="1">
      <c r="C32" s="68"/>
      <c r="D32" s="68"/>
      <c r="E32" s="68"/>
      <c r="F32" s="68"/>
      <c r="G32" s="1510"/>
      <c r="H32" s="68"/>
      <c r="I32" s="68"/>
      <c r="J32" s="68"/>
      <c r="K32" s="68"/>
    </row>
    <row r="33" spans="1:46" s="115" customFormat="1" ht="12.75" customHeight="1">
      <c r="A33" s="120" t="s">
        <v>689</v>
      </c>
      <c r="B33" s="83" t="s">
        <v>6144</v>
      </c>
      <c r="C33" s="70"/>
      <c r="D33" s="68"/>
      <c r="E33" s="68"/>
      <c r="F33" s="68"/>
      <c r="G33" s="3708" t="s">
        <v>6132</v>
      </c>
      <c r="H33" s="3708"/>
      <c r="I33" s="3705" t="s">
        <v>6513</v>
      </c>
      <c r="J33" s="3706"/>
      <c r="K33" s="3706"/>
      <c r="L33" s="3707"/>
      <c r="M33" s="3658" t="s">
        <v>6145</v>
      </c>
      <c r="N33" s="3658"/>
      <c r="O33" s="3658"/>
      <c r="P33" s="3658"/>
      <c r="Q33" s="436"/>
      <c r="R33" s="436"/>
      <c r="S33" s="83" t="s">
        <v>6144</v>
      </c>
      <c r="T33" s="436"/>
      <c r="U33" s="436"/>
      <c r="V33" s="436"/>
      <c r="X33" s="3691" t="s">
        <v>6132</v>
      </c>
      <c r="Y33" s="3693"/>
      <c r="Z33" s="3691" t="s">
        <v>6513</v>
      </c>
      <c r="AA33" s="3692"/>
      <c r="AB33" s="3692"/>
      <c r="AC33" s="3693"/>
      <c r="AD33" s="3700" t="s">
        <v>6132</v>
      </c>
      <c r="AE33" s="3701"/>
      <c r="AF33" s="3702" t="s">
        <v>6513</v>
      </c>
      <c r="AG33" s="3700"/>
      <c r="AH33" s="3700"/>
      <c r="AI33" s="3701"/>
    </row>
    <row r="34" spans="1:46" s="115" customFormat="1" ht="11.25" customHeight="1">
      <c r="A34" s="44"/>
      <c r="B34" s="29"/>
      <c r="C34" s="44"/>
      <c r="D34" s="44"/>
      <c r="E34" s="44"/>
      <c r="F34" s="44"/>
      <c r="G34" s="1725">
        <v>0.09</v>
      </c>
      <c r="H34" s="1725">
        <v>0.04</v>
      </c>
      <c r="I34" s="1725">
        <v>0.04</v>
      </c>
      <c r="J34" s="1725" t="s">
        <v>6555</v>
      </c>
      <c r="K34" s="1725" t="s">
        <v>6556</v>
      </c>
      <c r="L34" s="1725" t="s">
        <v>6557</v>
      </c>
      <c r="M34" s="3694" t="str">
        <f>'Part I-Project Identification'!F12</f>
        <v>4% Credit/TE Bond</v>
      </c>
      <c r="N34" s="3695"/>
      <c r="O34" s="3695"/>
      <c r="P34" s="3696"/>
      <c r="Q34" s="436"/>
      <c r="R34" s="44"/>
      <c r="S34" s="29"/>
      <c r="T34" s="44"/>
      <c r="U34" s="44"/>
      <c r="V34" s="44"/>
      <c r="W34" s="44"/>
      <c r="X34" s="1725">
        <v>0.09</v>
      </c>
      <c r="Y34" s="1725">
        <v>0.04</v>
      </c>
      <c r="Z34" s="1725">
        <v>0.04</v>
      </c>
      <c r="AA34" s="1725" t="s">
        <v>6555</v>
      </c>
      <c r="AB34" s="1725" t="s">
        <v>6556</v>
      </c>
      <c r="AC34" s="1725" t="s">
        <v>6557</v>
      </c>
      <c r="AD34" s="1725">
        <v>0.09</v>
      </c>
      <c r="AE34" s="1725">
        <v>0.04</v>
      </c>
      <c r="AF34" s="1725">
        <v>0.04</v>
      </c>
      <c r="AG34" s="1725" t="s">
        <v>6555</v>
      </c>
      <c r="AH34" s="1725" t="s">
        <v>6556</v>
      </c>
      <c r="AI34" s="1725" t="s">
        <v>6557</v>
      </c>
    </row>
    <row r="35" spans="1:46" s="115" customFormat="1" ht="10.5" customHeight="1">
      <c r="A35" s="658" t="s">
        <v>691</v>
      </c>
      <c r="B35" s="1726" t="s">
        <v>6133</v>
      </c>
      <c r="C35" s="1727"/>
      <c r="D35" s="1728"/>
      <c r="E35" s="1728"/>
      <c r="F35" s="1728"/>
      <c r="G35" s="1729">
        <v>10</v>
      </c>
      <c r="H35" s="1730">
        <v>10</v>
      </c>
      <c r="I35" s="1729">
        <v>10</v>
      </c>
      <c r="J35" s="2008">
        <v>10</v>
      </c>
      <c r="K35" s="1823">
        <v>10</v>
      </c>
      <c r="L35" s="1735">
        <v>10</v>
      </c>
      <c r="Q35" s="142"/>
      <c r="R35" s="658" t="s">
        <v>691</v>
      </c>
      <c r="S35" s="1726" t="s">
        <v>6133</v>
      </c>
      <c r="T35" s="1726"/>
      <c r="U35" s="1857"/>
      <c r="V35" s="1857"/>
      <c r="W35" s="1857"/>
      <c r="X35" s="1786">
        <f>O63</f>
        <v>10</v>
      </c>
      <c r="Y35" s="1829">
        <f>O63</f>
        <v>10</v>
      </c>
      <c r="Z35" s="1777">
        <f>O63</f>
        <v>10</v>
      </c>
      <c r="AA35" s="1824">
        <f>O63</f>
        <v>10</v>
      </c>
      <c r="AB35" s="1824">
        <f>O63</f>
        <v>10</v>
      </c>
      <c r="AC35" s="1825">
        <f>O63</f>
        <v>10</v>
      </c>
      <c r="AD35" s="1780">
        <f>P63</f>
        <v>10</v>
      </c>
      <c r="AE35" s="1784">
        <f>P63</f>
        <v>10</v>
      </c>
      <c r="AF35" s="1777">
        <f>P63</f>
        <v>10</v>
      </c>
      <c r="AG35" s="1824">
        <f>P63</f>
        <v>10</v>
      </c>
      <c r="AH35" s="1824">
        <f>P63</f>
        <v>10</v>
      </c>
      <c r="AI35" s="1784">
        <f>P63</f>
        <v>10</v>
      </c>
    </row>
    <row r="36" spans="1:46" s="115" customFormat="1" ht="10.5" customHeight="1">
      <c r="A36" s="658" t="s">
        <v>1667</v>
      </c>
      <c r="B36" s="1731" t="s">
        <v>6134</v>
      </c>
      <c r="C36" s="1732"/>
      <c r="D36" s="1733"/>
      <c r="E36" s="1733"/>
      <c r="F36" s="1733"/>
      <c r="G36" s="1734">
        <v>3</v>
      </c>
      <c r="H36" s="1735">
        <v>3</v>
      </c>
      <c r="I36" s="1734"/>
      <c r="J36" s="1823"/>
      <c r="K36" s="1823"/>
      <c r="L36" s="1735"/>
      <c r="M36" s="258" t="s">
        <v>6146</v>
      </c>
      <c r="N36" s="142"/>
      <c r="O36" s="142"/>
      <c r="P36" s="1980" t="str">
        <f>IF(OR($M$34="9% Credit Competitive Round only", $M$34="9% Credit &amp; HOME"),"9%",IF(OR($M$34="4% Credit/TE Bond", $M$34="4% Credit/TE Bond &amp; HOME", $M$34="4% Credit/TE Bond &amp; HOME NOFA", $M$34="4% Credit &amp; NHTF", $M$34="4% Credit &amp; NHTF &amp; HOME"),"4%",""))</f>
        <v>4%</v>
      </c>
      <c r="Q36" s="142"/>
      <c r="R36" s="658" t="s">
        <v>1667</v>
      </c>
      <c r="S36" s="1731" t="s">
        <v>6134</v>
      </c>
      <c r="T36" s="1731"/>
      <c r="U36" s="1858"/>
      <c r="V36" s="1858"/>
      <c r="W36" s="1858"/>
      <c r="X36" s="1777">
        <f>O88</f>
        <v>0</v>
      </c>
      <c r="Y36" s="1784">
        <f>O88</f>
        <v>0</v>
      </c>
      <c r="Z36" s="1777"/>
      <c r="AA36" s="1823"/>
      <c r="AB36" s="1824"/>
      <c r="AC36" s="1825"/>
      <c r="AD36" s="1780">
        <f>P88</f>
        <v>0</v>
      </c>
      <c r="AE36" s="1784">
        <f>P88</f>
        <v>0</v>
      </c>
      <c r="AF36" s="1777"/>
      <c r="AG36" s="1823"/>
      <c r="AH36" s="1824"/>
      <c r="AI36" s="1784"/>
    </row>
    <row r="37" spans="1:46" s="115" customFormat="1" ht="10.5" customHeight="1">
      <c r="A37" s="658" t="s">
        <v>1669</v>
      </c>
      <c r="B37" s="1731" t="s">
        <v>3398</v>
      </c>
      <c r="C37" s="1732"/>
      <c r="D37" s="1733"/>
      <c r="E37" s="1733"/>
      <c r="F37" s="1733"/>
      <c r="G37" s="1734">
        <v>20</v>
      </c>
      <c r="H37" s="1735">
        <v>12</v>
      </c>
      <c r="I37" s="1734"/>
      <c r="J37" s="1823"/>
      <c r="K37" s="1823"/>
      <c r="L37" s="1735"/>
      <c r="Q37" s="142"/>
      <c r="R37" s="658" t="s">
        <v>1669</v>
      </c>
      <c r="S37" s="1731" t="s">
        <v>3398</v>
      </c>
      <c r="T37" s="1731"/>
      <c r="U37" s="1858"/>
      <c r="V37" s="1858"/>
      <c r="W37" s="1858"/>
      <c r="X37" s="1778">
        <f>O102</f>
        <v>0</v>
      </c>
      <c r="Y37" s="1785">
        <f>O102</f>
        <v>0</v>
      </c>
      <c r="Z37" s="1734"/>
      <c r="AA37" s="1823"/>
      <c r="AB37" s="1823"/>
      <c r="AC37" s="1826"/>
      <c r="AD37" s="1781">
        <f>P102</f>
        <v>0</v>
      </c>
      <c r="AE37" s="1785">
        <f>P102</f>
        <v>0</v>
      </c>
      <c r="AF37" s="1734"/>
      <c r="AG37" s="1823"/>
      <c r="AH37" s="1823"/>
      <c r="AI37" s="1735"/>
    </row>
    <row r="38" spans="1:46" s="115" customFormat="1" ht="10.5" customHeight="1">
      <c r="A38" s="658" t="s">
        <v>496</v>
      </c>
      <c r="B38" s="1731" t="s">
        <v>4043</v>
      </c>
      <c r="C38" s="1732"/>
      <c r="D38" s="1733"/>
      <c r="E38" s="1733"/>
      <c r="F38" s="1733"/>
      <c r="G38" s="1734">
        <v>6</v>
      </c>
      <c r="H38" s="1735">
        <v>4</v>
      </c>
      <c r="I38" s="1734"/>
      <c r="J38" s="1823"/>
      <c r="K38" s="1823"/>
      <c r="L38" s="1735"/>
      <c r="Q38" s="142"/>
      <c r="R38" s="658" t="s">
        <v>496</v>
      </c>
      <c r="S38" s="1731" t="s">
        <v>4043</v>
      </c>
      <c r="T38" s="1731"/>
      <c r="U38" s="1858"/>
      <c r="V38" s="1858"/>
      <c r="W38" s="1858"/>
      <c r="X38" s="1778">
        <f>O112</f>
        <v>0</v>
      </c>
      <c r="Y38" s="1785">
        <f>O112</f>
        <v>0</v>
      </c>
      <c r="Z38" s="1734"/>
      <c r="AA38" s="1823"/>
      <c r="AB38" s="1823"/>
      <c r="AC38" s="1826"/>
      <c r="AD38" s="1781">
        <f>P112</f>
        <v>0</v>
      </c>
      <c r="AE38" s="1785">
        <f>P112</f>
        <v>0</v>
      </c>
      <c r="AF38" s="1734"/>
      <c r="AG38" s="1823"/>
      <c r="AH38" s="1823"/>
      <c r="AI38" s="1735"/>
    </row>
    <row r="39" spans="1:46" s="115" customFormat="1" ht="10.5" customHeight="1">
      <c r="A39" s="658" t="s">
        <v>720</v>
      </c>
      <c r="B39" s="1731" t="s">
        <v>3343</v>
      </c>
      <c r="C39" s="1732"/>
      <c r="D39" s="1733"/>
      <c r="E39" s="1733"/>
      <c r="F39" s="1733"/>
      <c r="G39" s="1734">
        <v>3</v>
      </c>
      <c r="H39" s="1735">
        <v>2</v>
      </c>
      <c r="I39" s="1734"/>
      <c r="J39" s="1823"/>
      <c r="K39" s="1823"/>
      <c r="L39" s="1735"/>
      <c r="M39" s="3447" t="s">
        <v>6571</v>
      </c>
      <c r="N39" s="3448"/>
      <c r="O39" s="3448"/>
      <c r="P39" s="3448"/>
      <c r="Q39" s="142"/>
      <c r="R39" s="658" t="s">
        <v>720</v>
      </c>
      <c r="S39" s="1731" t="s">
        <v>3343</v>
      </c>
      <c r="T39" s="1731"/>
      <c r="U39" s="1858"/>
      <c r="V39" s="1858"/>
      <c r="W39" s="1858"/>
      <c r="X39" s="1734">
        <f>O151</f>
        <v>0</v>
      </c>
      <c r="Y39" s="1735">
        <f>O151</f>
        <v>0</v>
      </c>
      <c r="Z39" s="1734"/>
      <c r="AA39" s="1823"/>
      <c r="AB39" s="1823"/>
      <c r="AC39" s="1826"/>
      <c r="AD39" s="1776">
        <f>P151</f>
        <v>0</v>
      </c>
      <c r="AE39" s="1735">
        <f>P151</f>
        <v>0</v>
      </c>
      <c r="AF39" s="1734"/>
      <c r="AG39" s="1823"/>
      <c r="AH39" s="1823"/>
      <c r="AI39" s="1735"/>
    </row>
    <row r="40" spans="1:46" s="115" customFormat="1" ht="10.5" customHeight="1">
      <c r="A40" s="658" t="s">
        <v>280</v>
      </c>
      <c r="B40" s="1731" t="s">
        <v>3399</v>
      </c>
      <c r="C40" s="1732"/>
      <c r="D40" s="1733"/>
      <c r="E40" s="1733"/>
      <c r="F40" s="1733"/>
      <c r="G40" s="1734">
        <v>7</v>
      </c>
      <c r="H40" s="1735">
        <v>5</v>
      </c>
      <c r="I40" s="1734"/>
      <c r="J40" s="1823"/>
      <c r="K40" s="1823"/>
      <c r="L40" s="1735"/>
      <c r="M40" s="3447"/>
      <c r="N40" s="3448"/>
      <c r="O40" s="3448"/>
      <c r="P40" s="3448"/>
      <c r="Q40" s="142"/>
      <c r="R40" s="658" t="s">
        <v>280</v>
      </c>
      <c r="S40" s="1731" t="s">
        <v>3399</v>
      </c>
      <c r="T40" s="1731"/>
      <c r="U40" s="1858"/>
      <c r="V40" s="1858"/>
      <c r="W40" s="1858"/>
      <c r="X40" s="1777">
        <f>O168</f>
        <v>0</v>
      </c>
      <c r="Y40" s="1784">
        <f>O168</f>
        <v>0</v>
      </c>
      <c r="Z40" s="1734"/>
      <c r="AA40" s="1823"/>
      <c r="AB40" s="1823"/>
      <c r="AC40" s="1826"/>
      <c r="AD40" s="1780">
        <f>P168</f>
        <v>0</v>
      </c>
      <c r="AE40" s="1784">
        <f>P168</f>
        <v>0</v>
      </c>
      <c r="AF40" s="1734"/>
      <c r="AG40" s="1823"/>
      <c r="AH40" s="1823"/>
      <c r="AI40" s="1735"/>
    </row>
    <row r="41" spans="1:46" s="115" customFormat="1" ht="10.5" customHeight="1">
      <c r="A41" s="658" t="s">
        <v>401</v>
      </c>
      <c r="B41" s="1731" t="s">
        <v>3400</v>
      </c>
      <c r="C41" s="1732"/>
      <c r="D41" s="1733"/>
      <c r="E41" s="1733"/>
      <c r="F41" s="1733"/>
      <c r="G41" s="1734">
        <v>3</v>
      </c>
      <c r="H41" s="1735"/>
      <c r="I41" s="1734"/>
      <c r="J41" s="1823"/>
      <c r="K41" s="1823"/>
      <c r="L41" s="1735"/>
      <c r="M41" s="147" t="s">
        <v>6566</v>
      </c>
      <c r="N41" s="147"/>
      <c r="O41" s="147"/>
      <c r="P41" s="1234" t="s">
        <v>2655</v>
      </c>
      <c r="Q41" s="142"/>
      <c r="R41" s="658" t="s">
        <v>401</v>
      </c>
      <c r="S41" s="1731" t="s">
        <v>3400</v>
      </c>
      <c r="T41" s="1731"/>
      <c r="U41" s="1858"/>
      <c r="V41" s="1858"/>
      <c r="W41" s="1858"/>
      <c r="X41" s="1779"/>
      <c r="Y41" s="1783"/>
      <c r="Z41" s="1779"/>
      <c r="AA41" s="1827"/>
      <c r="AB41" s="1827"/>
      <c r="AC41" s="1828"/>
      <c r="AD41" s="1780">
        <f>P189</f>
        <v>0</v>
      </c>
      <c r="AE41" s="1735"/>
      <c r="AF41" s="1734"/>
      <c r="AG41" s="1823"/>
      <c r="AH41" s="1823"/>
      <c r="AI41" s="1735"/>
    </row>
    <row r="42" spans="1:46" s="115" customFormat="1" ht="10.5" customHeight="1">
      <c r="A42" s="658" t="s">
        <v>342</v>
      </c>
      <c r="B42" s="1731" t="s">
        <v>4044</v>
      </c>
      <c r="C42" s="1732"/>
      <c r="D42" s="1733"/>
      <c r="E42" s="1733"/>
      <c r="F42" s="1733"/>
      <c r="G42" s="1734">
        <v>10</v>
      </c>
      <c r="H42" s="1735">
        <v>5</v>
      </c>
      <c r="I42" s="1734"/>
      <c r="J42" s="1823"/>
      <c r="K42" s="1823"/>
      <c r="L42" s="1735"/>
      <c r="M42" s="147" t="s">
        <v>3311</v>
      </c>
      <c r="N42" s="147"/>
      <c r="O42" s="147"/>
      <c r="P42" s="823" t="s">
        <v>2655</v>
      </c>
      <c r="Q42" s="142"/>
      <c r="R42" s="658" t="s">
        <v>342</v>
      </c>
      <c r="S42" s="1731" t="s">
        <v>4044</v>
      </c>
      <c r="T42" s="1731"/>
      <c r="U42" s="1858"/>
      <c r="V42" s="1858"/>
      <c r="W42" s="1858"/>
      <c r="X42" s="1777">
        <f>O204</f>
        <v>0</v>
      </c>
      <c r="Y42" s="1784">
        <f>O204</f>
        <v>0</v>
      </c>
      <c r="Z42" s="1734"/>
      <c r="AA42" s="1823"/>
      <c r="AB42" s="1823"/>
      <c r="AC42" s="1826"/>
      <c r="AD42" s="1780">
        <f>P204</f>
        <v>0</v>
      </c>
      <c r="AE42" s="1784">
        <f>P204</f>
        <v>0</v>
      </c>
      <c r="AF42" s="1734"/>
      <c r="AG42" s="1823"/>
      <c r="AH42" s="1823"/>
      <c r="AI42" s="1735"/>
    </row>
    <row r="43" spans="1:46" s="115" customFormat="1" ht="10.5" customHeight="1">
      <c r="A43" s="658" t="s">
        <v>343</v>
      </c>
      <c r="B43" s="1731" t="s">
        <v>6135</v>
      </c>
      <c r="C43" s="1732"/>
      <c r="D43" s="1733"/>
      <c r="E43" s="1733"/>
      <c r="F43" s="1733"/>
      <c r="G43" s="1734">
        <v>1</v>
      </c>
      <c r="H43" s="1735"/>
      <c r="I43" s="1734"/>
      <c r="J43" s="1823"/>
      <c r="K43" s="1823"/>
      <c r="L43" s="1735"/>
      <c r="M43" s="1832" t="s">
        <v>6150</v>
      </c>
      <c r="N43" s="223"/>
      <c r="O43" s="223"/>
      <c r="P43" s="818" t="s">
        <v>2655</v>
      </c>
      <c r="Q43" s="142"/>
      <c r="R43" s="658" t="s">
        <v>343</v>
      </c>
      <c r="S43" s="1731" t="s">
        <v>6135</v>
      </c>
      <c r="T43" s="1731"/>
      <c r="U43" s="1858"/>
      <c r="V43" s="1858"/>
      <c r="W43" s="1858"/>
      <c r="X43" s="1777">
        <f>O224</f>
        <v>0</v>
      </c>
      <c r="Y43" s="1735"/>
      <c r="Z43" s="1734"/>
      <c r="AA43" s="1823"/>
      <c r="AB43" s="1823"/>
      <c r="AC43" s="1826"/>
      <c r="AD43" s="1780">
        <f>P224</f>
        <v>0</v>
      </c>
      <c r="AE43" s="1735"/>
      <c r="AF43" s="1734"/>
      <c r="AG43" s="1823"/>
      <c r="AH43" s="1823"/>
      <c r="AI43" s="1735"/>
    </row>
    <row r="44" spans="1:46" s="115" customFormat="1" ht="10.5" customHeight="1">
      <c r="A44" s="658" t="s">
        <v>344</v>
      </c>
      <c r="B44" s="1731" t="s">
        <v>3265</v>
      </c>
      <c r="C44" s="1732"/>
      <c r="D44" s="1733"/>
      <c r="E44" s="1733"/>
      <c r="F44" s="1733"/>
      <c r="G44" s="1734">
        <v>10</v>
      </c>
      <c r="H44" s="1735">
        <v>5</v>
      </c>
      <c r="I44" s="1734"/>
      <c r="J44" s="1823"/>
      <c r="K44" s="1823"/>
      <c r="L44" s="1735"/>
      <c r="M44" s="1832" t="s">
        <v>6520</v>
      </c>
      <c r="N44" s="223"/>
      <c r="O44" s="241" t="s">
        <v>6149</v>
      </c>
      <c r="P44" s="1928" t="str">
        <f>IF('Part VII-Threshold Criteria'!$P$341="Agree","Yes","")</f>
        <v>Yes</v>
      </c>
      <c r="Q44" s="142"/>
      <c r="R44" s="658" t="s">
        <v>344</v>
      </c>
      <c r="S44" s="1731" t="s">
        <v>3265</v>
      </c>
      <c r="T44" s="1731"/>
      <c r="U44" s="1858"/>
      <c r="V44" s="1858"/>
      <c r="W44" s="1858"/>
      <c r="X44" s="1777">
        <f>O232</f>
        <v>0</v>
      </c>
      <c r="Y44" s="1784">
        <f>O232</f>
        <v>0</v>
      </c>
      <c r="Z44" s="1734"/>
      <c r="AA44" s="1823"/>
      <c r="AB44" s="1823"/>
      <c r="AC44" s="1826"/>
      <c r="AD44" s="1780">
        <f>P232</f>
        <v>0</v>
      </c>
      <c r="AE44" s="1784">
        <f>P232</f>
        <v>0</v>
      </c>
      <c r="AF44" s="1734"/>
      <c r="AG44" s="1823"/>
      <c r="AH44" s="1823"/>
      <c r="AI44" s="1735"/>
    </row>
    <row r="45" spans="1:46" s="115" customFormat="1" ht="10.5" customHeight="1">
      <c r="A45" s="658" t="s">
        <v>1605</v>
      </c>
      <c r="B45" s="1731" t="s">
        <v>6136</v>
      </c>
      <c r="C45" s="1732"/>
      <c r="D45" s="1733"/>
      <c r="E45" s="1733"/>
      <c r="F45" s="1733"/>
      <c r="G45" s="1734">
        <v>3</v>
      </c>
      <c r="H45" s="1735"/>
      <c r="I45" s="1734"/>
      <c r="J45" s="1823"/>
      <c r="K45" s="1823"/>
      <c r="L45" s="1735"/>
      <c r="M45" s="1832"/>
      <c r="N45" s="223"/>
      <c r="O45" s="241" t="s">
        <v>6567</v>
      </c>
      <c r="P45" s="1929" t="str">
        <f>IF('Part VII-Threshold Criteria'!$P$344="Agree","Yes","")</f>
        <v/>
      </c>
      <c r="Q45" s="142"/>
      <c r="R45" s="658" t="s">
        <v>1605</v>
      </c>
      <c r="S45" s="1731" t="s">
        <v>6136</v>
      </c>
      <c r="T45" s="1731"/>
      <c r="U45" s="1858"/>
      <c r="V45" s="1858"/>
      <c r="W45" s="1858"/>
      <c r="X45" s="1777">
        <f>O241</f>
        <v>0</v>
      </c>
      <c r="Y45" s="1735"/>
      <c r="Z45" s="1734"/>
      <c r="AA45" s="1823"/>
      <c r="AB45" s="1823"/>
      <c r="AC45" s="1826"/>
      <c r="AD45" s="1780">
        <f>P241</f>
        <v>0</v>
      </c>
      <c r="AE45" s="1735"/>
      <c r="AF45" s="1734"/>
      <c r="AG45" s="1823"/>
      <c r="AH45" s="1823"/>
      <c r="AI45" s="1735"/>
    </row>
    <row r="46" spans="1:46" s="115" customFormat="1" ht="10.5" customHeight="1">
      <c r="A46" s="658" t="s">
        <v>3374</v>
      </c>
      <c r="B46" s="1731" t="s">
        <v>4048</v>
      </c>
      <c r="C46" s="1732"/>
      <c r="D46" s="1733"/>
      <c r="E46" s="1733"/>
      <c r="F46" s="1733"/>
      <c r="G46" s="1734">
        <v>5</v>
      </c>
      <c r="H46" s="1735"/>
      <c r="I46" s="1734"/>
      <c r="J46" s="1823"/>
      <c r="K46" s="1823"/>
      <c r="L46" s="1735"/>
      <c r="M46" s="1282"/>
      <c r="N46" s="1856"/>
      <c r="O46" s="1833" t="s">
        <v>6568</v>
      </c>
      <c r="P46" s="1930" t="str">
        <f>IF('Part VII-Threshold Criteria'!$P$346="Agree","Yes","")</f>
        <v/>
      </c>
      <c r="Q46" s="142"/>
      <c r="R46" s="658" t="s">
        <v>3374</v>
      </c>
      <c r="S46" s="1731" t="s">
        <v>4048</v>
      </c>
      <c r="T46" s="1731"/>
      <c r="U46" s="1858"/>
      <c r="V46" s="1858"/>
      <c r="W46" s="1858"/>
      <c r="X46" s="1777">
        <f>O251</f>
        <v>0</v>
      </c>
      <c r="Y46" s="1735"/>
      <c r="Z46" s="1734"/>
      <c r="AA46" s="1823"/>
      <c r="AB46" s="1823"/>
      <c r="AC46" s="1826"/>
      <c r="AD46" s="1780">
        <f>P251</f>
        <v>0</v>
      </c>
      <c r="AE46" s="1735"/>
      <c r="AF46" s="1734"/>
      <c r="AG46" s="1823"/>
      <c r="AH46" s="1823"/>
      <c r="AI46" s="1735"/>
    </row>
    <row r="47" spans="1:46" s="115" customFormat="1" ht="10.5" customHeight="1">
      <c r="A47" s="658" t="s">
        <v>2081</v>
      </c>
      <c r="B47" s="1731" t="s">
        <v>3809</v>
      </c>
      <c r="C47" s="1732"/>
      <c r="D47" s="1733"/>
      <c r="E47" s="1733"/>
      <c r="F47" s="1733"/>
      <c r="G47" s="1734">
        <v>4</v>
      </c>
      <c r="H47" s="1735">
        <v>4</v>
      </c>
      <c r="I47" s="1734">
        <v>4</v>
      </c>
      <c r="J47" s="1823">
        <v>4</v>
      </c>
      <c r="K47" s="1823">
        <v>4</v>
      </c>
      <c r="L47" s="1735">
        <v>4</v>
      </c>
      <c r="M47" s="1850" t="s">
        <v>2445</v>
      </c>
      <c r="N47" s="1851"/>
      <c r="O47" s="1852"/>
      <c r="P47" s="1234" t="s">
        <v>2655</v>
      </c>
      <c r="R47" s="658" t="s">
        <v>2081</v>
      </c>
      <c r="S47" s="1731" t="s">
        <v>3809</v>
      </c>
      <c r="T47" s="1731"/>
      <c r="U47" s="1858"/>
      <c r="V47" s="1858"/>
      <c r="W47" s="1858"/>
      <c r="X47" s="1777">
        <f>O260</f>
        <v>4</v>
      </c>
      <c r="Y47" s="1784">
        <f>O260</f>
        <v>4</v>
      </c>
      <c r="Z47" s="1777">
        <f>O260</f>
        <v>4</v>
      </c>
      <c r="AA47" s="1824">
        <f>O260</f>
        <v>4</v>
      </c>
      <c r="AB47" s="1824">
        <f>O260</f>
        <v>4</v>
      </c>
      <c r="AC47" s="1825">
        <f>O260</f>
        <v>4</v>
      </c>
      <c r="AD47" s="1780">
        <f>P260</f>
        <v>0</v>
      </c>
      <c r="AE47" s="1784">
        <f>P260</f>
        <v>0</v>
      </c>
      <c r="AF47" s="1777">
        <f>P260</f>
        <v>0</v>
      </c>
      <c r="AG47" s="1824">
        <f>P260</f>
        <v>0</v>
      </c>
      <c r="AH47" s="1824">
        <f>P260</f>
        <v>0</v>
      </c>
      <c r="AI47" s="1784">
        <f>P260</f>
        <v>0</v>
      </c>
      <c r="AT47" s="1936" t="s">
        <v>3251</v>
      </c>
    </row>
    <row r="48" spans="1:46" s="115" customFormat="1" ht="10.5" customHeight="1">
      <c r="A48" s="658" t="s">
        <v>3374</v>
      </c>
      <c r="B48" s="1731" t="s">
        <v>6558</v>
      </c>
      <c r="C48" s="1732"/>
      <c r="D48" s="1733"/>
      <c r="E48" s="1733"/>
      <c r="F48" s="1733"/>
      <c r="G48" s="1734">
        <v>2</v>
      </c>
      <c r="H48" s="1735">
        <v>2</v>
      </c>
      <c r="I48" s="1734">
        <v>2</v>
      </c>
      <c r="J48" s="1823">
        <v>2</v>
      </c>
      <c r="K48" s="1823">
        <v>2</v>
      </c>
      <c r="L48" s="1735">
        <v>2</v>
      </c>
      <c r="M48" s="1853" t="s">
        <v>6569</v>
      </c>
      <c r="N48" s="1854"/>
      <c r="O48" s="1855"/>
      <c r="P48" s="818" t="s">
        <v>2655</v>
      </c>
      <c r="R48" s="658" t="s">
        <v>3374</v>
      </c>
      <c r="S48" s="1731" t="s">
        <v>6558</v>
      </c>
      <c r="T48" s="1731"/>
      <c r="U48" s="1858"/>
      <c r="V48" s="1858"/>
      <c r="W48" s="1858"/>
      <c r="X48" s="1777">
        <f>O273</f>
        <v>2</v>
      </c>
      <c r="Y48" s="1784">
        <f>O273</f>
        <v>2</v>
      </c>
      <c r="Z48" s="1777">
        <f>O273</f>
        <v>2</v>
      </c>
      <c r="AA48" s="1824">
        <f>O273</f>
        <v>2</v>
      </c>
      <c r="AB48" s="1824">
        <f>O273</f>
        <v>2</v>
      </c>
      <c r="AC48" s="1825">
        <f>O273</f>
        <v>2</v>
      </c>
      <c r="AD48" s="1780">
        <f>P273</f>
        <v>0</v>
      </c>
      <c r="AE48" s="1784">
        <f>P273</f>
        <v>0</v>
      </c>
      <c r="AF48" s="1777">
        <f>P273</f>
        <v>0</v>
      </c>
      <c r="AG48" s="1824">
        <f>P273</f>
        <v>0</v>
      </c>
      <c r="AH48" s="1824">
        <f>P273</f>
        <v>0</v>
      </c>
      <c r="AI48" s="1784">
        <f>P273</f>
        <v>0</v>
      </c>
      <c r="AQ48" s="1935" t="s">
        <v>6705</v>
      </c>
      <c r="AR48" s="223"/>
      <c r="AS48" s="72"/>
      <c r="AT48" s="1926">
        <f>'Part V-Revenues &amp; Expenses'!P115+'Part V-Revenues &amp; Expenses'!P122+'Part V-Revenues &amp; Expenses'!P123</f>
        <v>120</v>
      </c>
    </row>
    <row r="49" spans="1:46" s="115" customFormat="1" ht="10.5" customHeight="1">
      <c r="A49" s="658" t="s">
        <v>3375</v>
      </c>
      <c r="B49" s="1731" t="s">
        <v>6559</v>
      </c>
      <c r="C49" s="1732"/>
      <c r="D49" s="1733"/>
      <c r="E49" s="1733"/>
      <c r="F49" s="1733"/>
      <c r="G49" s="1734">
        <v>2</v>
      </c>
      <c r="H49" s="1735">
        <v>2</v>
      </c>
      <c r="I49" s="1734">
        <v>2</v>
      </c>
      <c r="J49" s="1823">
        <v>2</v>
      </c>
      <c r="K49" s="1823">
        <v>2</v>
      </c>
      <c r="L49" s="1735">
        <v>2</v>
      </c>
      <c r="M49" s="147" t="s">
        <v>6570</v>
      </c>
      <c r="N49" s="72"/>
      <c r="O49" s="72"/>
      <c r="P49" s="456" t="str">
        <f>'Part II-Sources of Funds'!$L$14</f>
        <v>Yes</v>
      </c>
      <c r="R49" s="658" t="s">
        <v>3375</v>
      </c>
      <c r="S49" s="1731" t="s">
        <v>6559</v>
      </c>
      <c r="T49" s="1731"/>
      <c r="U49" s="1858"/>
      <c r="V49" s="1858"/>
      <c r="W49" s="1858"/>
      <c r="X49" s="1777">
        <f>O284</f>
        <v>2</v>
      </c>
      <c r="Y49" s="1784">
        <f>O284</f>
        <v>2</v>
      </c>
      <c r="Z49" s="1777">
        <f>O284</f>
        <v>2</v>
      </c>
      <c r="AA49" s="1824">
        <f>O284</f>
        <v>2</v>
      </c>
      <c r="AB49" s="1824">
        <f>O284</f>
        <v>2</v>
      </c>
      <c r="AC49" s="1825">
        <f>O284</f>
        <v>2</v>
      </c>
      <c r="AD49" s="1780">
        <f>P284</f>
        <v>0</v>
      </c>
      <c r="AE49" s="1784">
        <f>P284</f>
        <v>0</v>
      </c>
      <c r="AF49" s="1777">
        <f>P284</f>
        <v>0</v>
      </c>
      <c r="AG49" s="1824">
        <f>P284</f>
        <v>0</v>
      </c>
      <c r="AH49" s="1824">
        <f>P284</f>
        <v>0</v>
      </c>
      <c r="AI49" s="1784">
        <f>P284</f>
        <v>0</v>
      </c>
      <c r="AQ49" s="1935" t="s">
        <v>6697</v>
      </c>
      <c r="AR49" s="1544"/>
      <c r="AS49" s="1544"/>
      <c r="AT49" s="1927">
        <f>'Part V-Revenues &amp; Expenses'!P118+'Part V-Revenues &amp; Expenses'!P121-'Part V-Revenues &amp; Expenses'!$P$122-'Part V-Revenues &amp; Expenses'!$P$123</f>
        <v>0</v>
      </c>
    </row>
    <row r="50" spans="1:46" s="115" customFormat="1" ht="10.5" customHeight="1">
      <c r="A50" s="658" t="s">
        <v>3373</v>
      </c>
      <c r="B50" s="1731" t="s">
        <v>6564</v>
      </c>
      <c r="C50" s="1732"/>
      <c r="D50" s="1733"/>
      <c r="E50" s="1733"/>
      <c r="F50" s="1733"/>
      <c r="G50" s="1734">
        <v>2</v>
      </c>
      <c r="H50" s="1735"/>
      <c r="I50" s="1734"/>
      <c r="J50" s="1823">
        <v>2</v>
      </c>
      <c r="K50" s="1823">
        <v>2</v>
      </c>
      <c r="L50" s="1735">
        <v>2</v>
      </c>
      <c r="Q50" s="142"/>
      <c r="R50" s="658" t="s">
        <v>3373</v>
      </c>
      <c r="S50" s="1731" t="s">
        <v>6564</v>
      </c>
      <c r="T50" s="1731"/>
      <c r="U50" s="1858"/>
      <c r="V50" s="1858"/>
      <c r="W50" s="1858"/>
      <c r="X50" s="1777">
        <f>O309</f>
        <v>0</v>
      </c>
      <c r="Y50" s="1735"/>
      <c r="Z50" s="1734"/>
      <c r="AA50" s="1824">
        <f>O309</f>
        <v>0</v>
      </c>
      <c r="AB50" s="1824">
        <f>O309</f>
        <v>0</v>
      </c>
      <c r="AC50" s="1825">
        <f>O309</f>
        <v>0</v>
      </c>
      <c r="AD50" s="1780">
        <f>P309</f>
        <v>0</v>
      </c>
      <c r="AE50" s="1735"/>
      <c r="AF50" s="1734"/>
      <c r="AG50" s="1824">
        <f>P309</f>
        <v>0</v>
      </c>
      <c r="AH50" s="1824">
        <f>P309</f>
        <v>0</v>
      </c>
      <c r="AI50" s="1784">
        <f>P309</f>
        <v>0</v>
      </c>
    </row>
    <row r="51" spans="1:46" s="115" customFormat="1" ht="10.5" customHeight="1">
      <c r="A51" s="658" t="s">
        <v>3376</v>
      </c>
      <c r="B51" s="1731" t="s">
        <v>6137</v>
      </c>
      <c r="C51" s="1732"/>
      <c r="D51" s="1733"/>
      <c r="E51" s="1733"/>
      <c r="F51" s="1733"/>
      <c r="G51" s="1734">
        <v>2</v>
      </c>
      <c r="H51" s="1735"/>
      <c r="I51" s="1734"/>
      <c r="J51" s="1823">
        <v>2</v>
      </c>
      <c r="K51" s="1823">
        <v>2</v>
      </c>
      <c r="L51" s="1735">
        <v>2</v>
      </c>
      <c r="M51" s="3451" t="s">
        <v>6740</v>
      </c>
      <c r="N51" s="3452"/>
      <c r="O51" s="3452"/>
      <c r="P51" s="3452"/>
      <c r="Q51" s="392"/>
      <c r="R51" s="658" t="s">
        <v>3376</v>
      </c>
      <c r="S51" s="1731" t="s">
        <v>6137</v>
      </c>
      <c r="T51" s="1731"/>
      <c r="U51" s="1858"/>
      <c r="V51" s="1858"/>
      <c r="W51" s="1858"/>
      <c r="X51" s="1782"/>
      <c r="Y51" s="1783"/>
      <c r="Z51" s="1779"/>
      <c r="AA51" s="1830"/>
      <c r="AB51" s="1830"/>
      <c r="AC51" s="1831"/>
      <c r="AD51" s="1780">
        <f>P317</f>
        <v>0</v>
      </c>
      <c r="AE51" s="1735"/>
      <c r="AF51" s="1734"/>
      <c r="AG51" s="1824">
        <f>P317</f>
        <v>0</v>
      </c>
      <c r="AH51" s="1824">
        <f>P317</f>
        <v>0</v>
      </c>
      <c r="AI51" s="1784">
        <f>P317</f>
        <v>0</v>
      </c>
    </row>
    <row r="52" spans="1:46" s="115" customFormat="1" ht="10.5" customHeight="1">
      <c r="A52" s="658" t="s">
        <v>3377</v>
      </c>
      <c r="B52" s="1731" t="s">
        <v>3401</v>
      </c>
      <c r="C52" s="1732"/>
      <c r="D52" s="1733"/>
      <c r="E52" s="1733"/>
      <c r="F52" s="1733"/>
      <c r="G52" s="1734">
        <v>2</v>
      </c>
      <c r="H52" s="1735"/>
      <c r="I52" s="1734"/>
      <c r="J52" s="1823">
        <v>2</v>
      </c>
      <c r="K52" s="1823">
        <v>2</v>
      </c>
      <c r="L52" s="1735">
        <v>2</v>
      </c>
      <c r="M52" s="3451"/>
      <c r="N52" s="3452"/>
      <c r="O52" s="3452"/>
      <c r="P52" s="3452"/>
      <c r="R52" s="658" t="s">
        <v>3377</v>
      </c>
      <c r="S52" s="1731" t="s">
        <v>3401</v>
      </c>
      <c r="T52" s="1731"/>
      <c r="U52" s="1858"/>
      <c r="V52" s="1858"/>
      <c r="W52" s="1858"/>
      <c r="X52" s="1777">
        <f>O333</f>
        <v>0</v>
      </c>
      <c r="Y52" s="1784"/>
      <c r="Z52" s="1777"/>
      <c r="AA52" s="1824">
        <f>O333</f>
        <v>0</v>
      </c>
      <c r="AB52" s="1824">
        <f>O333</f>
        <v>0</v>
      </c>
      <c r="AC52" s="1825">
        <f>O333</f>
        <v>0</v>
      </c>
      <c r="AD52" s="1780">
        <f>P333</f>
        <v>0</v>
      </c>
      <c r="AE52" s="1784"/>
      <c r="AF52" s="1777"/>
      <c r="AG52" s="1824">
        <f>P333</f>
        <v>0</v>
      </c>
      <c r="AH52" s="1824">
        <f>P333</f>
        <v>0</v>
      </c>
      <c r="AI52" s="1784">
        <f>P333</f>
        <v>0</v>
      </c>
    </row>
    <row r="53" spans="1:46" s="115" customFormat="1" ht="10.5" customHeight="1">
      <c r="A53" s="658" t="s">
        <v>3380</v>
      </c>
      <c r="B53" s="1731" t="s">
        <v>3402</v>
      </c>
      <c r="C53" s="1732"/>
      <c r="D53" s="1733"/>
      <c r="E53" s="1733"/>
      <c r="F53" s="1733"/>
      <c r="G53" s="1734">
        <v>4</v>
      </c>
      <c r="H53" s="1735">
        <v>2</v>
      </c>
      <c r="I53" s="1734">
        <v>2</v>
      </c>
      <c r="J53" s="1823">
        <v>4</v>
      </c>
      <c r="K53" s="1823">
        <v>4</v>
      </c>
      <c r="L53" s="1735">
        <v>4</v>
      </c>
      <c r="M53" s="3453"/>
      <c r="N53" s="3454"/>
      <c r="O53" s="3454"/>
      <c r="P53" s="3454"/>
      <c r="R53" s="658" t="s">
        <v>3380</v>
      </c>
      <c r="S53" s="1731" t="s">
        <v>3402</v>
      </c>
      <c r="T53" s="1731"/>
      <c r="U53" s="1858"/>
      <c r="V53" s="1858"/>
      <c r="W53" s="1858"/>
      <c r="X53" s="1777">
        <f>O341</f>
        <v>0</v>
      </c>
      <c r="Y53" s="1784">
        <f>O341</f>
        <v>0</v>
      </c>
      <c r="Z53" s="1777">
        <f>O341</f>
        <v>0</v>
      </c>
      <c r="AA53" s="1824">
        <f>O341</f>
        <v>0</v>
      </c>
      <c r="AB53" s="1824">
        <f>O341</f>
        <v>0</v>
      </c>
      <c r="AC53" s="1825">
        <f>O341</f>
        <v>0</v>
      </c>
      <c r="AD53" s="1780">
        <f>P341</f>
        <v>0</v>
      </c>
      <c r="AE53" s="1784">
        <f>P341</f>
        <v>0</v>
      </c>
      <c r="AF53" s="1777">
        <f>P341</f>
        <v>0</v>
      </c>
      <c r="AG53" s="1824">
        <f>P341</f>
        <v>0</v>
      </c>
      <c r="AH53" s="1824">
        <f>P341</f>
        <v>0</v>
      </c>
      <c r="AI53" s="1784">
        <f>P341</f>
        <v>0</v>
      </c>
    </row>
    <row r="54" spans="1:46" s="115" customFormat="1" ht="10.5" customHeight="1">
      <c r="A54" s="658" t="s">
        <v>3381</v>
      </c>
      <c r="B54" s="1731" t="s">
        <v>3403</v>
      </c>
      <c r="C54" s="1732"/>
      <c r="D54" s="1733"/>
      <c r="E54" s="1733"/>
      <c r="F54" s="1733"/>
      <c r="G54" s="1734">
        <v>2</v>
      </c>
      <c r="H54" s="1735"/>
      <c r="I54" s="1734"/>
      <c r="J54" s="1823"/>
      <c r="K54" s="1823"/>
      <c r="L54" s="1735"/>
      <c r="M54" s="3659" t="s">
        <v>6513</v>
      </c>
      <c r="N54" s="3660"/>
      <c r="O54" s="3660"/>
      <c r="P54" s="3661"/>
      <c r="R54" s="658" t="s">
        <v>3381</v>
      </c>
      <c r="S54" s="1731" t="s">
        <v>3403</v>
      </c>
      <c r="T54" s="1731"/>
      <c r="U54" s="1858"/>
      <c r="V54" s="1858"/>
      <c r="W54" s="1858"/>
      <c r="X54" s="1777">
        <f>O377</f>
        <v>0</v>
      </c>
      <c r="Y54" s="1784"/>
      <c r="Z54" s="1777"/>
      <c r="AA54" s="1824"/>
      <c r="AB54" s="1824"/>
      <c r="AC54" s="1825"/>
      <c r="AD54" s="1780">
        <f>P377</f>
        <v>0</v>
      </c>
      <c r="AE54" s="1784"/>
      <c r="AF54" s="1777"/>
      <c r="AG54" s="1824"/>
      <c r="AH54" s="1824"/>
      <c r="AI54" s="1784"/>
    </row>
    <row r="55" spans="1:46" s="115" customFormat="1" ht="10.5" customHeight="1">
      <c r="A55" s="658" t="s">
        <v>3382</v>
      </c>
      <c r="B55" s="1731" t="s">
        <v>6138</v>
      </c>
      <c r="C55" s="1732"/>
      <c r="D55" s="1733"/>
      <c r="E55" s="1733"/>
      <c r="F55" s="1733"/>
      <c r="G55" s="1734">
        <v>10</v>
      </c>
      <c r="H55" s="1735">
        <v>10</v>
      </c>
      <c r="I55" s="1734">
        <v>10</v>
      </c>
      <c r="J55" s="1823">
        <v>10</v>
      </c>
      <c r="K55" s="1823">
        <v>10</v>
      </c>
      <c r="L55" s="1735">
        <v>10</v>
      </c>
      <c r="M55" s="3662"/>
      <c r="N55" s="3663"/>
      <c r="O55" s="3663"/>
      <c r="P55" s="3664"/>
      <c r="R55" s="658" t="s">
        <v>3382</v>
      </c>
      <c r="S55" s="1731" t="s">
        <v>6138</v>
      </c>
      <c r="T55" s="1731"/>
      <c r="U55" s="1858"/>
      <c r="V55" s="1858"/>
      <c r="W55" s="1858"/>
      <c r="X55" s="1777">
        <f>O396</f>
        <v>10</v>
      </c>
      <c r="Y55" s="1784">
        <f>O396</f>
        <v>10</v>
      </c>
      <c r="Z55" s="1777">
        <f>O396</f>
        <v>10</v>
      </c>
      <c r="AA55" s="1824">
        <f>O396</f>
        <v>10</v>
      </c>
      <c r="AB55" s="1824">
        <f>O396</f>
        <v>10</v>
      </c>
      <c r="AC55" s="1825">
        <f>O396</f>
        <v>10</v>
      </c>
      <c r="AD55" s="1780">
        <f>P396</f>
        <v>10</v>
      </c>
      <c r="AE55" s="1784">
        <f>P396</f>
        <v>10</v>
      </c>
      <c r="AF55" s="1777">
        <f>P396</f>
        <v>10</v>
      </c>
      <c r="AG55" s="1824">
        <f>P396</f>
        <v>10</v>
      </c>
      <c r="AH55" s="1824">
        <f>P396</f>
        <v>10</v>
      </c>
      <c r="AI55" s="1784">
        <f>P396</f>
        <v>10</v>
      </c>
    </row>
    <row r="56" spans="1:46" s="115" customFormat="1" ht="10.5" customHeight="1">
      <c r="A56" s="658" t="s">
        <v>3383</v>
      </c>
      <c r="B56" s="1731" t="s">
        <v>6560</v>
      </c>
      <c r="C56" s="1732"/>
      <c r="D56" s="1733"/>
      <c r="E56" s="1733"/>
      <c r="F56" s="1733"/>
      <c r="G56" s="1734">
        <v>3</v>
      </c>
      <c r="H56" s="1735">
        <v>3</v>
      </c>
      <c r="I56" s="1734">
        <v>3</v>
      </c>
      <c r="J56" s="1823">
        <v>3</v>
      </c>
      <c r="K56" s="1823">
        <v>3</v>
      </c>
      <c r="L56" s="1735">
        <v>3</v>
      </c>
      <c r="R56" s="658" t="s">
        <v>3383</v>
      </c>
      <c r="S56" s="1731" t="s">
        <v>6560</v>
      </c>
      <c r="T56" s="1731"/>
      <c r="U56" s="1858"/>
      <c r="V56" s="1858"/>
      <c r="W56" s="1858"/>
      <c r="X56" s="1777">
        <f>O404</f>
        <v>3</v>
      </c>
      <c r="Y56" s="1784">
        <f>O404</f>
        <v>3</v>
      </c>
      <c r="Z56" s="1777">
        <f>O404</f>
        <v>3</v>
      </c>
      <c r="AA56" s="1824">
        <f>O404</f>
        <v>3</v>
      </c>
      <c r="AB56" s="1824">
        <f t="shared" ref="AB56:AB60" si="0">O397</f>
        <v>0</v>
      </c>
      <c r="AC56" s="1825">
        <f>O404</f>
        <v>3</v>
      </c>
      <c r="AD56" s="1780">
        <f>P404</f>
        <v>2</v>
      </c>
      <c r="AE56" s="1784">
        <f>P404</f>
        <v>2</v>
      </c>
      <c r="AF56" s="1777">
        <f>P404</f>
        <v>2</v>
      </c>
      <c r="AG56" s="1824">
        <f>P404</f>
        <v>2</v>
      </c>
      <c r="AH56" s="1824">
        <f>P404</f>
        <v>2</v>
      </c>
      <c r="AI56" s="1784">
        <f>P404</f>
        <v>2</v>
      </c>
    </row>
    <row r="57" spans="1:46" s="115" customFormat="1" ht="10.5" customHeight="1">
      <c r="A57" s="658" t="s">
        <v>3384</v>
      </c>
      <c r="B57" s="1731" t="s">
        <v>6139</v>
      </c>
      <c r="C57" s="1732"/>
      <c r="D57" s="1733"/>
      <c r="E57" s="1733"/>
      <c r="F57" s="1733"/>
      <c r="G57" s="1734"/>
      <c r="H57" s="1735"/>
      <c r="I57" s="1734">
        <v>6</v>
      </c>
      <c r="J57" s="1823">
        <v>6</v>
      </c>
      <c r="K57" s="1823">
        <v>6</v>
      </c>
      <c r="L57" s="1735">
        <v>6</v>
      </c>
      <c r="M57" s="3447" t="s">
        <v>6147</v>
      </c>
      <c r="N57" s="3448"/>
      <c r="O57" s="3448"/>
      <c r="P57" s="3448"/>
      <c r="Q57" s="142"/>
      <c r="R57" s="658" t="s">
        <v>3384</v>
      </c>
      <c r="S57" s="1731" t="s">
        <v>6139</v>
      </c>
      <c r="T57" s="1731"/>
      <c r="U57" s="1858"/>
      <c r="V57" s="1858"/>
      <c r="W57" s="1858"/>
      <c r="X57" s="1734"/>
      <c r="Y57" s="1735"/>
      <c r="Z57" s="1777">
        <f>O417</f>
        <v>6</v>
      </c>
      <c r="AA57" s="1824">
        <f>O417</f>
        <v>6</v>
      </c>
      <c r="AB57" s="1824">
        <f t="shared" si="0"/>
        <v>10</v>
      </c>
      <c r="AC57" s="1825">
        <f>O417</f>
        <v>6</v>
      </c>
      <c r="AD57" s="1776"/>
      <c r="AE57" s="1735"/>
      <c r="AF57" s="1777">
        <f>P417</f>
        <v>0</v>
      </c>
      <c r="AG57" s="1824">
        <f>P417</f>
        <v>0</v>
      </c>
      <c r="AH57" s="1824">
        <f>P417</f>
        <v>0</v>
      </c>
      <c r="AI57" s="1784">
        <f>P417</f>
        <v>0</v>
      </c>
    </row>
    <row r="58" spans="1:46" s="115" customFormat="1" ht="10.5" customHeight="1">
      <c r="A58" s="658" t="s">
        <v>3385</v>
      </c>
      <c r="B58" s="1731" t="s">
        <v>6561</v>
      </c>
      <c r="C58" s="1732"/>
      <c r="D58" s="1733"/>
      <c r="E58" s="1733"/>
      <c r="F58" s="1733"/>
      <c r="G58" s="1734"/>
      <c r="H58" s="1735"/>
      <c r="I58" s="1734">
        <v>6</v>
      </c>
      <c r="J58" s="1823">
        <v>6</v>
      </c>
      <c r="K58" s="1823">
        <v>6</v>
      </c>
      <c r="L58" s="1735">
        <v>6</v>
      </c>
      <c r="M58" s="3449"/>
      <c r="N58" s="3450"/>
      <c r="O58" s="3450"/>
      <c r="P58" s="3450"/>
      <c r="Q58" s="142"/>
      <c r="R58" s="658" t="s">
        <v>3385</v>
      </c>
      <c r="S58" s="1731" t="s">
        <v>6561</v>
      </c>
      <c r="T58" s="1731"/>
      <c r="U58" s="1858"/>
      <c r="V58" s="1858"/>
      <c r="W58" s="1858"/>
      <c r="X58" s="1734"/>
      <c r="Y58" s="1735"/>
      <c r="Z58" s="1777">
        <f>O423</f>
        <v>0</v>
      </c>
      <c r="AA58" s="1824">
        <f>O423</f>
        <v>0</v>
      </c>
      <c r="AB58" s="1824">
        <f t="shared" si="0"/>
        <v>0</v>
      </c>
      <c r="AC58" s="1825">
        <f>O423</f>
        <v>0</v>
      </c>
      <c r="AD58" s="1776"/>
      <c r="AE58" s="1735"/>
      <c r="AF58" s="1777">
        <f>P423</f>
        <v>0</v>
      </c>
      <c r="AG58" s="1824">
        <f>P423</f>
        <v>0</v>
      </c>
      <c r="AH58" s="1824">
        <f>P423</f>
        <v>0</v>
      </c>
      <c r="AI58" s="1784">
        <f>P423</f>
        <v>0</v>
      </c>
    </row>
    <row r="59" spans="1:46" s="115" customFormat="1" ht="10.5" customHeight="1">
      <c r="A59" s="658" t="s">
        <v>3808</v>
      </c>
      <c r="B59" s="1731" t="s">
        <v>6562</v>
      </c>
      <c r="C59" s="1732"/>
      <c r="D59" s="1733"/>
      <c r="E59" s="1733"/>
      <c r="F59" s="1733"/>
      <c r="G59" s="1734"/>
      <c r="H59" s="1735"/>
      <c r="I59" s="1734">
        <v>4</v>
      </c>
      <c r="J59" s="1823">
        <v>4</v>
      </c>
      <c r="K59" s="1823">
        <v>4</v>
      </c>
      <c r="L59" s="1735">
        <v>4</v>
      </c>
      <c r="M59" s="3738" t="s">
        <v>6816</v>
      </c>
      <c r="N59" s="3739"/>
      <c r="O59" s="3739"/>
      <c r="P59" s="3740"/>
      <c r="R59" s="658" t="s">
        <v>3808</v>
      </c>
      <c r="S59" s="1731" t="s">
        <v>6562</v>
      </c>
      <c r="T59" s="1731"/>
      <c r="U59" s="1858"/>
      <c r="V59" s="1858"/>
      <c r="W59" s="1858"/>
      <c r="X59" s="1734"/>
      <c r="Y59" s="1735"/>
      <c r="Z59" s="1777">
        <f>O427</f>
        <v>4</v>
      </c>
      <c r="AA59" s="1824">
        <f>O427</f>
        <v>4</v>
      </c>
      <c r="AB59" s="1824">
        <f t="shared" si="0"/>
        <v>0</v>
      </c>
      <c r="AC59" s="1825">
        <f>O427</f>
        <v>4</v>
      </c>
      <c r="AD59" s="1776"/>
      <c r="AE59" s="1735"/>
      <c r="AF59" s="1777">
        <f>P427</f>
        <v>0</v>
      </c>
      <c r="AG59" s="1824">
        <f>P427</f>
        <v>0</v>
      </c>
      <c r="AH59" s="1824">
        <f>P427</f>
        <v>0</v>
      </c>
      <c r="AI59" s="1784">
        <f>P427</f>
        <v>0</v>
      </c>
    </row>
    <row r="60" spans="1:46" s="115" customFormat="1" ht="10.5" customHeight="1">
      <c r="A60" s="658" t="s">
        <v>6565</v>
      </c>
      <c r="B60" s="1736" t="s">
        <v>6563</v>
      </c>
      <c r="C60" s="1737"/>
      <c r="D60" s="1738"/>
      <c r="E60" s="1738"/>
      <c r="F60" s="1738"/>
      <c r="G60" s="1739"/>
      <c r="H60" s="1740"/>
      <c r="I60" s="1739">
        <v>6</v>
      </c>
      <c r="J60" s="2009">
        <v>4</v>
      </c>
      <c r="K60" s="2009">
        <v>6</v>
      </c>
      <c r="L60" s="1740">
        <v>4</v>
      </c>
      <c r="M60" s="3741"/>
      <c r="N60" s="3742"/>
      <c r="O60" s="3742"/>
      <c r="P60" s="3743"/>
      <c r="Q60" s="142"/>
      <c r="R60" s="658" t="s">
        <v>6565</v>
      </c>
      <c r="S60" s="1736" t="s">
        <v>6563</v>
      </c>
      <c r="T60" s="1736"/>
      <c r="U60" s="1859"/>
      <c r="V60" s="1859"/>
      <c r="W60" s="1859"/>
      <c r="X60" s="1739"/>
      <c r="Y60" s="1788"/>
      <c r="Z60" s="1860">
        <f>O433</f>
        <v>4</v>
      </c>
      <c r="AA60" s="1878">
        <f>O433</f>
        <v>4</v>
      </c>
      <c r="AB60" s="1878">
        <f t="shared" si="0"/>
        <v>0</v>
      </c>
      <c r="AC60" s="1879">
        <f>O433</f>
        <v>4</v>
      </c>
      <c r="AD60" s="1789"/>
      <c r="AE60" s="1788"/>
      <c r="AF60" s="1860">
        <f>P433</f>
        <v>0</v>
      </c>
      <c r="AG60" s="1878">
        <f>P433</f>
        <v>0</v>
      </c>
      <c r="AH60" s="1878">
        <f>P433</f>
        <v>0</v>
      </c>
      <c r="AI60" s="1788">
        <f>P433</f>
        <v>0</v>
      </c>
    </row>
    <row r="61" spans="1:46" s="36" customFormat="1" ht="2.25" customHeight="1">
      <c r="A61" s="35"/>
      <c r="B61" s="40"/>
      <c r="C61" s="29"/>
      <c r="D61" s="41"/>
      <c r="E61" s="41"/>
      <c r="F61" s="41"/>
      <c r="G61" s="41"/>
      <c r="H61" s="41"/>
      <c r="I61" s="41"/>
      <c r="J61" s="41"/>
      <c r="K61" s="35"/>
      <c r="L61" s="35"/>
      <c r="M61" s="39"/>
      <c r="N61" s="47"/>
      <c r="O61" s="3"/>
      <c r="P61" s="119"/>
      <c r="R61" s="35"/>
      <c r="S61" s="35"/>
      <c r="T61" s="70"/>
      <c r="U61" s="70"/>
      <c r="V61" s="70"/>
      <c r="W61" s="70"/>
      <c r="X61" s="70"/>
      <c r="Y61" s="70"/>
      <c r="Z61" s="70"/>
      <c r="AA61" s="70"/>
      <c r="AB61" s="70"/>
      <c r="AC61" s="70"/>
      <c r="AD61" s="70"/>
      <c r="AE61" s="70"/>
      <c r="AF61" s="70"/>
      <c r="AG61" s="70"/>
      <c r="AH61" s="70"/>
      <c r="AI61" s="70"/>
    </row>
    <row r="62" spans="1:46" s="36" customFormat="1" ht="12" customHeight="1" thickBot="1">
      <c r="A62" s="35"/>
      <c r="B62" s="40"/>
      <c r="C62" s="29"/>
      <c r="D62" s="1636" t="s">
        <v>6252</v>
      </c>
      <c r="E62" s="1505"/>
      <c r="F62" s="1505"/>
      <c r="G62" s="2010">
        <f t="shared" ref="G62:L62" si="1">SUM(G35:G60)</f>
        <v>114</v>
      </c>
      <c r="H62" s="2010">
        <f t="shared" si="1"/>
        <v>69</v>
      </c>
      <c r="I62" s="2010">
        <f t="shared" si="1"/>
        <v>55</v>
      </c>
      <c r="J62" s="2010">
        <f t="shared" si="1"/>
        <v>61</v>
      </c>
      <c r="K62" s="2010">
        <f t="shared" si="1"/>
        <v>63</v>
      </c>
      <c r="L62" s="2010">
        <f t="shared" si="1"/>
        <v>61</v>
      </c>
      <c r="M62" s="39"/>
      <c r="N62" s="47"/>
      <c r="O62" s="3"/>
      <c r="P62" s="119"/>
      <c r="R62" s="35"/>
      <c r="S62" s="35"/>
      <c r="T62" s="70"/>
      <c r="U62" s="70"/>
      <c r="V62" s="70"/>
      <c r="W62" s="70"/>
      <c r="X62" s="1787">
        <f t="shared" ref="X62:AI62" si="2">SUM(X35:X60)</f>
        <v>31</v>
      </c>
      <c r="Y62" s="1787">
        <f t="shared" si="2"/>
        <v>31</v>
      </c>
      <c r="Z62" s="1787">
        <f t="shared" si="2"/>
        <v>45</v>
      </c>
      <c r="AA62" s="1787">
        <f t="shared" si="2"/>
        <v>45</v>
      </c>
      <c r="AB62" s="1787">
        <f t="shared" si="2"/>
        <v>38</v>
      </c>
      <c r="AC62" s="1787">
        <f t="shared" si="2"/>
        <v>45</v>
      </c>
      <c r="AD62" s="1787">
        <f t="shared" si="2"/>
        <v>22</v>
      </c>
      <c r="AE62" s="1787">
        <f t="shared" si="2"/>
        <v>22</v>
      </c>
      <c r="AF62" s="1787">
        <f t="shared" si="2"/>
        <v>22</v>
      </c>
      <c r="AG62" s="1787">
        <f t="shared" si="2"/>
        <v>22</v>
      </c>
      <c r="AH62" s="1787">
        <f t="shared" si="2"/>
        <v>22</v>
      </c>
      <c r="AI62" s="1787">
        <f t="shared" si="2"/>
        <v>22</v>
      </c>
    </row>
    <row r="63" spans="1:46" s="35" customFormat="1" ht="13.5" customHeight="1" thickBot="1">
      <c r="A63" s="120" t="s">
        <v>691</v>
      </c>
      <c r="B63" s="83" t="s">
        <v>2499</v>
      </c>
      <c r="C63" s="4"/>
      <c r="D63" s="4"/>
      <c r="E63" s="4"/>
      <c r="F63" s="29"/>
      <c r="G63" s="29"/>
      <c r="H63" s="147" t="s">
        <v>3834</v>
      </c>
      <c r="M63" s="119">
        <v>10</v>
      </c>
      <c r="N63" s="84"/>
      <c r="O63" s="868">
        <v>10</v>
      </c>
      <c r="P63" s="868">
        <f>MIN($M63, $M63-P66-P71-P67)</f>
        <v>10</v>
      </c>
      <c r="Q63" s="86" t="s">
        <v>416</v>
      </c>
      <c r="R63" s="29"/>
    </row>
    <row r="64" spans="1:46" s="36" customFormat="1" ht="3.6" customHeight="1">
      <c r="A64" s="35"/>
      <c r="B64" s="40"/>
      <c r="C64" s="29"/>
      <c r="D64" s="41"/>
      <c r="E64" s="41"/>
      <c r="F64" s="41"/>
      <c r="G64" s="41"/>
      <c r="H64" s="41"/>
      <c r="I64" s="41"/>
      <c r="J64" s="41"/>
      <c r="K64" s="41"/>
      <c r="L64" s="35"/>
      <c r="M64" s="39"/>
      <c r="N64" s="47"/>
      <c r="O64" s="3"/>
      <c r="P64" s="119"/>
      <c r="R64" s="35"/>
      <c r="S64" s="35"/>
    </row>
    <row r="65" spans="1:20" s="35" customFormat="1" ht="12.75" customHeight="1">
      <c r="A65" s="107" t="s">
        <v>1842</v>
      </c>
      <c r="B65" s="141" t="s">
        <v>3810</v>
      </c>
      <c r="D65" s="41"/>
      <c r="E65" s="41"/>
      <c r="F65" s="893"/>
      <c r="N65" s="48" t="s">
        <v>1842</v>
      </c>
      <c r="P65" s="1611">
        <f>SUM(P66:P68)</f>
        <v>0</v>
      </c>
      <c r="Q65" s="29" t="s">
        <v>6250</v>
      </c>
    </row>
    <row r="66" spans="1:20" s="36" customFormat="1" ht="12.75" customHeight="1">
      <c r="A66" s="107"/>
      <c r="B66" s="1612" t="s">
        <v>1845</v>
      </c>
      <c r="C66" s="81" t="s">
        <v>3813</v>
      </c>
      <c r="D66" s="41"/>
      <c r="E66" s="41"/>
      <c r="F66" s="893"/>
      <c r="H66" s="147" t="s">
        <v>3178</v>
      </c>
      <c r="J66" s="42"/>
      <c r="N66" s="317" t="s">
        <v>1845</v>
      </c>
      <c r="P66" s="904">
        <f>F74</f>
        <v>0</v>
      </c>
    </row>
    <row r="67" spans="1:20" s="36" customFormat="1" ht="12.75" customHeight="1">
      <c r="A67" s="107"/>
      <c r="B67" s="1612" t="s">
        <v>1847</v>
      </c>
      <c r="C67" s="81" t="s">
        <v>6249</v>
      </c>
      <c r="D67" s="41"/>
      <c r="E67" s="41"/>
      <c r="F67" s="893"/>
      <c r="H67" s="147" t="s">
        <v>3811</v>
      </c>
      <c r="J67" s="42"/>
      <c r="N67" s="317" t="s">
        <v>1847</v>
      </c>
      <c r="P67" s="1179">
        <f>J74</f>
        <v>0</v>
      </c>
    </row>
    <row r="68" spans="1:20" s="36" customFormat="1" ht="12.75" customHeight="1">
      <c r="A68" s="107"/>
      <c r="B68" s="1612" t="s">
        <v>2333</v>
      </c>
      <c r="C68" s="81" t="s">
        <v>3812</v>
      </c>
      <c r="D68" s="41"/>
      <c r="E68" s="41"/>
      <c r="F68" s="893"/>
      <c r="H68" s="147" t="s">
        <v>3816</v>
      </c>
      <c r="J68" s="42"/>
      <c r="N68" s="317" t="s">
        <v>2333</v>
      </c>
      <c r="P68" s="1180"/>
    </row>
    <row r="69" spans="1:20" s="36" customFormat="1" ht="12.75" customHeight="1">
      <c r="C69" s="3485" t="s">
        <v>3900</v>
      </c>
      <c r="D69" s="3486"/>
      <c r="E69" s="3486"/>
      <c r="F69" s="3486"/>
      <c r="G69" s="3486"/>
      <c r="H69" s="3486"/>
      <c r="I69" s="3486"/>
      <c r="J69" s="3486"/>
      <c r="K69" s="3486"/>
      <c r="L69" s="3486"/>
      <c r="M69" s="3486"/>
      <c r="N69" s="3486"/>
      <c r="O69" s="3486"/>
      <c r="P69" s="3487"/>
      <c r="Q69" s="355"/>
      <c r="R69" s="355"/>
    </row>
    <row r="70" spans="1:20" s="36" customFormat="1" ht="3" customHeight="1">
      <c r="A70" s="456"/>
      <c r="B70" s="453"/>
      <c r="C70" s="454"/>
      <c r="D70" s="108"/>
      <c r="K70" s="688"/>
      <c r="L70" s="688"/>
      <c r="M70" s="458"/>
      <c r="N70" s="317"/>
      <c r="O70" s="691"/>
      <c r="P70" s="691"/>
    </row>
    <row r="71" spans="1:20" s="35" customFormat="1" ht="12.75" customHeight="1">
      <c r="A71" s="107" t="s">
        <v>1844</v>
      </c>
      <c r="B71" s="141" t="s">
        <v>679</v>
      </c>
      <c r="D71" s="41"/>
      <c r="E71" s="41"/>
      <c r="F71" s="893"/>
      <c r="H71" s="147" t="s">
        <v>2474</v>
      </c>
      <c r="J71" s="42"/>
      <c r="M71" s="5"/>
      <c r="N71" s="48" t="s">
        <v>1844</v>
      </c>
      <c r="P71" s="1182">
        <f>O74</f>
        <v>0</v>
      </c>
      <c r="Q71" s="29" t="s">
        <v>6250</v>
      </c>
    </row>
    <row r="72" spans="1:20" s="36" customFormat="1" ht="3" customHeight="1">
      <c r="A72" s="456"/>
      <c r="B72" s="453"/>
      <c r="C72" s="454"/>
      <c r="D72" s="108"/>
      <c r="K72" s="688"/>
      <c r="L72" s="688"/>
      <c r="M72" s="458"/>
      <c r="N72" s="317"/>
      <c r="O72" s="691"/>
      <c r="P72" s="691"/>
    </row>
    <row r="73" spans="1:20" s="35" customFormat="1" ht="12.75" customHeight="1">
      <c r="A73" s="3412" t="s">
        <v>6078</v>
      </c>
      <c r="B73" s="3412"/>
      <c r="C73" s="3412"/>
      <c r="D73" s="3412"/>
      <c r="E73" s="3412"/>
      <c r="F73" s="1178" t="s">
        <v>3395</v>
      </c>
      <c r="G73" s="3637" t="s">
        <v>6080</v>
      </c>
      <c r="H73" s="3637"/>
      <c r="I73" s="3637"/>
      <c r="J73" s="1178" t="s">
        <v>3395</v>
      </c>
      <c r="K73" s="3641" t="s">
        <v>6079</v>
      </c>
      <c r="L73" s="3641"/>
      <c r="M73" s="3641"/>
      <c r="N73" s="3641"/>
      <c r="O73" s="3635" t="s">
        <v>3395</v>
      </c>
      <c r="P73" s="3636"/>
      <c r="R73" s="356"/>
      <c r="S73" s="125"/>
    </row>
    <row r="74" spans="1:20" s="35" customFormat="1" ht="12.75" customHeight="1">
      <c r="A74" s="3634"/>
      <c r="B74" s="3634"/>
      <c r="C74" s="3634"/>
      <c r="D74" s="3634"/>
      <c r="E74" s="3634"/>
      <c r="F74" s="57">
        <f>SUM(F75:F86)</f>
        <v>0</v>
      </c>
      <c r="G74" s="3638"/>
      <c r="H74" s="3639"/>
      <c r="I74" s="3640"/>
      <c r="J74" s="57">
        <f>SUM(J75:J86)</f>
        <v>0</v>
      </c>
      <c r="K74" s="3642"/>
      <c r="L74" s="3643"/>
      <c r="M74" s="3643"/>
      <c r="N74" s="3644"/>
      <c r="O74" s="3625">
        <f>SUM(O75:O86)</f>
        <v>0</v>
      </c>
      <c r="P74" s="3626"/>
      <c r="Q74" s="356"/>
      <c r="R74" s="125"/>
    </row>
    <row r="75" spans="1:20" s="35" customFormat="1" ht="24.75" customHeight="1">
      <c r="A75" s="3627">
        <v>1</v>
      </c>
      <c r="B75" s="3628"/>
      <c r="C75" s="3628"/>
      <c r="D75" s="3628"/>
      <c r="E75" s="3629"/>
      <c r="F75" s="679"/>
      <c r="G75" s="3627">
        <v>1</v>
      </c>
      <c r="H75" s="3628"/>
      <c r="I75" s="3629"/>
      <c r="J75" s="682" t="s">
        <v>1611</v>
      </c>
      <c r="K75" s="3630">
        <v>1</v>
      </c>
      <c r="L75" s="3631"/>
      <c r="M75" s="3631"/>
      <c r="N75" s="3631"/>
      <c r="O75" s="3632" t="s">
        <v>1611</v>
      </c>
      <c r="P75" s="3633"/>
      <c r="Q75" s="354" t="s">
        <v>1181</v>
      </c>
      <c r="R75" s="125"/>
    </row>
    <row r="76" spans="1:20" s="35" customFormat="1" ht="24.75" customHeight="1">
      <c r="A76" s="3478">
        <v>2</v>
      </c>
      <c r="B76" s="3479"/>
      <c r="C76" s="3479"/>
      <c r="D76" s="3479"/>
      <c r="E76" s="3480"/>
      <c r="F76" s="680"/>
      <c r="G76" s="3478">
        <v>2</v>
      </c>
      <c r="H76" s="3479"/>
      <c r="I76" s="3480"/>
      <c r="J76" s="680"/>
      <c r="K76" s="3481">
        <v>2</v>
      </c>
      <c r="L76" s="3482"/>
      <c r="M76" s="3482"/>
      <c r="N76" s="3482"/>
      <c r="O76" s="3483"/>
      <c r="P76" s="3484"/>
      <c r="Q76" s="355"/>
      <c r="R76" s="125"/>
    </row>
    <row r="77" spans="1:20" s="35" customFormat="1" ht="24.75" customHeight="1">
      <c r="A77" s="3478">
        <v>3</v>
      </c>
      <c r="B77" s="3479"/>
      <c r="C77" s="3479"/>
      <c r="D77" s="3479"/>
      <c r="E77" s="3480"/>
      <c r="F77" s="680"/>
      <c r="G77" s="3478">
        <v>3</v>
      </c>
      <c r="H77" s="3479"/>
      <c r="I77" s="3480"/>
      <c r="J77" s="936" t="s">
        <v>2579</v>
      </c>
      <c r="K77" s="3481">
        <v>3</v>
      </c>
      <c r="L77" s="3482"/>
      <c r="M77" s="3482"/>
      <c r="N77" s="3482"/>
      <c r="O77" s="3457" t="s">
        <v>2579</v>
      </c>
      <c r="P77" s="3458"/>
      <c r="Q77" s="3455" t="s">
        <v>3814</v>
      </c>
      <c r="R77" s="3456"/>
      <c r="S77" s="1181"/>
      <c r="T77" s="1181"/>
    </row>
    <row r="78" spans="1:20" s="35" customFormat="1" ht="24.75" customHeight="1">
      <c r="A78" s="3478">
        <v>4</v>
      </c>
      <c r="B78" s="3479"/>
      <c r="C78" s="3479"/>
      <c r="D78" s="3479"/>
      <c r="E78" s="3480"/>
      <c r="F78" s="680"/>
      <c r="G78" s="3478">
        <v>4</v>
      </c>
      <c r="H78" s="3479"/>
      <c r="I78" s="3480"/>
      <c r="J78" s="680"/>
      <c r="K78" s="3481">
        <v>4</v>
      </c>
      <c r="L78" s="3482"/>
      <c r="M78" s="3482"/>
      <c r="N78" s="3482"/>
      <c r="O78" s="3457" t="s">
        <v>2579</v>
      </c>
      <c r="P78" s="3458"/>
      <c r="Q78" s="3455"/>
      <c r="R78" s="3456"/>
      <c r="S78" s="1181"/>
      <c r="T78" s="1181"/>
    </row>
    <row r="79" spans="1:20" s="35" customFormat="1" ht="24.75" customHeight="1">
      <c r="A79" s="3478">
        <v>5</v>
      </c>
      <c r="B79" s="3479"/>
      <c r="C79" s="3479"/>
      <c r="D79" s="3479"/>
      <c r="E79" s="3480"/>
      <c r="F79" s="680"/>
      <c r="G79" s="3478">
        <v>5</v>
      </c>
      <c r="H79" s="3479"/>
      <c r="I79" s="3480"/>
      <c r="J79" s="936" t="s">
        <v>3148</v>
      </c>
      <c r="K79" s="3481">
        <v>5</v>
      </c>
      <c r="L79" s="3482"/>
      <c r="M79" s="3482"/>
      <c r="N79" s="3482"/>
      <c r="O79" s="3483"/>
      <c r="P79" s="3484"/>
      <c r="Q79" s="3455"/>
      <c r="R79" s="3456"/>
      <c r="S79" s="1181"/>
      <c r="T79" s="1181"/>
    </row>
    <row r="80" spans="1:20" s="35" customFormat="1" ht="24" customHeight="1">
      <c r="A80" s="3478">
        <v>6</v>
      </c>
      <c r="B80" s="3479"/>
      <c r="C80" s="3479"/>
      <c r="D80" s="3479"/>
      <c r="E80" s="3480"/>
      <c r="F80" s="680"/>
      <c r="G80" s="3478">
        <v>6</v>
      </c>
      <c r="H80" s="3479"/>
      <c r="I80" s="3480"/>
      <c r="J80" s="680"/>
      <c r="K80" s="3481">
        <v>6</v>
      </c>
      <c r="L80" s="3482"/>
      <c r="M80" s="3482"/>
      <c r="N80" s="3482"/>
      <c r="O80" s="3483"/>
      <c r="P80" s="3484"/>
      <c r="Q80" s="3455"/>
      <c r="R80" s="3456"/>
    </row>
    <row r="81" spans="1:19" s="35" customFormat="1" ht="24.75" customHeight="1">
      <c r="A81" s="3478">
        <v>7</v>
      </c>
      <c r="B81" s="3479"/>
      <c r="C81" s="3479"/>
      <c r="D81" s="3479"/>
      <c r="E81" s="3480"/>
      <c r="F81" s="680"/>
      <c r="G81" s="3478">
        <v>7</v>
      </c>
      <c r="H81" s="3479"/>
      <c r="I81" s="3480"/>
      <c r="J81" s="936" t="s">
        <v>3149</v>
      </c>
      <c r="K81" s="3481">
        <v>7</v>
      </c>
      <c r="L81" s="3482"/>
      <c r="M81" s="3482"/>
      <c r="N81" s="3482"/>
      <c r="O81" s="3483"/>
      <c r="P81" s="3484"/>
      <c r="Q81" s="125"/>
      <c r="R81" s="125"/>
    </row>
    <row r="82" spans="1:19" s="35" customFormat="1" ht="24.75" customHeight="1">
      <c r="A82" s="3478">
        <v>8</v>
      </c>
      <c r="B82" s="3479"/>
      <c r="C82" s="3479"/>
      <c r="D82" s="3479"/>
      <c r="E82" s="3480"/>
      <c r="F82" s="680"/>
      <c r="G82" s="3478">
        <v>8</v>
      </c>
      <c r="H82" s="3479"/>
      <c r="I82" s="3480"/>
      <c r="J82" s="680"/>
      <c r="K82" s="3481">
        <v>8</v>
      </c>
      <c r="L82" s="3482"/>
      <c r="M82" s="3482"/>
      <c r="N82" s="3482"/>
      <c r="O82" s="3483"/>
      <c r="P82" s="3484"/>
      <c r="Q82" s="125"/>
      <c r="R82" s="125"/>
    </row>
    <row r="83" spans="1:19" s="35" customFormat="1" ht="24.75" customHeight="1">
      <c r="A83" s="3478">
        <v>9</v>
      </c>
      <c r="B83" s="3479"/>
      <c r="C83" s="3479"/>
      <c r="D83" s="3479"/>
      <c r="E83" s="3480"/>
      <c r="F83" s="680"/>
      <c r="G83" s="3478">
        <v>9</v>
      </c>
      <c r="H83" s="3479"/>
      <c r="I83" s="3480"/>
      <c r="J83" s="936" t="s">
        <v>3150</v>
      </c>
      <c r="K83" s="3481">
        <v>9</v>
      </c>
      <c r="L83" s="3482"/>
      <c r="M83" s="3482"/>
      <c r="N83" s="3482"/>
      <c r="O83" s="3483"/>
      <c r="P83" s="3484"/>
      <c r="Q83" s="125"/>
      <c r="R83" s="125"/>
    </row>
    <row r="84" spans="1:19" s="35" customFormat="1" ht="24.75" customHeight="1">
      <c r="A84" s="3478">
        <v>10</v>
      </c>
      <c r="B84" s="3479"/>
      <c r="C84" s="3479"/>
      <c r="D84" s="3479"/>
      <c r="E84" s="3480"/>
      <c r="F84" s="680"/>
      <c r="G84" s="3478">
        <v>10</v>
      </c>
      <c r="H84" s="3479"/>
      <c r="I84" s="3480"/>
      <c r="J84" s="680"/>
      <c r="K84" s="3481">
        <v>10</v>
      </c>
      <c r="L84" s="3482"/>
      <c r="M84" s="3482"/>
      <c r="N84" s="3482"/>
      <c r="O84" s="3483"/>
      <c r="P84" s="3484"/>
      <c r="Q84" s="125"/>
    </row>
    <row r="85" spans="1:19" s="35" customFormat="1" ht="24.75" customHeight="1">
      <c r="A85" s="3478">
        <v>11</v>
      </c>
      <c r="B85" s="3479"/>
      <c r="C85" s="3479"/>
      <c r="D85" s="3479"/>
      <c r="E85" s="3480"/>
      <c r="F85" s="680"/>
      <c r="G85" s="3478">
        <v>11</v>
      </c>
      <c r="H85" s="3479"/>
      <c r="I85" s="3480"/>
      <c r="J85" s="936" t="s">
        <v>3151</v>
      </c>
      <c r="K85" s="3478">
        <v>11</v>
      </c>
      <c r="L85" s="3479"/>
      <c r="M85" s="3479"/>
      <c r="N85" s="3480"/>
      <c r="O85" s="3483"/>
      <c r="P85" s="3484"/>
      <c r="Q85" s="125"/>
      <c r="R85" s="125"/>
    </row>
    <row r="86" spans="1:19" s="35" customFormat="1" ht="24.75" customHeight="1">
      <c r="A86" s="3711">
        <v>12</v>
      </c>
      <c r="B86" s="3712"/>
      <c r="C86" s="3712"/>
      <c r="D86" s="3712"/>
      <c r="E86" s="3713"/>
      <c r="F86" s="681"/>
      <c r="G86" s="3711">
        <v>12</v>
      </c>
      <c r="H86" s="3712"/>
      <c r="I86" s="3713"/>
      <c r="J86" s="681"/>
      <c r="K86" s="3711">
        <v>12</v>
      </c>
      <c r="L86" s="3712"/>
      <c r="M86" s="3712"/>
      <c r="N86" s="3713"/>
      <c r="O86" s="3714"/>
      <c r="P86" s="3715"/>
    </row>
    <row r="87" spans="1:19" s="36" customFormat="1" ht="3" customHeight="1" thickBot="1">
      <c r="D87" s="32"/>
      <c r="E87" s="29"/>
      <c r="F87" s="119"/>
      <c r="G87" s="119"/>
      <c r="H87" s="119"/>
      <c r="I87" s="119"/>
      <c r="J87" s="33"/>
      <c r="K87" s="33"/>
      <c r="L87" s="33"/>
      <c r="M87" s="31"/>
      <c r="N87" s="119"/>
      <c r="O87" s="24"/>
      <c r="P87" s="3"/>
    </row>
    <row r="88" spans="1:19" s="70" customFormat="1" ht="13.5" customHeight="1" thickBot="1">
      <c r="A88" s="120" t="s">
        <v>1667</v>
      </c>
      <c r="B88" s="83" t="s">
        <v>3152</v>
      </c>
      <c r="E88" s="32"/>
      <c r="G88" s="66"/>
      <c r="I88" s="1547" t="s">
        <v>3931</v>
      </c>
      <c r="J88" s="1613" t="str">
        <f>IF(OR($M$34="9% Credit Competitive Round only", $M$34="9% Credit &amp; HOME"),"9%",IF(OR($M$34="4% Credit/TE Bond", $M$34="4% Credit/TE Bond &amp; HOME", $M$34="4% Credit/TE Bond &amp; HOME NOFA", $M$34="4% Credit &amp; NHTF", $M$34="4% Credit &amp; NHTF &amp; HOME"),"4%",""))</f>
        <v>4%</v>
      </c>
      <c r="K88" s="1550" t="s">
        <v>363</v>
      </c>
      <c r="L88" s="1549" t="str">
        <f>$M$54</f>
        <v>Preservation</v>
      </c>
      <c r="M88" s="119">
        <f>IF(AND($P$36="4%",$M$54="New Supply"),$H$36,IF(AND($P$36="4%",$M$54="Preservation"),$I$36,$G$36))</f>
        <v>0</v>
      </c>
      <c r="N88" s="5"/>
      <c r="O88" s="868">
        <f>IF(AND(O92&gt;0,O96&gt;0),"AorB?",MIN($M$88,O92+O96))</f>
        <v>0</v>
      </c>
      <c r="P88" s="868">
        <f>IF(AND(P92&gt;0,P96&gt;0),"AorB?",MIN($M$88,P92+P96))</f>
        <v>0</v>
      </c>
      <c r="Q88" s="86" t="s">
        <v>416</v>
      </c>
      <c r="S88" s="409"/>
    </row>
    <row r="89" spans="1:19" s="36" customFormat="1" ht="2.25" customHeight="1">
      <c r="A89" s="351"/>
      <c r="B89" s="88"/>
      <c r="E89" s="32"/>
      <c r="F89" s="36" t="s">
        <v>3823</v>
      </c>
      <c r="G89" s="67"/>
      <c r="H89" s="29"/>
      <c r="I89" s="38"/>
      <c r="K89" s="405"/>
      <c r="L89" s="683"/>
      <c r="M89" s="119"/>
      <c r="N89" s="5"/>
      <c r="O89" s="3"/>
      <c r="P89" s="3"/>
      <c r="Q89" s="86"/>
      <c r="R89" s="307"/>
    </row>
    <row r="90" spans="1:19" s="36" customFormat="1" ht="13.5" customHeight="1">
      <c r="A90" s="107" t="s">
        <v>1842</v>
      </c>
      <c r="B90" s="153" t="s">
        <v>6148</v>
      </c>
      <c r="E90" s="32"/>
      <c r="G90" s="67"/>
      <c r="H90" s="44" t="s">
        <v>6657</v>
      </c>
      <c r="I90" s="1239" t="str">
        <f>'Part V-Revenues &amp; Expenses'!$O$53</f>
        <v>Income Averaging</v>
      </c>
      <c r="M90" s="119"/>
      <c r="N90" s="5"/>
      <c r="P90" s="1957" t="str">
        <f>IF(AND(O88&gt;0,NOT($M$54="New Supply")), "Ineligible to score in this section, not New Supply!","")</f>
        <v/>
      </c>
      <c r="Q90" s="5"/>
      <c r="R90" s="307"/>
    </row>
    <row r="91" spans="1:19" s="70" customFormat="1" ht="9" customHeight="1">
      <c r="A91" s="107"/>
      <c r="B91" s="3504" t="s">
        <v>3817</v>
      </c>
      <c r="C91" s="3504"/>
      <c r="D91" s="3504"/>
      <c r="E91" s="3504"/>
      <c r="F91" s="3504"/>
      <c r="G91" s="3504"/>
      <c r="H91" s="3504"/>
      <c r="I91" s="3504"/>
      <c r="J91" s="3504"/>
      <c r="K91" s="3504"/>
      <c r="L91" s="3504"/>
      <c r="M91" s="119"/>
      <c r="N91" s="5"/>
      <c r="Q91" s="5"/>
      <c r="R91" s="307"/>
    </row>
    <row r="92" spans="1:19" s="70" customFormat="1" ht="13.5" customHeight="1">
      <c r="B92" s="3504"/>
      <c r="C92" s="3504"/>
      <c r="D92" s="3504"/>
      <c r="E92" s="3504"/>
      <c r="F92" s="3504"/>
      <c r="G92" s="3504"/>
      <c r="H92" s="3504"/>
      <c r="I92" s="3504"/>
      <c r="J92" s="3504"/>
      <c r="K92" s="3504"/>
      <c r="L92" s="3504"/>
      <c r="M92" s="686">
        <v>2</v>
      </c>
      <c r="N92" s="317" t="s">
        <v>1842</v>
      </c>
      <c r="O92" s="692">
        <f>IF(AND(OR($J$88="9%",$J$88="4%"),$L$88="New Supply"),MIN($M92,O93+O94),0)</f>
        <v>0</v>
      </c>
      <c r="P92" s="692">
        <f>IF(NOT($J$88="9%"),0,MIN($M92, P93+P94))</f>
        <v>0</v>
      </c>
    </row>
    <row r="93" spans="1:19" s="70" customFormat="1" ht="13.5" customHeight="1">
      <c r="A93" s="107"/>
      <c r="B93" s="1195" t="s">
        <v>1845</v>
      </c>
      <c r="C93" s="1185" t="s">
        <v>3818</v>
      </c>
      <c r="D93" s="29"/>
      <c r="H93" s="29" t="s">
        <v>3819</v>
      </c>
      <c r="I93" s="1184"/>
      <c r="J93" s="1241">
        <f>'Part V-Revenues &amp; Expenses'!$B$50</f>
        <v>54.916666666666664</v>
      </c>
      <c r="L93" s="3529" t="str">
        <f>IF(AND(O93&gt;0,O94&gt;0), "CHOOSE EITHER A OR B, NOT BOTH!", "")</f>
        <v/>
      </c>
      <c r="M93" s="458">
        <v>2</v>
      </c>
      <c r="N93" s="150" t="s">
        <v>1845</v>
      </c>
      <c r="O93" s="406"/>
      <c r="P93" s="414"/>
      <c r="Q93" s="1214" t="str">
        <f>IF(OR($O93=$M93,$O93=0,$O93=""),"","*CHECK!*")</f>
        <v/>
      </c>
      <c r="R93" s="795" t="s">
        <v>4064</v>
      </c>
    </row>
    <row r="94" spans="1:19" s="70" customFormat="1" ht="13.5" customHeight="1">
      <c r="A94" s="396" t="s">
        <v>2987</v>
      </c>
      <c r="B94" s="1195" t="s">
        <v>1847</v>
      </c>
      <c r="C94" s="1185" t="s">
        <v>3820</v>
      </c>
      <c r="D94" s="29"/>
      <c r="I94" s="1184"/>
      <c r="K94" s="29"/>
      <c r="L94" s="3529"/>
      <c r="M94" s="458">
        <v>2</v>
      </c>
      <c r="N94" s="150" t="s">
        <v>1847</v>
      </c>
      <c r="O94" s="407"/>
      <c r="P94" s="415"/>
      <c r="Q94" s="1214" t="str">
        <f>IF(OR($O94=$M94,$O94=0,$O94=""),"","*CHECK!*")</f>
        <v/>
      </c>
      <c r="R94" s="795" t="s">
        <v>4064</v>
      </c>
    </row>
    <row r="95" spans="1:19" s="36" customFormat="1" ht="6.75" customHeight="1">
      <c r="A95" s="456"/>
      <c r="B95" s="453"/>
      <c r="C95" s="454"/>
      <c r="D95" s="108"/>
      <c r="K95" s="688"/>
      <c r="L95" s="688"/>
      <c r="M95" s="458"/>
      <c r="N95" s="317"/>
      <c r="O95" s="691"/>
      <c r="P95" s="691"/>
    </row>
    <row r="96" spans="1:19" s="36" customFormat="1" ht="13.5" customHeight="1">
      <c r="A96" s="107" t="s">
        <v>1844</v>
      </c>
      <c r="B96" s="153" t="s">
        <v>3179</v>
      </c>
      <c r="E96" s="79"/>
      <c r="H96" s="3744" t="s">
        <v>3821</v>
      </c>
      <c r="I96" s="3745"/>
      <c r="J96" s="1188" t="s">
        <v>3822</v>
      </c>
      <c r="M96" s="686">
        <v>3</v>
      </c>
      <c r="N96" s="128" t="s">
        <v>1844</v>
      </c>
      <c r="O96" s="692">
        <f>IF(AND(O97="Yes", O98="Yes"),$M$96,0)</f>
        <v>3</v>
      </c>
      <c r="P96" s="692">
        <f>IF(AND(P97="Yes", P98="Yes"),$M$96,0)</f>
        <v>0</v>
      </c>
    </row>
    <row r="97" spans="1:21" s="36" customFormat="1" ht="13.5" customHeight="1">
      <c r="A97" s="346"/>
      <c r="B97" s="1195" t="s">
        <v>1845</v>
      </c>
      <c r="C97" s="1186">
        <v>0.3</v>
      </c>
      <c r="D97" s="751" t="s">
        <v>3180</v>
      </c>
      <c r="E97" s="79"/>
      <c r="F97" s="370"/>
      <c r="H97" s="942">
        <v>75</v>
      </c>
      <c r="I97" s="943"/>
      <c r="J97" s="1187">
        <f>'Part V-Revenues &amp; Expenses'!$P$65</f>
        <v>120</v>
      </c>
      <c r="K97" s="1880">
        <f>IF(OR('Part V-Revenues &amp; Expenses'!$P$65="", 'Part V-Revenues &amp; Expenses'!$P$65=0),0,H97/'Part V-Revenues &amp; Expenses'!$P$65)</f>
        <v>0.625</v>
      </c>
      <c r="L97" s="1881">
        <f>IF(OR('Part V-Revenues &amp; Expenses'!$P$65="", 'Part V-Revenues &amp; Expenses'!$P$65=0),0,I97/'Part V-Revenues &amp; Expenses'!$P$65)</f>
        <v>0</v>
      </c>
      <c r="M97" s="458"/>
      <c r="N97" s="317" t="s">
        <v>1845</v>
      </c>
      <c r="O97" s="689" t="str">
        <f>IF(AND(K97 &gt;= $C$97,O98="Yes"),"Yes","No")</f>
        <v>Yes</v>
      </c>
      <c r="P97" s="689" t="str">
        <f>IF(AND(L97 &gt;= $C$97,P98="Yes"),"Yes","No")</f>
        <v>No</v>
      </c>
    </row>
    <row r="98" spans="1:21" s="36" customFormat="1" ht="13.5" customHeight="1">
      <c r="A98" s="456"/>
      <c r="B98" s="1195" t="s">
        <v>1847</v>
      </c>
      <c r="C98" s="380" t="s">
        <v>3329</v>
      </c>
      <c r="E98" s="721"/>
      <c r="F98" s="370"/>
      <c r="I98" s="30"/>
      <c r="J98" s="30"/>
      <c r="K98" s="30"/>
      <c r="L98" s="30"/>
      <c r="M98" s="30"/>
      <c r="N98" s="317" t="s">
        <v>1847</v>
      </c>
      <c r="O98" s="176" t="s">
        <v>2652</v>
      </c>
      <c r="P98" s="421"/>
    </row>
    <row r="99" spans="1:21" s="36" customFormat="1" ht="10.5" customHeight="1">
      <c r="A99" s="35"/>
      <c r="B99" s="76" t="s">
        <v>1730</v>
      </c>
      <c r="D99" s="65"/>
      <c r="E99" s="889"/>
      <c r="F99" s="889"/>
      <c r="G99" s="889"/>
      <c r="H99" s="889"/>
      <c r="I99" s="889"/>
      <c r="J99" s="889"/>
      <c r="K99" s="889"/>
      <c r="L99" s="889"/>
      <c r="M99" s="889"/>
      <c r="N99" s="55"/>
      <c r="O99" s="52"/>
      <c r="P99" s="119"/>
    </row>
    <row r="100" spans="1:21" s="36" customFormat="1" ht="22.5" customHeight="1">
      <c r="A100" s="3219"/>
      <c r="B100" s="3220"/>
      <c r="C100" s="3220"/>
      <c r="D100" s="3220"/>
      <c r="E100" s="3220"/>
      <c r="F100" s="3220"/>
      <c r="G100" s="3220"/>
      <c r="H100" s="3220"/>
      <c r="I100" s="3220"/>
      <c r="J100" s="3220"/>
      <c r="K100" s="3220"/>
      <c r="L100" s="3220"/>
      <c r="M100" s="3220"/>
      <c r="N100" s="3220"/>
      <c r="O100" s="3220"/>
      <c r="P100" s="3221"/>
      <c r="Q100" s="354"/>
    </row>
    <row r="101" spans="1:21" ht="7.5" customHeight="1" thickBot="1"/>
    <row r="102" spans="1:21" s="36" customFormat="1" ht="13.5" customHeight="1" thickBot="1">
      <c r="A102" s="120" t="s">
        <v>1669</v>
      </c>
      <c r="B102" s="83" t="s">
        <v>3372</v>
      </c>
      <c r="D102" s="34"/>
      <c r="K102" s="1550" t="s">
        <v>363</v>
      </c>
      <c r="L102" s="1549" t="str">
        <f>M54</f>
        <v>Preservation</v>
      </c>
      <c r="M102" s="119">
        <f>IF(AND($P$36="4%",$M$54="New Supply"),$H$37,$I$37)</f>
        <v>0</v>
      </c>
      <c r="N102" s="48"/>
      <c r="O102" s="868">
        <f>IF(OR($M105-O106&lt;0,O105-O106&lt;0),0,IF(O105&lt;=$M105,O105-O106,IF(O105&gt;$M105,$M105-O106,0)))</f>
        <v>0</v>
      </c>
      <c r="P102" s="868">
        <f>IF(OR($M105-P106&lt;0,P105-P106&lt;0),0,IF(P105&lt;=$M105,P105-P106,IF(P105&gt;$M105,$M105-P106,0)))</f>
        <v>0</v>
      </c>
      <c r="Q102" s="86" t="s">
        <v>416</v>
      </c>
    </row>
    <row r="103" spans="1:21" s="36" customFormat="1" ht="15">
      <c r="A103" s="35"/>
      <c r="B103" s="241" t="s">
        <v>3256</v>
      </c>
      <c r="D103" s="32"/>
      <c r="E103" s="29"/>
      <c r="F103" s="119"/>
      <c r="G103" s="119"/>
      <c r="H103" s="230"/>
      <c r="I103" s="230"/>
      <c r="J103" s="230"/>
      <c r="K103" s="230"/>
      <c r="M103" s="31"/>
      <c r="N103" s="119"/>
      <c r="O103" s="24"/>
      <c r="P103" s="396" t="str">
        <f>IF(AND(O102&gt;0,NOT($M$54="New Supply")), "Ineligible to score in this section, not New Supply!","")</f>
        <v/>
      </c>
    </row>
    <row r="104" spans="1:21" s="70" customFormat="1" ht="12.75" customHeight="1">
      <c r="A104" s="107"/>
      <c r="B104" s="29" t="s">
        <v>3289</v>
      </c>
      <c r="D104" s="26"/>
      <c r="N104" s="48"/>
      <c r="O104" s="718" t="s">
        <v>6926</v>
      </c>
      <c r="P104" s="1767"/>
    </row>
    <row r="105" spans="1:21" s="70" customFormat="1" ht="12.75" customHeight="1">
      <c r="A105" s="107" t="s">
        <v>1842</v>
      </c>
      <c r="B105" s="141" t="s">
        <v>1737</v>
      </c>
      <c r="C105" s="4"/>
      <c r="D105" s="4"/>
      <c r="F105" s="243"/>
      <c r="H105" s="658" t="s">
        <v>2470</v>
      </c>
      <c r="I105" s="3716" t="s">
        <v>4049</v>
      </c>
      <c r="J105" s="3717"/>
      <c r="K105" s="3717"/>
      <c r="L105" s="3718"/>
      <c r="M105" s="458">
        <f>IF(AND($P$36="4%",$M$54="New Supply"),$H$37,$I$37)</f>
        <v>0</v>
      </c>
      <c r="N105" s="150" t="s">
        <v>1842</v>
      </c>
      <c r="O105" s="1768">
        <v>0</v>
      </c>
      <c r="P105" s="1769"/>
      <c r="Q105" s="1214"/>
      <c r="R105" s="795" t="s">
        <v>4064</v>
      </c>
    </row>
    <row r="106" spans="1:21" s="70" customFormat="1" ht="12.75" customHeight="1">
      <c r="A106" s="107" t="s">
        <v>1844</v>
      </c>
      <c r="B106" s="141" t="s">
        <v>3283</v>
      </c>
      <c r="D106" s="882"/>
      <c r="F106" s="1240"/>
      <c r="H106" s="658" t="s">
        <v>3342</v>
      </c>
      <c r="I106" s="3719"/>
      <c r="J106" s="3624"/>
      <c r="K106" s="3624"/>
      <c r="L106" s="3720"/>
      <c r="M106" s="893" t="s">
        <v>1165</v>
      </c>
      <c r="N106" s="48" t="s">
        <v>1844</v>
      </c>
      <c r="O106" s="1770">
        <v>0</v>
      </c>
      <c r="P106" s="1771"/>
      <c r="R106" s="795" t="s">
        <v>4064</v>
      </c>
    </row>
    <row r="107" spans="1:21" s="36" customFormat="1" ht="12.75" customHeight="1" thickBot="1">
      <c r="A107" s="35"/>
      <c r="B107" s="939" t="s">
        <v>3244</v>
      </c>
      <c r="C107" s="35"/>
      <c r="D107" s="41"/>
      <c r="E107" s="41"/>
      <c r="F107" s="41"/>
      <c r="G107" s="41"/>
      <c r="H107" s="29"/>
      <c r="I107" s="3721"/>
      <c r="J107" s="3722"/>
      <c r="K107" s="3722"/>
      <c r="L107" s="3723"/>
      <c r="M107" s="39"/>
      <c r="N107" s="47"/>
      <c r="O107" s="3"/>
      <c r="P107" s="24"/>
    </row>
    <row r="108" spans="1:21" s="36" customFormat="1" ht="90" customHeight="1" thickTop="1" thickBot="1">
      <c r="A108" s="3534" t="s">
        <v>6950</v>
      </c>
      <c r="B108" s="3535"/>
      <c r="C108" s="3535"/>
      <c r="D108" s="3535"/>
      <c r="E108" s="3535"/>
      <c r="F108" s="3535"/>
      <c r="G108" s="3535"/>
      <c r="H108" s="3535"/>
      <c r="I108" s="3535"/>
      <c r="J108" s="3535"/>
      <c r="K108" s="3535"/>
      <c r="L108" s="3535"/>
      <c r="M108" s="3535"/>
      <c r="N108" s="3535"/>
      <c r="O108" s="3535"/>
      <c r="P108" s="3536"/>
      <c r="Q108" s="355" t="s">
        <v>1181</v>
      </c>
      <c r="R108" s="355"/>
    </row>
    <row r="109" spans="1:21" s="36" customFormat="1" ht="11.45" customHeight="1" thickTop="1">
      <c r="A109" s="35"/>
      <c r="B109" s="42" t="s">
        <v>1730</v>
      </c>
      <c r="C109" s="35"/>
      <c r="D109" s="105"/>
      <c r="E109" s="889"/>
      <c r="F109" s="889"/>
      <c r="G109" s="889"/>
      <c r="H109" s="889"/>
      <c r="I109" s="889"/>
      <c r="J109" s="889"/>
      <c r="K109" s="889"/>
      <c r="L109" s="889"/>
      <c r="M109" s="889"/>
      <c r="N109" s="55"/>
      <c r="O109" s="52"/>
      <c r="P109" s="119"/>
    </row>
    <row r="110" spans="1:21" s="36" customFormat="1" ht="90" customHeight="1">
      <c r="A110" s="3219"/>
      <c r="B110" s="3220"/>
      <c r="C110" s="3220"/>
      <c r="D110" s="3220"/>
      <c r="E110" s="3220"/>
      <c r="F110" s="3220"/>
      <c r="G110" s="3220"/>
      <c r="H110" s="3220"/>
      <c r="I110" s="3220"/>
      <c r="J110" s="3220"/>
      <c r="K110" s="3220"/>
      <c r="L110" s="3220"/>
      <c r="M110" s="3220"/>
      <c r="N110" s="3220"/>
      <c r="O110" s="3220"/>
      <c r="P110" s="3221"/>
      <c r="Q110" s="354"/>
      <c r="R110" s="355"/>
    </row>
    <row r="111" spans="1:21" ht="7.5" customHeight="1" thickBot="1">
      <c r="M111" s="26"/>
      <c r="N111" s="39"/>
      <c r="O111" s="119"/>
      <c r="P111" s="119"/>
    </row>
    <row r="112" spans="1:21" s="36" customFormat="1" ht="13.5" customHeight="1" thickBot="1">
      <c r="A112" s="120" t="s">
        <v>496</v>
      </c>
      <c r="B112" s="83" t="s">
        <v>2415</v>
      </c>
      <c r="D112" s="34"/>
      <c r="H112" s="1548" t="s">
        <v>6151</v>
      </c>
      <c r="I112" s="1625" t="s">
        <v>6147</v>
      </c>
      <c r="J112" s="1549" t="str">
        <f>M59</f>
        <v>N/A-4%</v>
      </c>
      <c r="K112" s="1550" t="s">
        <v>363</v>
      </c>
      <c r="L112" s="1549" t="str">
        <f>M54</f>
        <v>Preservation</v>
      </c>
      <c r="M112" s="119">
        <f>IF(AND($P$36="4%",$M$54="New Supply"),$H$38,IF(AND($P$36="4%",$M$54="Preservation"),$I$38,$G$38))</f>
        <v>0</v>
      </c>
      <c r="N112" s="48"/>
      <c r="O112" s="1616">
        <f>MIN($M$112,MAX(O130,O137))</f>
        <v>0</v>
      </c>
      <c r="P112" s="1616">
        <f>MIN($M$112,MAX(P130,P137))</f>
        <v>0</v>
      </c>
      <c r="Q112" s="86" t="s">
        <v>416</v>
      </c>
      <c r="R112" s="881"/>
      <c r="S112" s="881"/>
      <c r="T112" s="881"/>
      <c r="U112" s="881"/>
    </row>
    <row r="113" spans="1:21" s="36" customFormat="1" ht="17.25" customHeight="1">
      <c r="A113" s="120"/>
      <c r="B113" s="81" t="s">
        <v>3330</v>
      </c>
      <c r="D113" s="34"/>
      <c r="H113" s="141"/>
      <c r="L113" s="1944" t="str">
        <f>IF(AND(O112&gt;0,NOT($M$54="New Supply")), "Ineligible to score in this section, not New Supply!","")</f>
        <v/>
      </c>
      <c r="M113" s="119"/>
      <c r="N113" s="48"/>
      <c r="O113" s="792" t="s">
        <v>3153</v>
      </c>
      <c r="P113" s="792" t="s">
        <v>3154</v>
      </c>
      <c r="Q113" s="86"/>
      <c r="R113" s="881"/>
      <c r="S113" s="881"/>
      <c r="T113" s="881"/>
      <c r="U113" s="881"/>
    </row>
    <row r="114" spans="1:21" s="36" customFormat="1" ht="11.25" customHeight="1">
      <c r="A114" s="120"/>
      <c r="B114" s="306" t="s">
        <v>1845</v>
      </c>
      <c r="C114" s="29" t="s">
        <v>3824</v>
      </c>
      <c r="D114" s="882"/>
      <c r="E114" s="70"/>
      <c r="F114" s="70"/>
      <c r="G114" s="70"/>
      <c r="H114" s="38"/>
      <c r="I114" s="42"/>
      <c r="M114" s="119"/>
      <c r="N114" s="48"/>
      <c r="O114" s="175" t="s">
        <v>6926</v>
      </c>
      <c r="P114" s="419"/>
      <c r="Q114" s="86"/>
      <c r="R114" s="881"/>
      <c r="S114" s="881"/>
      <c r="T114" s="881"/>
      <c r="U114" s="881"/>
    </row>
    <row r="115" spans="1:21" s="36" customFormat="1" ht="11.25" customHeight="1">
      <c r="A115" s="120"/>
      <c r="B115" s="306" t="s">
        <v>1847</v>
      </c>
      <c r="C115" s="29" t="s">
        <v>3825</v>
      </c>
      <c r="D115" s="882"/>
      <c r="E115" s="70"/>
      <c r="F115" s="70"/>
      <c r="G115" s="70"/>
      <c r="H115" s="38"/>
      <c r="I115" s="42"/>
      <c r="J115" s="41"/>
      <c r="K115" s="41"/>
      <c r="L115" s="70"/>
      <c r="M115" s="70"/>
      <c r="N115" s="48"/>
      <c r="O115" s="299" t="s">
        <v>6926</v>
      </c>
      <c r="P115" s="420"/>
      <c r="Q115" s="86"/>
      <c r="R115" s="881"/>
      <c r="S115" s="881"/>
      <c r="T115" s="881"/>
      <c r="U115" s="881"/>
    </row>
    <row r="116" spans="1:21" s="36" customFormat="1" ht="11.25" customHeight="1">
      <c r="A116" s="120"/>
      <c r="B116" s="306" t="s">
        <v>2333</v>
      </c>
      <c r="C116" s="29" t="s">
        <v>6153</v>
      </c>
      <c r="D116" s="882"/>
      <c r="E116" s="70"/>
      <c r="F116" s="70"/>
      <c r="G116" s="70"/>
      <c r="H116" s="38"/>
      <c r="I116" s="42"/>
      <c r="J116" s="41"/>
      <c r="K116" s="41"/>
      <c r="L116" s="70"/>
      <c r="M116" s="70"/>
      <c r="N116" s="48"/>
      <c r="O116" s="299" t="s">
        <v>6926</v>
      </c>
      <c r="P116" s="420"/>
      <c r="Q116" s="86"/>
      <c r="R116" s="881"/>
      <c r="S116" s="881"/>
      <c r="T116" s="881"/>
      <c r="U116" s="881"/>
    </row>
    <row r="117" spans="1:21" s="36" customFormat="1" ht="11.25" customHeight="1">
      <c r="A117" s="120"/>
      <c r="B117" s="306" t="s">
        <v>1151</v>
      </c>
      <c r="C117" s="29" t="s">
        <v>6577</v>
      </c>
      <c r="D117" s="882"/>
      <c r="E117" s="70"/>
      <c r="F117" s="70"/>
      <c r="G117" s="70"/>
      <c r="H117" s="38"/>
      <c r="I117" s="42"/>
      <c r="J117" s="41"/>
      <c r="K117" s="41"/>
      <c r="L117" s="70"/>
      <c r="M117" s="70"/>
      <c r="N117" s="48"/>
      <c r="O117" s="299" t="s">
        <v>6926</v>
      </c>
      <c r="P117" s="420"/>
      <c r="Q117" s="86"/>
      <c r="R117" s="881"/>
      <c r="S117" s="881"/>
      <c r="T117" s="881"/>
      <c r="U117" s="881"/>
    </row>
    <row r="118" spans="1:21" s="36" customFormat="1" ht="11.25" customHeight="1">
      <c r="A118" s="120"/>
      <c r="B118" s="306">
        <v>5</v>
      </c>
      <c r="C118" s="29" t="s">
        <v>6578</v>
      </c>
      <c r="D118" s="882"/>
      <c r="E118" s="70"/>
      <c r="F118" s="70"/>
      <c r="G118" s="70"/>
      <c r="H118" s="38"/>
      <c r="I118" s="42"/>
      <c r="J118" s="41"/>
      <c r="K118" s="41"/>
      <c r="L118" s="70"/>
      <c r="M118" s="70"/>
      <c r="N118" s="48"/>
      <c r="O118" s="176" t="s">
        <v>6926</v>
      </c>
      <c r="P118" s="421"/>
      <c r="Q118" s="86"/>
      <c r="R118" s="881"/>
      <c r="S118" s="881"/>
      <c r="T118" s="881"/>
      <c r="U118" s="881"/>
    </row>
    <row r="119" spans="1:21" s="36" customFormat="1" ht="3" customHeight="1">
      <c r="A119" s="120"/>
      <c r="C119" s="29"/>
      <c r="D119" s="882"/>
      <c r="E119" s="70"/>
      <c r="F119" s="70"/>
      <c r="G119" s="70"/>
      <c r="H119" s="38"/>
      <c r="I119" s="42"/>
      <c r="J119" s="41"/>
      <c r="K119" s="41"/>
      <c r="L119" s="70"/>
      <c r="M119" s="70"/>
      <c r="N119" s="48"/>
      <c r="O119" s="48"/>
      <c r="P119" s="48"/>
      <c r="Q119" s="86"/>
      <c r="R119" s="881"/>
      <c r="S119" s="881"/>
      <c r="T119" s="881"/>
      <c r="U119" s="881"/>
    </row>
    <row r="120" spans="1:21" s="36" customFormat="1" ht="11.25" customHeight="1">
      <c r="A120" s="120"/>
      <c r="B120" s="1838" t="s">
        <v>6581</v>
      </c>
      <c r="C120" s="29"/>
      <c r="D120" s="882"/>
      <c r="E120" s="70"/>
      <c r="F120" s="70"/>
      <c r="G120" s="70"/>
      <c r="H120" s="38"/>
      <c r="I120" s="42"/>
      <c r="J120" s="41"/>
      <c r="K120" s="41"/>
      <c r="L120" s="70"/>
      <c r="M120" s="70"/>
      <c r="N120" s="48"/>
      <c r="O120" s="48"/>
      <c r="P120" s="48"/>
      <c r="Q120" s="86"/>
      <c r="R120" s="881"/>
      <c r="S120" s="881"/>
      <c r="T120" s="881"/>
      <c r="U120" s="881"/>
    </row>
    <row r="121" spans="1:21" s="36" customFormat="1" ht="1.5" customHeight="1">
      <c r="A121" s="120"/>
      <c r="B121" s="83"/>
      <c r="D121" s="34"/>
      <c r="H121" s="38"/>
      <c r="I121" s="42"/>
      <c r="J121" s="41"/>
      <c r="K121" s="41"/>
      <c r="M121" s="119"/>
      <c r="N121" s="48"/>
      <c r="O121" s="3"/>
      <c r="P121" s="3"/>
      <c r="Q121" s="86"/>
      <c r="R121" s="881"/>
      <c r="S121" s="881"/>
      <c r="T121" s="881"/>
      <c r="U121" s="881"/>
    </row>
    <row r="122" spans="1:21" s="36" customFormat="1" ht="12.75" customHeight="1">
      <c r="A122" s="120"/>
      <c r="B122" s="81" t="s">
        <v>3331</v>
      </c>
      <c r="D122" s="34"/>
      <c r="F122" s="3665" t="s">
        <v>3219</v>
      </c>
      <c r="G122" s="3665"/>
      <c r="H122" s="3665"/>
      <c r="I122" s="3665"/>
      <c r="J122" s="3665" t="s">
        <v>3220</v>
      </c>
      <c r="K122" s="3665"/>
      <c r="L122" s="3665"/>
      <c r="M122" s="3665"/>
      <c r="N122" s="48"/>
      <c r="O122" s="3666" t="s">
        <v>3890</v>
      </c>
      <c r="P122" s="3667"/>
      <c r="Q122" s="86"/>
      <c r="R122" s="881"/>
      <c r="S122" s="881"/>
      <c r="T122" s="881"/>
      <c r="U122" s="881"/>
    </row>
    <row r="123" spans="1:21" s="36" customFormat="1" ht="12" customHeight="1">
      <c r="B123" s="1838"/>
      <c r="C123" s="1184" t="s">
        <v>6580</v>
      </c>
      <c r="E123" s="223"/>
      <c r="F123" s="3670"/>
      <c r="G123" s="3671"/>
      <c r="H123" s="3668"/>
      <c r="I123" s="3669"/>
      <c r="J123" s="3670"/>
      <c r="K123" s="3671"/>
      <c r="L123" s="3668"/>
      <c r="M123" s="3669"/>
      <c r="N123" s="48"/>
      <c r="Q123" s="86"/>
      <c r="R123" s="881"/>
      <c r="S123" s="881"/>
      <c r="T123" s="881"/>
      <c r="U123" s="881"/>
    </row>
    <row r="124" spans="1:21" s="36" customFormat="1" ht="12" customHeight="1">
      <c r="A124" s="1838"/>
      <c r="B124" s="1838"/>
      <c r="C124" s="1838"/>
      <c r="D124" s="236"/>
      <c r="E124" s="1837" t="s">
        <v>6154</v>
      </c>
      <c r="F124" s="3532"/>
      <c r="G124" s="3533"/>
      <c r="H124" s="3521"/>
      <c r="I124" s="3522"/>
      <c r="J124" s="3532"/>
      <c r="K124" s="3533"/>
      <c r="L124" s="3521"/>
      <c r="M124" s="3522"/>
      <c r="N124" s="48"/>
      <c r="O124" s="1294"/>
      <c r="P124" s="918"/>
      <c r="Q124" s="86"/>
      <c r="R124" s="881"/>
      <c r="S124" s="881"/>
      <c r="T124" s="881"/>
      <c r="U124" s="881"/>
    </row>
    <row r="125" spans="1:21" s="36" customFormat="1" ht="12" customHeight="1">
      <c r="A125" s="3544" t="s">
        <v>6687</v>
      </c>
      <c r="B125" s="3544"/>
      <c r="C125" s="1184" t="s">
        <v>6579</v>
      </c>
      <c r="E125" s="223"/>
      <c r="F125" s="3537"/>
      <c r="G125" s="3538"/>
      <c r="H125" s="3459"/>
      <c r="I125" s="3460"/>
      <c r="J125" s="3537"/>
      <c r="K125" s="3538"/>
      <c r="L125" s="3459"/>
      <c r="M125" s="3460"/>
      <c r="N125" s="48"/>
      <c r="O125" s="48"/>
      <c r="P125" s="48"/>
      <c r="Q125" s="86"/>
      <c r="R125" s="881"/>
      <c r="S125" s="881"/>
      <c r="T125" s="881"/>
      <c r="U125" s="881"/>
    </row>
    <row r="126" spans="1:21" s="36" customFormat="1" ht="12" customHeight="1">
      <c r="A126" s="3544"/>
      <c r="B126" s="3544"/>
      <c r="C126" s="236"/>
      <c r="D126" s="236"/>
      <c r="E126" s="1837" t="s">
        <v>3370</v>
      </c>
      <c r="F126" s="3530"/>
      <c r="G126" s="3531"/>
      <c r="H126" s="3516"/>
      <c r="I126" s="3517"/>
      <c r="J126" s="3530"/>
      <c r="K126" s="3531"/>
      <c r="L126" s="3516"/>
      <c r="M126" s="3517"/>
      <c r="N126" s="48"/>
      <c r="O126" s="1294"/>
      <c r="P126" s="918"/>
      <c r="Q126" s="86"/>
      <c r="R126" s="881"/>
      <c r="S126" s="881"/>
      <c r="T126" s="881"/>
      <c r="U126" s="881"/>
    </row>
    <row r="127" spans="1:21" s="36" customFormat="1" ht="9" customHeight="1">
      <c r="A127" s="120"/>
      <c r="B127" s="83"/>
      <c r="D127" s="34"/>
      <c r="H127" s="38"/>
      <c r="I127" s="42"/>
      <c r="J127" s="41"/>
      <c r="K127" s="41"/>
      <c r="M127" s="119"/>
      <c r="N127" s="48"/>
      <c r="O127" s="3"/>
      <c r="P127" s="3"/>
      <c r="Q127" s="86"/>
      <c r="R127" s="881"/>
      <c r="S127" s="881"/>
      <c r="T127" s="881"/>
      <c r="U127" s="881"/>
    </row>
    <row r="128" spans="1:21" s="36" customFormat="1" ht="12.6" customHeight="1">
      <c r="A128" s="1940" t="s">
        <v>6708</v>
      </c>
      <c r="B128" s="83"/>
      <c r="D128" s="34"/>
      <c r="I128" s="3540" t="str">
        <f>IF(AND(O130&gt;0,O137&gt;0),"Pick A or B, not both!","")</f>
        <v/>
      </c>
      <c r="J128" s="3540"/>
      <c r="K128" s="3540" t="str">
        <f>IF(AND(P130&gt;0,P137&gt;0),"Pick A or B, not both!","")</f>
        <v/>
      </c>
      <c r="L128" s="3540"/>
      <c r="M128" s="119"/>
      <c r="N128" s="119"/>
      <c r="O128" s="119"/>
      <c r="P128" s="119"/>
      <c r="Q128" s="86"/>
      <c r="R128" s="881"/>
      <c r="S128" s="881"/>
      <c r="T128" s="881"/>
      <c r="U128" s="881"/>
    </row>
    <row r="129" spans="1:21" s="36" customFormat="1" ht="2.25" customHeight="1">
      <c r="A129" s="399"/>
      <c r="B129" s="83"/>
      <c r="D129" s="34"/>
      <c r="F129" s="46"/>
      <c r="M129" s="119"/>
      <c r="N129" s="119"/>
      <c r="O129" s="119"/>
      <c r="P129" s="119"/>
      <c r="Q129" s="86"/>
      <c r="R129" s="881"/>
      <c r="S129" s="881"/>
      <c r="T129" s="881"/>
      <c r="U129" s="881"/>
    </row>
    <row r="130" spans="1:21" s="36" customFormat="1" ht="12.6" customHeight="1">
      <c r="A130" s="112" t="s">
        <v>1842</v>
      </c>
      <c r="B130" s="141" t="s">
        <v>3241</v>
      </c>
      <c r="D130" s="34"/>
      <c r="F130" s="939" t="s">
        <v>6691</v>
      </c>
      <c r="M130" s="119">
        <v>6</v>
      </c>
      <c r="N130" s="317" t="s">
        <v>1842</v>
      </c>
      <c r="O130" s="1617">
        <f>MIN($M130,O132+O133)</f>
        <v>0</v>
      </c>
      <c r="P130" s="1617">
        <f>MIN($M130,P132+P133)</f>
        <v>0</v>
      </c>
      <c r="Q130" s="86"/>
    </row>
    <row r="131" spans="1:21" s="36" customFormat="1" ht="12.6" customHeight="1">
      <c r="A131" s="112"/>
      <c r="B131" s="29" t="s">
        <v>6155</v>
      </c>
      <c r="D131" s="34"/>
      <c r="F131" s="38"/>
      <c r="M131" s="119"/>
      <c r="N131" s="317"/>
      <c r="O131" s="176"/>
      <c r="P131" s="421"/>
      <c r="Q131" s="86"/>
    </row>
    <row r="132" spans="1:21" s="332" customFormat="1" ht="25.5" customHeight="1">
      <c r="B132" s="350" t="s">
        <v>1845</v>
      </c>
      <c r="C132" s="3500" t="s">
        <v>6817</v>
      </c>
      <c r="D132" s="3500"/>
      <c r="E132" s="3500"/>
      <c r="F132" s="3500"/>
      <c r="G132" s="3500"/>
      <c r="H132" s="3500"/>
      <c r="I132" s="3500"/>
      <c r="J132" s="3500"/>
      <c r="K132" s="3500"/>
      <c r="L132" s="3500"/>
      <c r="M132" s="1847">
        <v>6</v>
      </c>
      <c r="N132" s="374" t="s">
        <v>1845</v>
      </c>
      <c r="O132" s="1924"/>
      <c r="P132" s="1925"/>
      <c r="Q132" s="1214"/>
      <c r="R132" s="795" t="s">
        <v>4064</v>
      </c>
    </row>
    <row r="133" spans="1:21" s="332" customFormat="1" ht="12" customHeight="1">
      <c r="A133" s="456" t="s">
        <v>1276</v>
      </c>
      <c r="B133" s="350" t="s">
        <v>1847</v>
      </c>
      <c r="C133" s="3500" t="s">
        <v>6818</v>
      </c>
      <c r="D133" s="3500"/>
      <c r="E133" s="3500"/>
      <c r="F133" s="3500"/>
      <c r="G133" s="866"/>
      <c r="J133" s="3672" t="s">
        <v>6686</v>
      </c>
      <c r="K133" s="3673"/>
      <c r="L133" s="3674"/>
      <c r="M133" s="458">
        <v>5</v>
      </c>
      <c r="N133" s="348" t="s">
        <v>1847</v>
      </c>
      <c r="O133" s="1937"/>
      <c r="P133" s="1938"/>
      <c r="Q133" s="1812" t="s">
        <v>6682</v>
      </c>
      <c r="R133" s="1178" t="s">
        <v>6272</v>
      </c>
      <c r="S133" s="1178" t="s">
        <v>6152</v>
      </c>
    </row>
    <row r="134" spans="1:21" s="332" customFormat="1" ht="12" customHeight="1">
      <c r="B134" s="350"/>
      <c r="C134" s="3500"/>
      <c r="D134" s="3500"/>
      <c r="E134" s="3500"/>
      <c r="F134" s="3500"/>
      <c r="G134" s="866"/>
      <c r="H134" s="2583" t="s">
        <v>6684</v>
      </c>
      <c r="I134" s="2583"/>
      <c r="J134" s="3675"/>
      <c r="K134" s="3676"/>
      <c r="L134" s="3677"/>
      <c r="M134" s="3354" t="str">
        <f>IF(AND(O133&gt;0,O132&gt;0),"Pick A1 or A2!","")</f>
        <v/>
      </c>
      <c r="N134" s="3354"/>
      <c r="O134" s="3354"/>
      <c r="P134" s="3354"/>
      <c r="Q134" s="798"/>
      <c r="R134" s="1551">
        <v>0.25</v>
      </c>
      <c r="S134" s="1551">
        <v>5</v>
      </c>
    </row>
    <row r="135" spans="1:21" s="332" customFormat="1" ht="12" customHeight="1">
      <c r="B135" s="350"/>
      <c r="C135" s="3500"/>
      <c r="D135" s="3500"/>
      <c r="E135" s="3500"/>
      <c r="F135" s="3500"/>
      <c r="G135" s="866"/>
      <c r="H135" s="1772"/>
      <c r="I135" s="1918"/>
      <c r="J135" s="3675"/>
      <c r="K135" s="3676"/>
      <c r="L135" s="3677"/>
      <c r="Q135" s="798"/>
      <c r="R135" s="1551">
        <v>0.5</v>
      </c>
      <c r="S135" s="1551">
        <v>4.5</v>
      </c>
    </row>
    <row r="136" spans="1:21" s="332" customFormat="1" ht="12" customHeight="1">
      <c r="B136" s="350"/>
      <c r="C136" s="3500"/>
      <c r="D136" s="3500"/>
      <c r="E136" s="3500"/>
      <c r="F136" s="3500"/>
      <c r="G136" s="866"/>
      <c r="J136" s="3678"/>
      <c r="K136" s="3679"/>
      <c r="L136" s="3680"/>
      <c r="M136" s="70"/>
      <c r="N136" s="70"/>
      <c r="O136" s="70"/>
      <c r="P136" s="70"/>
      <c r="Q136" s="397"/>
      <c r="R136" s="1552">
        <v>1</v>
      </c>
      <c r="S136" s="1552">
        <v>4</v>
      </c>
    </row>
    <row r="137" spans="1:21" s="332" customFormat="1" ht="12" customHeight="1">
      <c r="A137" s="112" t="s">
        <v>1844</v>
      </c>
      <c r="B137" s="899" t="s">
        <v>3242</v>
      </c>
      <c r="C137" s="503"/>
      <c r="D137" s="503"/>
      <c r="F137" s="1916" t="s">
        <v>6681</v>
      </c>
      <c r="J137" s="3709" t="s">
        <v>3239</v>
      </c>
      <c r="K137" s="3710"/>
      <c r="L137" s="1836" t="s">
        <v>3240</v>
      </c>
      <c r="M137" s="686">
        <v>3</v>
      </c>
      <c r="N137" s="48" t="s">
        <v>1844</v>
      </c>
      <c r="O137" s="797">
        <f>IF(OR(AND(O138&gt;0,O140&gt;0,O142&gt;0),AND(O138&gt;0,O140&gt;0),AND(O140&gt;0,O142&gt;0), AND(O138&gt;0,O142&gt;0)),"Choose",MIN($M137, SUM(O138:O143)))</f>
        <v>0</v>
      </c>
      <c r="P137" s="797">
        <f>IF(OR(AND(P138&gt;0,P140&gt;0,P142&gt;0),AND(P138&gt;0,P140&gt;0),AND(P140&gt;0,P142&gt;0), AND(P138&gt;0,P142&gt;0)),"Choose",MIN($M137, SUM(P138:P143)))</f>
        <v>0</v>
      </c>
      <c r="Q137" s="1812" t="s">
        <v>6683</v>
      </c>
      <c r="R137" s="1919">
        <v>0.25</v>
      </c>
      <c r="S137" s="1919">
        <v>3</v>
      </c>
    </row>
    <row r="138" spans="1:21" s="36" customFormat="1" ht="12" customHeight="1">
      <c r="A138" s="120"/>
      <c r="B138" s="1634" t="s">
        <v>1845</v>
      </c>
      <c r="C138" s="3192" t="s">
        <v>6819</v>
      </c>
      <c r="D138" s="3192"/>
      <c r="E138" s="3192"/>
      <c r="F138" s="3192"/>
      <c r="G138" s="866"/>
      <c r="H138" s="2583" t="s">
        <v>6685</v>
      </c>
      <c r="I138" s="2583"/>
      <c r="J138" s="3523" t="s">
        <v>6696</v>
      </c>
      <c r="K138" s="3524"/>
      <c r="L138" s="3525"/>
      <c r="M138" s="458">
        <v>3</v>
      </c>
      <c r="N138" s="348" t="s">
        <v>1845</v>
      </c>
      <c r="O138" s="3502"/>
      <c r="P138" s="3505"/>
      <c r="Q138" s="798" t="str">
        <f>IF(OR($O140=$M140,$O140=0,$O140=""),"","*CHECK!*")</f>
        <v/>
      </c>
      <c r="R138" s="1551">
        <v>0.5</v>
      </c>
      <c r="S138" s="1551">
        <v>2</v>
      </c>
      <c r="U138" s="332"/>
    </row>
    <row r="139" spans="1:21" s="36" customFormat="1" ht="12" customHeight="1">
      <c r="A139" s="120"/>
      <c r="B139" s="893"/>
      <c r="C139" s="3192"/>
      <c r="D139" s="3192"/>
      <c r="E139" s="3192"/>
      <c r="F139" s="3192"/>
      <c r="G139" s="70"/>
      <c r="H139" s="1772"/>
      <c r="I139" s="1918"/>
      <c r="J139" s="3488" t="s">
        <v>6575</v>
      </c>
      <c r="K139" s="3489"/>
      <c r="L139" s="3490"/>
      <c r="M139" s="70"/>
      <c r="O139" s="3503"/>
      <c r="P139" s="3506"/>
      <c r="Q139" s="86"/>
      <c r="R139" s="1552">
        <v>1</v>
      </c>
      <c r="S139" s="1552">
        <v>1</v>
      </c>
      <c r="U139" s="332"/>
    </row>
    <row r="140" spans="1:21" s="36" customFormat="1" ht="11.25" customHeight="1">
      <c r="A140" s="456" t="s">
        <v>1276</v>
      </c>
      <c r="B140" s="1634" t="s">
        <v>1847</v>
      </c>
      <c r="C140" s="3192" t="s">
        <v>6820</v>
      </c>
      <c r="D140" s="3192"/>
      <c r="E140" s="3192"/>
      <c r="F140" s="3192"/>
      <c r="G140" s="3192"/>
      <c r="H140" s="3192"/>
      <c r="I140" s="1917"/>
      <c r="J140" s="3491"/>
      <c r="K140" s="3492"/>
      <c r="L140" s="3493"/>
      <c r="M140" s="458">
        <v>1</v>
      </c>
      <c r="N140" s="348" t="s">
        <v>1847</v>
      </c>
      <c r="O140" s="3726"/>
      <c r="P140" s="3543"/>
      <c r="U140" s="332"/>
    </row>
    <row r="141" spans="1:21" s="36" customFormat="1" ht="11.25" customHeight="1">
      <c r="B141" s="1920"/>
      <c r="C141" s="3192"/>
      <c r="D141" s="3192"/>
      <c r="E141" s="3192"/>
      <c r="F141" s="3192"/>
      <c r="G141" s="3192"/>
      <c r="H141" s="3192"/>
      <c r="I141" s="1917"/>
      <c r="J141" s="3494"/>
      <c r="K141" s="3495"/>
      <c r="L141" s="3496"/>
      <c r="O141" s="3726"/>
      <c r="P141" s="3543"/>
      <c r="T141" s="332"/>
      <c r="U141" s="332"/>
    </row>
    <row r="142" spans="1:21" s="332" customFormat="1" ht="12" customHeight="1">
      <c r="A142" s="1633" t="s">
        <v>1276</v>
      </c>
      <c r="B142" s="1634" t="s">
        <v>2333</v>
      </c>
      <c r="C142" s="3500" t="s">
        <v>6821</v>
      </c>
      <c r="D142" s="3500"/>
      <c r="E142" s="3500"/>
      <c r="F142" s="3500"/>
      <c r="G142" s="3500"/>
      <c r="H142" s="3500"/>
      <c r="I142" s="3501"/>
      <c r="J142" s="3488" t="s">
        <v>6576</v>
      </c>
      <c r="K142" s="3489"/>
      <c r="L142" s="3490"/>
      <c r="M142" s="1847">
        <v>2</v>
      </c>
      <c r="N142" s="374" t="s">
        <v>2333</v>
      </c>
      <c r="O142" s="3541"/>
      <c r="P142" s="3724"/>
      <c r="Q142" s="798"/>
      <c r="R142" s="795"/>
    </row>
    <row r="143" spans="1:21" s="36" customFormat="1" ht="36.75" customHeight="1">
      <c r="C143" s="3500"/>
      <c r="D143" s="3500"/>
      <c r="E143" s="3500"/>
      <c r="F143" s="3500"/>
      <c r="G143" s="3500"/>
      <c r="H143" s="3500"/>
      <c r="I143" s="3501"/>
      <c r="J143" s="3497"/>
      <c r="K143" s="3498"/>
      <c r="L143" s="3499"/>
      <c r="O143" s="3542"/>
      <c r="P143" s="3725"/>
    </row>
    <row r="144" spans="1:21" s="36" customFormat="1" ht="12.6" customHeight="1">
      <c r="A144" s="29" t="s">
        <v>3371</v>
      </c>
      <c r="B144" s="141"/>
      <c r="E144" s="34"/>
      <c r="K144" s="41"/>
      <c r="M144" s="53"/>
      <c r="N144" s="53"/>
      <c r="O144" s="53"/>
      <c r="P144" s="53"/>
      <c r="Q144" s="307"/>
      <c r="R144" s="307"/>
    </row>
    <row r="145" spans="1:19" s="36" customFormat="1" ht="11.25" customHeight="1" thickBot="1">
      <c r="A145" s="35"/>
      <c r="B145" s="939" t="s">
        <v>3244</v>
      </c>
      <c r="C145" s="35"/>
      <c r="D145" s="41"/>
      <c r="E145" s="41"/>
      <c r="F145" s="41"/>
      <c r="G145" s="41"/>
      <c r="H145" s="29"/>
      <c r="K145" s="41"/>
      <c r="M145" s="39"/>
      <c r="N145" s="47"/>
      <c r="O145" s="3"/>
      <c r="P145" s="24"/>
    </row>
    <row r="146" spans="1:19" s="36" customFormat="1" ht="29.25" customHeight="1" thickTop="1" thickBot="1">
      <c r="A146" s="3534" t="s">
        <v>6950</v>
      </c>
      <c r="B146" s="3535"/>
      <c r="C146" s="3535"/>
      <c r="D146" s="3535"/>
      <c r="E146" s="3535"/>
      <c r="F146" s="3535"/>
      <c r="G146" s="3535"/>
      <c r="H146" s="3535"/>
      <c r="I146" s="3535"/>
      <c r="J146" s="3535"/>
      <c r="K146" s="3535"/>
      <c r="L146" s="3535"/>
      <c r="M146" s="3535"/>
      <c r="N146" s="3535"/>
      <c r="O146" s="3535"/>
      <c r="P146" s="3536"/>
      <c r="Q146" s="355" t="s">
        <v>1181</v>
      </c>
      <c r="R146" s="355"/>
    </row>
    <row r="147" spans="1:19" s="70" customFormat="1" ht="11.45" customHeight="1" thickTop="1">
      <c r="A147" s="35"/>
      <c r="B147" s="76" t="s">
        <v>1730</v>
      </c>
      <c r="C147" s="35"/>
      <c r="D147" s="76"/>
      <c r="E147" s="891"/>
      <c r="F147" s="891"/>
      <c r="G147" s="891"/>
      <c r="H147" s="891"/>
      <c r="I147" s="891"/>
      <c r="J147" s="891"/>
      <c r="K147" s="891"/>
      <c r="L147" s="891"/>
      <c r="M147" s="891"/>
      <c r="N147" s="71"/>
      <c r="O147" s="670"/>
      <c r="P147" s="119"/>
      <c r="Q147" s="36"/>
    </row>
    <row r="148" spans="1:19" s="36" customFormat="1" ht="11.25" customHeight="1">
      <c r="A148" s="3219"/>
      <c r="B148" s="3220"/>
      <c r="C148" s="3220"/>
      <c r="D148" s="3220"/>
      <c r="E148" s="3220"/>
      <c r="F148" s="3220"/>
      <c r="G148" s="3220"/>
      <c r="H148" s="3220"/>
      <c r="I148" s="3220"/>
      <c r="J148" s="3220"/>
      <c r="K148" s="3220"/>
      <c r="L148" s="3220"/>
      <c r="M148" s="3220"/>
      <c r="N148" s="3220"/>
      <c r="O148" s="3220"/>
      <c r="P148" s="3221"/>
      <c r="Q148" s="354"/>
    </row>
    <row r="149" spans="1:19" ht="3" customHeight="1">
      <c r="R149" s="36"/>
    </row>
    <row r="150" spans="1:19" s="36" customFormat="1" ht="3" customHeight="1" thickBot="1">
      <c r="A150" s="35"/>
      <c r="C150" s="889"/>
      <c r="D150" s="889"/>
      <c r="E150" s="889"/>
      <c r="F150" s="889"/>
      <c r="G150" s="889"/>
      <c r="H150" s="889"/>
      <c r="I150" s="889"/>
      <c r="J150" s="889"/>
      <c r="K150" s="889"/>
      <c r="L150" s="889"/>
      <c r="M150" s="889"/>
      <c r="N150" s="55"/>
      <c r="O150" s="52"/>
      <c r="P150" s="119"/>
    </row>
    <row r="151" spans="1:19" s="36" customFormat="1" ht="13.5" customHeight="1" thickBot="1">
      <c r="A151" s="120" t="s">
        <v>720</v>
      </c>
      <c r="B151" s="83" t="s">
        <v>6156</v>
      </c>
      <c r="C151" s="889"/>
      <c r="D151" s="889"/>
      <c r="E151" s="889"/>
      <c r="G151" s="1550" t="s">
        <v>3826</v>
      </c>
      <c r="H151" s="867" t="str">
        <f>'Part VII-Threshold Criteria'!$J$35</f>
        <v>Family</v>
      </c>
      <c r="M151" s="119">
        <f>IF(AND($P$36="4%",$M$54="New Supply"),$H$39,IF(AND($P$36="4%",$M$54="Preservation"),$I$39,$G$39))</f>
        <v>0</v>
      </c>
      <c r="N151" s="55"/>
      <c r="O151" s="1618">
        <v>0</v>
      </c>
      <c r="P151" s="1619"/>
      <c r="Q151" s="1214" t="str">
        <f>IF(OR($O151&lt;=$M151,$O151=0,$O151=""),"","*CHECK!*")</f>
        <v/>
      </c>
      <c r="R151" s="1621" t="s">
        <v>416</v>
      </c>
      <c r="S151" s="795" t="s">
        <v>4064</v>
      </c>
    </row>
    <row r="152" spans="1:19" ht="18.75" customHeight="1">
      <c r="C152" s="1544" t="s">
        <v>6724</v>
      </c>
      <c r="F152" s="1544"/>
      <c r="G152" s="1544"/>
      <c r="H152" s="1544"/>
      <c r="I152" s="1654"/>
      <c r="J152" s="1655"/>
      <c r="K152" s="1656"/>
      <c r="M152" s="36"/>
      <c r="N152"/>
      <c r="O152"/>
      <c r="P152" s="1977"/>
    </row>
    <row r="153" spans="1:19" ht="11.25" customHeight="1">
      <c r="C153" s="1544" t="s">
        <v>6723</v>
      </c>
      <c r="F153" s="1544"/>
      <c r="G153" s="1544"/>
      <c r="H153" s="1544"/>
      <c r="I153" s="1654"/>
      <c r="J153" s="3518" t="s">
        <v>6637</v>
      </c>
      <c r="K153" s="3519"/>
      <c r="L153" s="3519"/>
      <c r="M153" s="3520"/>
      <c r="N153"/>
      <c r="O153"/>
      <c r="P153"/>
    </row>
    <row r="154" spans="1:19" ht="12.75" customHeight="1">
      <c r="B154" s="430"/>
      <c r="C154" s="430"/>
      <c r="D154" s="430"/>
      <c r="F154" s="3277" t="s">
        <v>6638</v>
      </c>
      <c r="G154" s="3277"/>
      <c r="H154" s="3277" t="s">
        <v>6278</v>
      </c>
      <c r="I154" s="3277"/>
      <c r="J154" s="3507" t="s">
        <v>6639</v>
      </c>
      <c r="K154" s="3508"/>
      <c r="L154" s="3277" t="s">
        <v>6640</v>
      </c>
      <c r="M154" s="3510"/>
      <c r="N154" s="44"/>
      <c r="O154" s="1864"/>
      <c r="P154" s="1865"/>
    </row>
    <row r="155" spans="1:19" ht="30.75" customHeight="1">
      <c r="B155" s="430"/>
      <c r="C155" s="430"/>
      <c r="D155" s="430"/>
      <c r="F155" s="3277"/>
      <c r="G155" s="3277"/>
      <c r="H155" s="3277"/>
      <c r="I155" s="3277"/>
      <c r="J155" s="3509"/>
      <c r="K155" s="3508"/>
      <c r="L155" s="3508"/>
      <c r="M155" s="3510"/>
      <c r="N155" s="44"/>
      <c r="O155" s="1866"/>
      <c r="P155" s="1865"/>
    </row>
    <row r="156" spans="1:19" ht="12" customHeight="1">
      <c r="B156" s="81" t="s">
        <v>6641</v>
      </c>
      <c r="C156" s="891"/>
      <c r="D156" s="36"/>
      <c r="F156" s="3278"/>
      <c r="G156" s="3278"/>
      <c r="H156" s="3278"/>
      <c r="I156" s="3278"/>
      <c r="J156" s="3509"/>
      <c r="K156" s="3508"/>
      <c r="L156" s="3508"/>
      <c r="M156" s="3510"/>
      <c r="N156" s="44"/>
      <c r="O156" s="1866"/>
      <c r="P156" s="1865"/>
    </row>
    <row r="157" spans="1:19">
      <c r="B157" s="3511"/>
      <c r="C157" s="3512"/>
      <c r="D157" s="3512"/>
      <c r="E157" s="3513"/>
      <c r="F157" s="3511"/>
      <c r="G157" s="3513"/>
      <c r="H157" s="3511"/>
      <c r="I157" s="3513"/>
      <c r="J157" s="3514"/>
      <c r="K157" s="3515"/>
      <c r="L157" s="3514"/>
      <c r="M157" s="3515"/>
      <c r="N157" s="3471"/>
      <c r="O157" s="3472"/>
    </row>
    <row r="158" spans="1:19">
      <c r="B158" s="3473"/>
      <c r="C158" s="3474"/>
      <c r="D158" s="3474"/>
      <c r="E158" s="3475"/>
      <c r="F158" s="3473"/>
      <c r="G158" s="3475"/>
      <c r="H158" s="3473"/>
      <c r="I158" s="3475"/>
      <c r="J158" s="3476"/>
      <c r="K158" s="3477"/>
      <c r="L158" s="3476"/>
      <c r="M158" s="3477"/>
      <c r="N158" s="3461"/>
      <c r="O158" s="3462"/>
    </row>
    <row r="159" spans="1:19">
      <c r="B159" s="3473"/>
      <c r="C159" s="3474"/>
      <c r="D159" s="3474"/>
      <c r="E159" s="3475"/>
      <c r="F159" s="3473"/>
      <c r="G159" s="3475"/>
      <c r="H159" s="3473"/>
      <c r="I159" s="3475"/>
      <c r="J159" s="3476"/>
      <c r="K159" s="3477"/>
      <c r="L159" s="3476"/>
      <c r="M159" s="3477"/>
      <c r="N159" s="3461"/>
      <c r="O159" s="3462"/>
    </row>
    <row r="160" spans="1:19">
      <c r="B160" s="3473"/>
      <c r="C160" s="3474"/>
      <c r="D160" s="3474"/>
      <c r="E160" s="3475"/>
      <c r="F160" s="3473"/>
      <c r="G160" s="3475"/>
      <c r="H160" s="3473"/>
      <c r="I160" s="3475"/>
      <c r="J160" s="3476"/>
      <c r="K160" s="3477"/>
      <c r="L160" s="3476"/>
      <c r="M160" s="3477"/>
      <c r="N160" s="3461"/>
      <c r="O160" s="3462"/>
    </row>
    <row r="161" spans="1:26">
      <c r="B161" s="3473"/>
      <c r="C161" s="3474"/>
      <c r="D161" s="3474"/>
      <c r="E161" s="3475"/>
      <c r="F161" s="3473"/>
      <c r="G161" s="3475"/>
      <c r="H161" s="3473"/>
      <c r="I161" s="3475"/>
      <c r="J161" s="3476"/>
      <c r="K161" s="3477"/>
      <c r="L161" s="3476"/>
      <c r="M161" s="3477"/>
      <c r="N161" s="3461"/>
      <c r="O161" s="3462"/>
    </row>
    <row r="162" spans="1:26">
      <c r="B162" s="3464"/>
      <c r="C162" s="3465"/>
      <c r="D162" s="3465"/>
      <c r="E162" s="3466"/>
      <c r="F162" s="3464"/>
      <c r="G162" s="3466"/>
      <c r="H162" s="3464"/>
      <c r="I162" s="3466"/>
      <c r="J162" s="3467"/>
      <c r="K162" s="3468"/>
      <c r="L162" s="3467"/>
      <c r="M162" s="3468"/>
      <c r="N162" s="3469"/>
      <c r="O162" s="3470"/>
    </row>
    <row r="163" spans="1:26" s="36" customFormat="1" ht="10.5" customHeight="1" thickBot="1">
      <c r="A163" s="35"/>
      <c r="B163" s="939" t="s">
        <v>3244</v>
      </c>
      <c r="C163" s="35"/>
      <c r="D163" s="41"/>
      <c r="E163" s="41"/>
      <c r="F163" s="41"/>
      <c r="G163" s="41"/>
      <c r="H163" s="29"/>
      <c r="I163" s="29"/>
      <c r="J163" s="29"/>
      <c r="K163" s="29"/>
      <c r="M163" s="39"/>
      <c r="N163" s="47"/>
      <c r="O163" s="3"/>
      <c r="P163" s="24"/>
    </row>
    <row r="164" spans="1:26" s="36" customFormat="1" ht="21.75" customHeight="1" thickTop="1" thickBot="1">
      <c r="A164" s="3534" t="s">
        <v>6950</v>
      </c>
      <c r="B164" s="3535"/>
      <c r="C164" s="3535"/>
      <c r="D164" s="3535"/>
      <c r="E164" s="3535"/>
      <c r="F164" s="3535"/>
      <c r="G164" s="3535"/>
      <c r="H164" s="3535"/>
      <c r="I164" s="3535"/>
      <c r="J164" s="3535"/>
      <c r="K164" s="3535"/>
      <c r="L164" s="3535"/>
      <c r="M164" s="3535"/>
      <c r="N164" s="3535"/>
      <c r="O164" s="3535"/>
      <c r="P164" s="3536"/>
      <c r="Q164" s="355" t="s">
        <v>1181</v>
      </c>
    </row>
    <row r="165" spans="1:26" s="36" customFormat="1" ht="10.5" customHeight="1" thickTop="1">
      <c r="A165" s="35"/>
      <c r="B165" s="65" t="s">
        <v>1730</v>
      </c>
      <c r="C165" s="77"/>
      <c r="D165" s="65"/>
      <c r="E165" s="78"/>
      <c r="F165" s="889"/>
      <c r="G165" s="889"/>
      <c r="H165" s="889"/>
      <c r="I165" s="889"/>
      <c r="J165" s="889"/>
      <c r="K165" s="889"/>
      <c r="L165" s="889"/>
      <c r="M165" s="889"/>
      <c r="N165" s="55"/>
      <c r="O165" s="52"/>
      <c r="P165" s="119"/>
    </row>
    <row r="166" spans="1:26" s="36" customFormat="1" ht="11.25" customHeight="1">
      <c r="A166" s="3386"/>
      <c r="B166" s="3387"/>
      <c r="C166" s="3387"/>
      <c r="D166" s="3387"/>
      <c r="E166" s="3387"/>
      <c r="F166" s="3387"/>
      <c r="G166" s="3387"/>
      <c r="H166" s="3387"/>
      <c r="I166" s="3387"/>
      <c r="J166" s="3387"/>
      <c r="K166" s="3387"/>
      <c r="L166" s="3387"/>
      <c r="M166" s="3387"/>
      <c r="N166" s="3387"/>
      <c r="O166" s="3387"/>
      <c r="P166" s="3388"/>
      <c r="Q166" s="354"/>
      <c r="U166" s="1190"/>
    </row>
    <row r="167" spans="1:26" s="36" customFormat="1" ht="3" customHeight="1" thickBot="1">
      <c r="A167" s="35"/>
      <c r="C167" s="889"/>
      <c r="D167" s="889"/>
      <c r="E167" s="889"/>
      <c r="F167" s="889"/>
      <c r="G167" s="889"/>
      <c r="H167" s="889"/>
      <c r="I167" s="889"/>
      <c r="J167" s="889"/>
      <c r="K167" s="889"/>
      <c r="L167" s="889"/>
      <c r="M167" s="889"/>
      <c r="N167" s="55"/>
      <c r="O167" s="52"/>
      <c r="P167" s="119"/>
    </row>
    <row r="168" spans="1:26" s="70" customFormat="1" ht="13.5" customHeight="1" thickBot="1">
      <c r="A168" s="120" t="s">
        <v>280</v>
      </c>
      <c r="B168" s="83" t="s">
        <v>3344</v>
      </c>
      <c r="D168" s="38"/>
      <c r="E168" s="38"/>
      <c r="L168" s="1657" t="str">
        <f>IF(AND(O168&gt;0,O170="",O183=""),"Indicate subtotal score(s) in A or B below!","")</f>
        <v/>
      </c>
      <c r="M168" s="119">
        <f>IF(AND($P$36="4%",$M$54="New Supply"),$H$40,IF(AND($P$36="4%",$M$54="Preservation"),$I$40,$G$40))</f>
        <v>0</v>
      </c>
      <c r="N168" s="5"/>
      <c r="O168" s="1662">
        <f>MIN($M$168,O170+O183)</f>
        <v>0</v>
      </c>
      <c r="P168" s="1662">
        <f>MIN($M$168,P170+P183)</f>
        <v>0</v>
      </c>
      <c r="Q168" s="86" t="s">
        <v>416</v>
      </c>
      <c r="R168" s="867" t="str">
        <f>IF(AND(O168&gt;0,NOT($M$54="New Supply")), "Ineligible to score in this section, not New Supply!","")</f>
        <v/>
      </c>
      <c r="S168" s="1630"/>
      <c r="T168" s="1630"/>
      <c r="U168" s="1630"/>
    </row>
    <row r="169" spans="1:26" s="36" customFormat="1" ht="2.25" customHeight="1">
      <c r="A169" s="86"/>
      <c r="C169" s="141"/>
      <c r="D169" s="141"/>
      <c r="E169" s="147"/>
      <c r="F169" s="141"/>
      <c r="G169" s="141"/>
      <c r="H169" s="141"/>
      <c r="I169" s="141"/>
      <c r="J169" s="141"/>
      <c r="K169" s="141"/>
      <c r="L169" s="141"/>
      <c r="M169" s="141"/>
      <c r="N169" s="141"/>
      <c r="O169" s="141"/>
      <c r="P169" s="141"/>
      <c r="R169" s="1630"/>
      <c r="S169" s="1630"/>
      <c r="T169" s="1630"/>
      <c r="U169" s="1630"/>
    </row>
    <row r="170" spans="1:26" s="36" customFormat="1" ht="12" customHeight="1">
      <c r="A170" s="107" t="s">
        <v>1842</v>
      </c>
      <c r="B170" s="141" t="s">
        <v>6185</v>
      </c>
      <c r="C170" s="141"/>
      <c r="D170" s="141"/>
      <c r="E170" s="141"/>
      <c r="F170" s="141"/>
      <c r="G170" s="141"/>
      <c r="H170" s="141"/>
      <c r="I170" s="141"/>
      <c r="J170" s="141"/>
      <c r="K170" s="141"/>
      <c r="L170" s="1661"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458">
        <v>5</v>
      </c>
      <c r="N170" s="48" t="s">
        <v>1842</v>
      </c>
      <c r="O170" s="1658">
        <f>MIN(M170,O171+O179+O180+O181)</f>
        <v>0</v>
      </c>
      <c r="P170" s="1658">
        <f>P171+P179+P180+P181</f>
        <v>0</v>
      </c>
      <c r="Q170" s="1214" t="str">
        <f>IF(OR($O170&lt;=$M170,$O170=""),"","*CHECK!*")</f>
        <v/>
      </c>
      <c r="R170" s="795"/>
      <c r="S170" s="1630"/>
      <c r="T170" s="1630"/>
      <c r="U170" s="1630"/>
    </row>
    <row r="171" spans="1:26" s="36" customFormat="1" ht="12.75" customHeight="1">
      <c r="A171" s="86"/>
      <c r="B171" s="1242" t="s">
        <v>1845</v>
      </c>
      <c r="C171" s="29" t="s">
        <v>6277</v>
      </c>
      <c r="D171" s="141"/>
      <c r="E171" s="141"/>
      <c r="F171" s="141"/>
      <c r="G171" s="141"/>
      <c r="H171" s="141"/>
      <c r="I171" s="141"/>
      <c r="J171" s="141"/>
      <c r="K171" s="141"/>
      <c r="L171" s="141"/>
      <c r="M171" s="458">
        <v>2</v>
      </c>
      <c r="N171" s="128" t="s">
        <v>1615</v>
      </c>
      <c r="O171" s="1591">
        <v>0</v>
      </c>
      <c r="P171" s="1641"/>
      <c r="Q171" s="1214" t="str">
        <f>IF(OR($O171=$M171,$O171=0,$O171=""),"","*CHECK!*")</f>
        <v/>
      </c>
      <c r="R171" s="795" t="s">
        <v>4064</v>
      </c>
      <c r="S171" s="1630"/>
      <c r="T171" s="1630"/>
      <c r="U171" s="1630"/>
    </row>
    <row r="172" spans="1:26" s="318" customFormat="1" ht="12" customHeight="1">
      <c r="B172" s="128" t="s">
        <v>2241</v>
      </c>
      <c r="C172" s="3218" t="s">
        <v>6688</v>
      </c>
      <c r="D172" s="3218"/>
      <c r="E172" s="3218"/>
      <c r="F172" s="3218"/>
      <c r="G172" s="3218"/>
      <c r="H172" s="3218"/>
      <c r="I172" s="3218"/>
      <c r="J172" s="3218"/>
      <c r="K172" s="3218"/>
      <c r="L172" s="128"/>
      <c r="M172" s="3539" t="s">
        <v>6096</v>
      </c>
      <c r="N172" s="3539"/>
      <c r="O172" s="3539"/>
      <c r="P172" s="3539"/>
      <c r="S172" s="1630"/>
      <c r="T172" s="1630"/>
      <c r="U172" s="1630"/>
      <c r="V172" s="334"/>
      <c r="W172" s="334"/>
      <c r="X172" s="334"/>
      <c r="Y172" s="334"/>
      <c r="Z172" s="334"/>
    </row>
    <row r="173" spans="1:26" s="36" customFormat="1" ht="12.75" customHeight="1">
      <c r="A173" s="305"/>
      <c r="B173" s="49"/>
      <c r="C173" s="3218"/>
      <c r="D173" s="3218"/>
      <c r="E173" s="3218"/>
      <c r="F173" s="3218"/>
      <c r="G173" s="3218"/>
      <c r="H173" s="3218"/>
      <c r="I173" s="3218"/>
      <c r="J173" s="3218"/>
      <c r="K173" s="3218"/>
      <c r="L173" s="128" t="s">
        <v>2241</v>
      </c>
      <c r="M173" s="3526" t="s">
        <v>3290</v>
      </c>
      <c r="N173" s="3527"/>
      <c r="O173" s="3527"/>
      <c r="P173" s="3528"/>
      <c r="S173" s="1630"/>
      <c r="T173" s="1630"/>
      <c r="U173" s="1630"/>
    </row>
    <row r="174" spans="1:26" s="26" customFormat="1" ht="12.75" customHeight="1">
      <c r="B174" s="49" t="s">
        <v>2242</v>
      </c>
      <c r="C174" s="29" t="s">
        <v>3962</v>
      </c>
      <c r="D174" s="29"/>
      <c r="E174" s="29"/>
      <c r="F174" s="29"/>
      <c r="G174" s="29"/>
      <c r="H174" s="29"/>
      <c r="L174" s="49" t="s">
        <v>2242</v>
      </c>
      <c r="M174" s="3523" t="s">
        <v>3290</v>
      </c>
      <c r="N174" s="3524"/>
      <c r="O174" s="3524"/>
      <c r="P174" s="3525"/>
      <c r="S174" s="1630"/>
      <c r="T174" s="1630"/>
      <c r="U174" s="1630"/>
      <c r="V174" s="72"/>
      <c r="W174" s="72"/>
      <c r="X174" s="72"/>
      <c r="Y174" s="72"/>
      <c r="Z174" s="72"/>
    </row>
    <row r="175" spans="1:26" s="26" customFormat="1" ht="12.75" customHeight="1">
      <c r="B175" s="49" t="s">
        <v>2243</v>
      </c>
      <c r="C175" s="29" t="s">
        <v>6183</v>
      </c>
      <c r="D175" s="29"/>
      <c r="E175" s="29"/>
      <c r="F175" s="29"/>
      <c r="G175" s="29"/>
      <c r="H175" s="29"/>
      <c r="L175" s="49" t="s">
        <v>2243</v>
      </c>
      <c r="M175" s="3523" t="s">
        <v>3290</v>
      </c>
      <c r="N175" s="3524"/>
      <c r="O175" s="3524"/>
      <c r="P175" s="3525"/>
      <c r="Q175" s="1322">
        <f>IF(K175="Yes",1,0)</f>
        <v>0</v>
      </c>
      <c r="S175" s="1630"/>
      <c r="T175" s="1630"/>
      <c r="U175" s="1630"/>
      <c r="V175" s="1322" t="e">
        <f>IF(#REF!="Yes",1,0)</f>
        <v>#REF!</v>
      </c>
      <c r="W175" s="72"/>
      <c r="X175" s="72"/>
      <c r="Y175" s="72"/>
      <c r="Z175" s="72"/>
    </row>
    <row r="176" spans="1:26" s="26" customFormat="1" ht="12.75" customHeight="1">
      <c r="A176" s="48"/>
      <c r="B176" s="49" t="s">
        <v>2244</v>
      </c>
      <c r="C176" s="29" t="s">
        <v>6184</v>
      </c>
      <c r="D176" s="29"/>
      <c r="E176" s="29"/>
      <c r="F176" s="29"/>
      <c r="G176" s="29"/>
      <c r="L176" s="49" t="s">
        <v>2244</v>
      </c>
      <c r="M176" s="3576" t="s">
        <v>3290</v>
      </c>
      <c r="N176" s="3577"/>
      <c r="O176" s="3577"/>
      <c r="P176" s="3578"/>
      <c r="Q176" s="1322">
        <f>IF(K176="Yes",1,0)</f>
        <v>0</v>
      </c>
      <c r="S176" s="1630"/>
      <c r="T176" s="1630"/>
      <c r="U176" s="1630"/>
      <c r="V176" s="1322" t="e">
        <f>IF(#REF!="Yes",1,0)</f>
        <v>#REF!</v>
      </c>
      <c r="W176" s="72"/>
      <c r="X176" s="72"/>
      <c r="Y176" s="72"/>
      <c r="Z176" s="72"/>
    </row>
    <row r="177" spans="1:21" s="36" customFormat="1" ht="4.5" customHeight="1">
      <c r="A177" s="305"/>
      <c r="C177" s="108"/>
      <c r="D177" s="108"/>
      <c r="E177" s="108"/>
      <c r="F177" s="108"/>
      <c r="G177" s="108"/>
      <c r="H177" s="108"/>
      <c r="I177" s="108"/>
      <c r="K177" s="937"/>
      <c r="L177" s="937"/>
      <c r="R177" s="1630"/>
      <c r="S177" s="1630"/>
      <c r="T177" s="1630"/>
      <c r="U177" s="1630"/>
    </row>
    <row r="178" spans="1:21" s="36" customFormat="1" ht="9.75" customHeight="1">
      <c r="A178" s="305"/>
      <c r="B178" s="306" t="s">
        <v>1847</v>
      </c>
      <c r="C178" s="89" t="s">
        <v>6260</v>
      </c>
      <c r="D178" s="108"/>
      <c r="E178" s="108"/>
      <c r="F178" s="108"/>
      <c r="G178" s="108"/>
      <c r="H178" s="108"/>
      <c r="I178" s="108"/>
      <c r="K178" s="937"/>
      <c r="L178" s="937"/>
      <c r="R178" s="1630"/>
      <c r="S178" s="1630"/>
      <c r="T178" s="1630"/>
      <c r="U178" s="1630"/>
    </row>
    <row r="179" spans="1:21">
      <c r="A179" s="396"/>
      <c r="B179" s="128" t="s">
        <v>2241</v>
      </c>
      <c r="C179" s="3218" t="s">
        <v>6187</v>
      </c>
      <c r="D179" s="3218"/>
      <c r="E179" s="3218"/>
      <c r="F179" s="3218"/>
      <c r="G179" s="3218"/>
      <c r="H179" s="3218"/>
      <c r="I179" s="3218"/>
      <c r="J179" s="3218"/>
      <c r="K179" s="3218"/>
      <c r="L179" s="3218"/>
      <c r="M179" s="1847">
        <v>1</v>
      </c>
      <c r="N179" s="128" t="s">
        <v>4082</v>
      </c>
      <c r="O179" s="1638">
        <v>0</v>
      </c>
      <c r="P179" s="1642"/>
      <c r="Q179" s="1214" t="str">
        <f>IF(OR($O179=$M179,$O179=0,$O179=""),"","*CHECK!*")</f>
        <v/>
      </c>
      <c r="R179" s="795" t="s">
        <v>4064</v>
      </c>
    </row>
    <row r="180" spans="1:21" ht="36.75" customHeight="1">
      <c r="A180" s="396"/>
      <c r="B180" s="117" t="s">
        <v>2242</v>
      </c>
      <c r="C180" s="3218" t="s">
        <v>6188</v>
      </c>
      <c r="D180" s="3218"/>
      <c r="E180" s="3218"/>
      <c r="F180" s="3218"/>
      <c r="G180" s="3218"/>
      <c r="H180" s="3218"/>
      <c r="I180" s="3218"/>
      <c r="J180" s="3218"/>
      <c r="K180" s="3218"/>
      <c r="L180" s="3218"/>
      <c r="M180" s="1847">
        <v>1</v>
      </c>
      <c r="N180" s="128" t="s">
        <v>6269</v>
      </c>
      <c r="O180" s="1659">
        <v>0</v>
      </c>
      <c r="P180" s="1660"/>
      <c r="Q180" s="1214" t="str">
        <f>IF(OR($O180=$M180,$O180=0,$O180=""),"","*CHECK!*")</f>
        <v/>
      </c>
      <c r="R180" s="795" t="s">
        <v>4064</v>
      </c>
    </row>
    <row r="181" spans="1:21" ht="12" customHeight="1">
      <c r="A181" s="396"/>
      <c r="B181" s="1609" t="s">
        <v>2243</v>
      </c>
      <c r="C181" s="44" t="s">
        <v>6271</v>
      </c>
      <c r="D181" s="100"/>
      <c r="E181" s="100"/>
      <c r="F181" s="100"/>
      <c r="G181" s="100"/>
      <c r="H181" s="100"/>
      <c r="I181" s="100"/>
      <c r="J181" s="100"/>
      <c r="K181" s="100"/>
      <c r="L181" s="100"/>
      <c r="M181" s="458">
        <v>1</v>
      </c>
      <c r="N181" s="48" t="s">
        <v>6270</v>
      </c>
      <c r="O181" s="1639">
        <v>0</v>
      </c>
      <c r="P181" s="1643"/>
      <c r="Q181" s="1214" t="str">
        <f>IF(OR($O181=$M181,$O181=0,$O181=""),"","*CHECK!*")</f>
        <v/>
      </c>
      <c r="R181" s="795" t="s">
        <v>4064</v>
      </c>
    </row>
    <row r="182" spans="1:21" ht="4.5" customHeight="1">
      <c r="A182" s="396"/>
      <c r="B182" s="370"/>
      <c r="C182" s="108"/>
      <c r="D182" s="108"/>
      <c r="E182" s="108"/>
      <c r="F182" s="108"/>
      <c r="G182" s="108"/>
      <c r="H182" s="108"/>
      <c r="M182" s="1208"/>
      <c r="N182"/>
      <c r="O182"/>
      <c r="P182"/>
      <c r="R182" s="115"/>
    </row>
    <row r="183" spans="1:21" ht="12.75" customHeight="1">
      <c r="A183" s="107" t="s">
        <v>1844</v>
      </c>
      <c r="B183" s="141" t="s">
        <v>3827</v>
      </c>
      <c r="D183" s="26"/>
      <c r="F183" s="1191"/>
      <c r="K183" s="917"/>
      <c r="L183" s="307" t="str">
        <f>IF(OR($O183=$M183,$O183=0,$O183=1,$O183=""),"","* * Check Score! * *")</f>
        <v/>
      </c>
      <c r="M183" s="458">
        <v>2</v>
      </c>
      <c r="N183" s="48" t="s">
        <v>1844</v>
      </c>
      <c r="O183" s="459">
        <v>0</v>
      </c>
      <c r="P183" s="664"/>
      <c r="Q183" s="798" t="str">
        <f>IF(OR($O183=$M183,$O183=0,$O183=""),"","*CHECK!*")</f>
        <v/>
      </c>
      <c r="R183" s="795" t="s">
        <v>4064</v>
      </c>
    </row>
    <row r="184" spans="1:21" s="70" customFormat="1" ht="10.5" customHeight="1" thickBot="1">
      <c r="A184" s="35"/>
      <c r="B184" s="939" t="s">
        <v>3244</v>
      </c>
      <c r="C184" s="35"/>
      <c r="D184" s="41"/>
      <c r="E184" s="41"/>
      <c r="F184" s="41"/>
      <c r="G184" s="41"/>
      <c r="H184" s="29"/>
      <c r="I184" s="29"/>
      <c r="J184" s="29"/>
      <c r="K184" s="29"/>
      <c r="M184" s="39"/>
      <c r="N184" s="5"/>
      <c r="O184" s="3"/>
      <c r="P184" s="119"/>
    </row>
    <row r="185" spans="1:21" s="36" customFormat="1" ht="21.75" customHeight="1" thickTop="1" thickBot="1">
      <c r="A185" s="3534" t="s">
        <v>6950</v>
      </c>
      <c r="B185" s="3535"/>
      <c r="C185" s="3535"/>
      <c r="D185" s="3535"/>
      <c r="E185" s="3535"/>
      <c r="F185" s="3535"/>
      <c r="G185" s="3535"/>
      <c r="H185" s="3535"/>
      <c r="I185" s="3535"/>
      <c r="J185" s="3535"/>
      <c r="K185" s="3535"/>
      <c r="L185" s="3535"/>
      <c r="M185" s="3535"/>
      <c r="N185" s="3535"/>
      <c r="O185" s="3535"/>
      <c r="P185" s="3536"/>
      <c r="Q185" s="355" t="s">
        <v>1181</v>
      </c>
    </row>
    <row r="186" spans="1:21" s="70" customFormat="1" ht="11.45" customHeight="1" thickTop="1">
      <c r="A186" s="35"/>
      <c r="B186" s="76" t="s">
        <v>1730</v>
      </c>
      <c r="C186" s="35"/>
      <c r="D186" s="76"/>
      <c r="E186" s="891"/>
      <c r="F186" s="891"/>
      <c r="G186" s="891"/>
      <c r="H186" s="891"/>
      <c r="I186" s="891"/>
      <c r="J186" s="891"/>
      <c r="K186" s="891"/>
      <c r="L186" s="891"/>
      <c r="M186" s="891"/>
      <c r="N186" s="71"/>
      <c r="O186" s="670"/>
      <c r="P186" s="119"/>
      <c r="Q186" s="36"/>
    </row>
    <row r="187" spans="1:21" s="36" customFormat="1" ht="11.25" customHeight="1">
      <c r="A187" s="3386"/>
      <c r="B187" s="3387"/>
      <c r="C187" s="3387"/>
      <c r="D187" s="3387"/>
      <c r="E187" s="3387"/>
      <c r="F187" s="3387"/>
      <c r="G187" s="3387"/>
      <c r="H187" s="3387"/>
      <c r="I187" s="3387"/>
      <c r="J187" s="3387"/>
      <c r="K187" s="3387"/>
      <c r="L187" s="3387"/>
      <c r="M187" s="3387"/>
      <c r="N187" s="3387"/>
      <c r="O187" s="3387"/>
      <c r="P187" s="3388"/>
      <c r="Q187" s="354"/>
    </row>
    <row r="188" spans="1:21" s="36" customFormat="1" ht="3" customHeight="1" thickBot="1">
      <c r="A188" s="35"/>
      <c r="C188" s="889"/>
      <c r="D188" s="889"/>
      <c r="E188" s="889"/>
      <c r="F188" s="889"/>
      <c r="G188" s="889"/>
      <c r="H188" s="889"/>
      <c r="I188" s="889"/>
      <c r="J188" s="889"/>
      <c r="K188" s="889"/>
      <c r="L188" s="889"/>
      <c r="M188" s="889"/>
      <c r="N188" s="55"/>
      <c r="O188" s="52"/>
      <c r="P188" s="119"/>
    </row>
    <row r="189" spans="1:21" s="36" customFormat="1" ht="13.5" customHeight="1" thickBot="1">
      <c r="A189" s="120" t="s">
        <v>401</v>
      </c>
      <c r="B189" s="83" t="s">
        <v>3345</v>
      </c>
      <c r="C189" s="889"/>
      <c r="D189" s="889"/>
      <c r="E189" s="889"/>
      <c r="F189" s="889"/>
      <c r="G189" s="889"/>
      <c r="H189" s="889"/>
      <c r="I189" s="889"/>
      <c r="J189" s="889"/>
      <c r="K189" s="889"/>
      <c r="L189" s="889"/>
      <c r="M189" s="119">
        <v>0</v>
      </c>
      <c r="N189" s="55"/>
      <c r="O189" s="52"/>
      <c r="P189" s="885"/>
      <c r="Q189" s="86" t="s">
        <v>416</v>
      </c>
      <c r="R189" s="795" t="s">
        <v>2461</v>
      </c>
    </row>
    <row r="190" spans="1:21" s="36" customFormat="1" ht="13.5" customHeight="1">
      <c r="A190" s="120"/>
      <c r="B190" s="81" t="s">
        <v>3677</v>
      </c>
      <c r="C190" s="889"/>
      <c r="D190" s="889"/>
      <c r="E190" s="889"/>
      <c r="F190" s="889"/>
      <c r="G190" s="889"/>
      <c r="H190" s="889"/>
      <c r="L190" s="1921" t="str">
        <f>IF(OR(O$232&gt;0,O$204&gt;0),"Applicant is ineligible for points in this section!  Points claimed in Stable Communities or Community Designations.","")</f>
        <v/>
      </c>
      <c r="M190" s="119"/>
      <c r="N190" s="55"/>
      <c r="O190" s="373" t="s">
        <v>2655</v>
      </c>
      <c r="P190" s="1081"/>
      <c r="Q190" s="86"/>
      <c r="R190" s="1631"/>
      <c r="S190" s="1631"/>
      <c r="T190" s="1631"/>
      <c r="U190" s="1631"/>
    </row>
    <row r="191" spans="1:21" s="36" customFormat="1" ht="13.5" customHeight="1">
      <c r="A191" s="120"/>
      <c r="B191" s="1441" t="s">
        <v>6261</v>
      </c>
      <c r="C191" s="889"/>
      <c r="D191" s="889"/>
      <c r="E191" s="889"/>
      <c r="F191" s="889"/>
      <c r="G191" s="889"/>
      <c r="H191" s="889"/>
      <c r="L191" s="1192"/>
      <c r="M191" s="119"/>
      <c r="N191" s="119"/>
      <c r="O191" s="119"/>
      <c r="P191" s="119"/>
      <c r="Q191" s="86"/>
      <c r="R191" s="1631"/>
      <c r="S191" s="1631"/>
      <c r="T191" s="1631"/>
      <c r="U191" s="1631"/>
    </row>
    <row r="192" spans="1:21" ht="11.45" customHeight="1">
      <c r="A192" s="107" t="s">
        <v>698</v>
      </c>
      <c r="B192" s="141" t="s">
        <v>6219</v>
      </c>
      <c r="D192" s="26"/>
      <c r="G192" s="370"/>
      <c r="N192"/>
      <c r="O192" s="31"/>
      <c r="P192" s="31"/>
      <c r="Q192" s="241"/>
    </row>
    <row r="193" spans="1:24" s="1325" customFormat="1" ht="12.75" customHeight="1">
      <c r="B193" s="350" t="s">
        <v>1845</v>
      </c>
      <c r="C193" s="3218" t="s">
        <v>6216</v>
      </c>
      <c r="D193" s="3218"/>
      <c r="E193" s="3218"/>
      <c r="F193" s="3218"/>
      <c r="G193" s="3218"/>
      <c r="H193" s="3218"/>
      <c r="I193" s="3218"/>
      <c r="J193" s="3218"/>
      <c r="K193" s="3218"/>
      <c r="L193" s="3218"/>
      <c r="M193" s="886" t="s">
        <v>698</v>
      </c>
      <c r="N193" s="317" t="s">
        <v>1845</v>
      </c>
      <c r="O193" s="896" t="s">
        <v>6926</v>
      </c>
      <c r="P193" s="895"/>
      <c r="Q193" s="949"/>
      <c r="V193" s="1601"/>
      <c r="W193" s="1601"/>
    </row>
    <row r="194" spans="1:24" s="26" customFormat="1" ht="12.75" customHeight="1">
      <c r="A194" s="396"/>
      <c r="B194" s="350" t="s">
        <v>1847</v>
      </c>
      <c r="C194" s="33" t="s">
        <v>6217</v>
      </c>
      <c r="D194" s="103"/>
      <c r="E194" s="103"/>
      <c r="F194" s="103"/>
      <c r="G194" s="103"/>
      <c r="H194" s="103"/>
      <c r="I194" s="103"/>
      <c r="J194" s="103"/>
      <c r="K194" s="103"/>
      <c r="L194" s="103"/>
      <c r="M194" s="103"/>
      <c r="N194" s="317" t="s">
        <v>1847</v>
      </c>
      <c r="O194" s="299" t="s">
        <v>6926</v>
      </c>
      <c r="P194" s="420"/>
      <c r="Q194" s="800"/>
      <c r="V194" s="944"/>
      <c r="W194" s="944"/>
    </row>
    <row r="195" spans="1:24" s="26" customFormat="1" ht="22.5" customHeight="1">
      <c r="A195" s="396"/>
      <c r="B195" s="350" t="s">
        <v>2333</v>
      </c>
      <c r="C195" s="3218" t="s">
        <v>6220</v>
      </c>
      <c r="D195" s="3218"/>
      <c r="E195" s="3218"/>
      <c r="F195" s="3218"/>
      <c r="G195" s="3218"/>
      <c r="H195" s="3218"/>
      <c r="I195" s="3218"/>
      <c r="J195" s="3218"/>
      <c r="K195" s="3218"/>
      <c r="L195" s="3218"/>
      <c r="M195" s="457"/>
      <c r="N195" s="317" t="s">
        <v>2333</v>
      </c>
      <c r="O195" s="898" t="s">
        <v>6926</v>
      </c>
      <c r="P195" s="897"/>
      <c r="Q195" s="800"/>
      <c r="V195" s="944"/>
      <c r="W195" s="944"/>
    </row>
    <row r="196" spans="1:24" ht="11.45" customHeight="1">
      <c r="A196" s="107" t="s">
        <v>1963</v>
      </c>
      <c r="B196" s="141" t="s">
        <v>6218</v>
      </c>
      <c r="D196" s="26"/>
      <c r="G196" s="370"/>
      <c r="N196"/>
      <c r="O196" s="31"/>
      <c r="P196" s="31"/>
      <c r="Q196" s="241"/>
    </row>
    <row r="197" spans="1:24" s="1325" customFormat="1" ht="23.25" customHeight="1">
      <c r="B197" s="350" t="s">
        <v>1845</v>
      </c>
      <c r="C197" s="3218" t="s">
        <v>6221</v>
      </c>
      <c r="D197" s="3218"/>
      <c r="E197" s="3218"/>
      <c r="F197" s="3218"/>
      <c r="G197" s="3218"/>
      <c r="H197" s="3218"/>
      <c r="I197" s="3218"/>
      <c r="J197" s="3218"/>
      <c r="K197" s="3218"/>
      <c r="L197" s="3218"/>
      <c r="M197" s="886" t="s">
        <v>1963</v>
      </c>
      <c r="N197" s="317" t="s">
        <v>1845</v>
      </c>
      <c r="O197" s="896" t="s">
        <v>6926</v>
      </c>
      <c r="P197" s="895"/>
      <c r="Q197" s="949"/>
      <c r="V197" s="1601"/>
      <c r="W197" s="1601"/>
    </row>
    <row r="198" spans="1:24" s="26" customFormat="1" ht="23.25" customHeight="1">
      <c r="A198" s="396"/>
      <c r="B198" s="350" t="s">
        <v>1847</v>
      </c>
      <c r="C198" s="3218" t="s">
        <v>6262</v>
      </c>
      <c r="D198" s="3218"/>
      <c r="E198" s="3218"/>
      <c r="F198" s="3218"/>
      <c r="G198" s="3218"/>
      <c r="H198" s="3218"/>
      <c r="I198" s="3218"/>
      <c r="J198" s="3218"/>
      <c r="K198" s="3218"/>
      <c r="L198" s="3218"/>
      <c r="M198" s="103"/>
      <c r="N198" s="317" t="s">
        <v>1847</v>
      </c>
      <c r="O198" s="898" t="s">
        <v>6926</v>
      </c>
      <c r="P198" s="897"/>
      <c r="Q198" s="800"/>
      <c r="V198" s="944"/>
      <c r="W198" s="944"/>
    </row>
    <row r="199" spans="1:24" s="36" customFormat="1" ht="12" customHeight="1" thickBot="1">
      <c r="A199" s="35"/>
      <c r="B199" s="939" t="s">
        <v>3244</v>
      </c>
      <c r="C199" s="35"/>
      <c r="D199" s="41"/>
      <c r="E199" s="41"/>
      <c r="F199" s="41"/>
      <c r="G199" s="41"/>
      <c r="H199" s="29"/>
      <c r="I199" s="29"/>
      <c r="M199" s="39"/>
      <c r="N199" s="47"/>
      <c r="O199" s="3"/>
      <c r="P199" s="24"/>
    </row>
    <row r="200" spans="1:24" s="36" customFormat="1" ht="45.6" customHeight="1" thickTop="1" thickBot="1">
      <c r="A200" s="3597" t="s">
        <v>6950</v>
      </c>
      <c r="B200" s="3598"/>
      <c r="C200" s="3598"/>
      <c r="D200" s="3598"/>
      <c r="E200" s="3598"/>
      <c r="F200" s="3598"/>
      <c r="G200" s="3598"/>
      <c r="H200" s="3598"/>
      <c r="I200" s="3598"/>
      <c r="J200" s="3598"/>
      <c r="K200" s="3598"/>
      <c r="L200" s="3598"/>
      <c r="M200" s="3598"/>
      <c r="N200" s="3598"/>
      <c r="O200" s="3598"/>
      <c r="P200" s="3599"/>
      <c r="Q200" s="355" t="s">
        <v>1181</v>
      </c>
    </row>
    <row r="201" spans="1:24" s="36" customFormat="1" ht="10.5" customHeight="1" thickTop="1">
      <c r="A201" s="35"/>
      <c r="B201" s="65" t="s">
        <v>1730</v>
      </c>
      <c r="C201" s="35"/>
      <c r="D201" s="65"/>
      <c r="E201" s="889"/>
      <c r="F201" s="889"/>
      <c r="G201" s="889"/>
      <c r="H201" s="889"/>
      <c r="I201" s="889"/>
      <c r="J201" s="889"/>
      <c r="K201" s="889"/>
      <c r="L201" s="889"/>
      <c r="M201" s="889"/>
      <c r="N201" s="55"/>
      <c r="O201" s="52"/>
      <c r="P201" s="119"/>
    </row>
    <row r="202" spans="1:24" s="36" customFormat="1" ht="22.15" customHeight="1">
      <c r="A202" s="3485"/>
      <c r="B202" s="3486"/>
      <c r="C202" s="3486"/>
      <c r="D202" s="3486"/>
      <c r="E202" s="3486"/>
      <c r="F202" s="3486"/>
      <c r="G202" s="3486"/>
      <c r="H202" s="3486"/>
      <c r="I202" s="3486"/>
      <c r="J202" s="3486"/>
      <c r="K202" s="3486"/>
      <c r="L202" s="3486"/>
      <c r="M202" s="3486"/>
      <c r="N202" s="3486"/>
      <c r="O202" s="3486"/>
      <c r="P202" s="3487"/>
      <c r="Q202" s="354"/>
    </row>
    <row r="203" spans="1:24" ht="6.75" customHeight="1" thickBot="1">
      <c r="V203" s="36"/>
      <c r="W203" s="36"/>
      <c r="X203" s="36"/>
    </row>
    <row r="204" spans="1:24" s="70" customFormat="1" ht="13.5" customHeight="1" thickBot="1">
      <c r="A204" s="120" t="s">
        <v>342</v>
      </c>
      <c r="B204" s="83" t="s">
        <v>2500</v>
      </c>
      <c r="D204" s="38"/>
      <c r="E204" s="38"/>
      <c r="L204" s="396" t="str">
        <f>IF(AND(O204&gt;0,NOT($M$54="New Supply")), "Ineligible to score in this section, not New Supply!","")</f>
        <v/>
      </c>
      <c r="M204" s="119">
        <f>IF(AND($P$36="4%",$M$54="New Supply"),$H$42,IF(AND($P$36="4%",$M$54="Preservation"),$I$42,$G$42))</f>
        <v>0</v>
      </c>
      <c r="N204" s="5"/>
      <c r="O204" s="868">
        <f>MIN($M$204,O206+O210)</f>
        <v>0</v>
      </c>
      <c r="P204" s="868">
        <f>MIN($M$204,P206+P210)</f>
        <v>0</v>
      </c>
      <c r="Q204" s="86" t="s">
        <v>416</v>
      </c>
      <c r="R204" s="795"/>
      <c r="S204" s="1632"/>
      <c r="T204" s="1632"/>
      <c r="U204" s="1632"/>
      <c r="V204" s="36"/>
      <c r="W204" s="36"/>
      <c r="X204" s="36"/>
    </row>
    <row r="205" spans="1:24" s="70" customFormat="1" ht="3" customHeight="1">
      <c r="A205" s="120"/>
      <c r="B205" s="83"/>
      <c r="D205" s="38"/>
      <c r="E205" s="38"/>
      <c r="G205" s="147"/>
      <c r="M205" s="456"/>
      <c r="Q205" s="86"/>
      <c r="S205" s="1632"/>
      <c r="T205" s="1632"/>
      <c r="U205" s="1632"/>
      <c r="V205" s="36"/>
      <c r="W205" s="36"/>
      <c r="X205" s="36"/>
    </row>
    <row r="206" spans="1:24" s="70" customFormat="1" ht="12.75" customHeight="1">
      <c r="A206" s="1602" t="s">
        <v>1842</v>
      </c>
      <c r="B206" s="141" t="s">
        <v>3828</v>
      </c>
      <c r="D206" s="38"/>
      <c r="E206" s="38"/>
      <c r="K206" s="1323"/>
      <c r="M206" s="458">
        <v>5</v>
      </c>
      <c r="N206" s="48" t="s">
        <v>1842</v>
      </c>
      <c r="O206" s="459">
        <v>0</v>
      </c>
      <c r="P206" s="664"/>
      <c r="Q206" s="1214" t="str">
        <f>IF(O206&lt;=M206,"","*CHECK!*")</f>
        <v/>
      </c>
      <c r="R206" s="795" t="s">
        <v>4064</v>
      </c>
      <c r="S206" s="1632"/>
      <c r="T206" s="1632"/>
      <c r="U206" s="1632"/>
    </row>
    <row r="207" spans="1:24" ht="12.75" customHeight="1">
      <c r="B207" s="1602"/>
      <c r="C207" s="29" t="s">
        <v>6263</v>
      </c>
      <c r="D207" s="70"/>
      <c r="E207" s="38"/>
      <c r="F207" s="38"/>
      <c r="G207" s="70"/>
      <c r="H207" s="70"/>
      <c r="I207" s="70"/>
      <c r="J207" s="3553" t="s">
        <v>3208</v>
      </c>
      <c r="K207" s="3554"/>
      <c r="L207" s="3555"/>
      <c r="M207" s="3556"/>
      <c r="N207" s="53"/>
      <c r="R207" s="86"/>
      <c r="S207" s="70"/>
    </row>
    <row r="208" spans="1:24" ht="12.75" customHeight="1">
      <c r="C208" s="685" t="s">
        <v>6264</v>
      </c>
      <c r="D208" s="44"/>
      <c r="J208" s="3618"/>
      <c r="K208" s="3619"/>
      <c r="L208" s="3619"/>
      <c r="M208" s="3620"/>
      <c r="N208" s="53"/>
      <c r="O208" s="53"/>
      <c r="P208" s="53"/>
      <c r="R208" s="70"/>
      <c r="S208" s="1632"/>
    </row>
    <row r="209" spans="1:27" ht="6" customHeight="1">
      <c r="A209" s="400"/>
      <c r="B209" s="684"/>
      <c r="C209" s="44"/>
      <c r="M209" s="53"/>
      <c r="N209" s="884"/>
      <c r="O209" s="119"/>
      <c r="P209" s="119"/>
      <c r="S209" s="1632"/>
      <c r="T209" s="1632"/>
      <c r="U209" s="1632"/>
    </row>
    <row r="210" spans="1:27" s="26" customFormat="1" ht="12.75" customHeight="1">
      <c r="A210" s="686" t="s">
        <v>1844</v>
      </c>
      <c r="B210" s="1195" t="s">
        <v>6222</v>
      </c>
      <c r="C210" s="29"/>
      <c r="K210" s="48"/>
      <c r="L210" s="48"/>
      <c r="M210" s="458">
        <v>5</v>
      </c>
      <c r="N210" s="48" t="s">
        <v>1844</v>
      </c>
      <c r="O210" s="459">
        <v>0</v>
      </c>
      <c r="P210" s="664"/>
      <c r="Q210" s="1214" t="str">
        <f>IF(O210&lt;=M210,"","*CHECK!*")</f>
        <v/>
      </c>
      <c r="R210" s="795" t="s">
        <v>4064</v>
      </c>
      <c r="S210" s="1632"/>
      <c r="T210" s="1632"/>
      <c r="U210" s="1632"/>
    </row>
    <row r="211" spans="1:27">
      <c r="C211" s="1640" t="s">
        <v>6228</v>
      </c>
      <c r="E211" s="3734" t="s">
        <v>6227</v>
      </c>
      <c r="F211" s="3734"/>
      <c r="G211" s="3734"/>
      <c r="H211" s="3734"/>
      <c r="I211" s="1205" t="s">
        <v>6254</v>
      </c>
      <c r="J211" s="3734" t="s">
        <v>6227</v>
      </c>
      <c r="K211" s="3734"/>
      <c r="L211" s="3734"/>
      <c r="M211" s="3734"/>
      <c r="N211"/>
      <c r="O211"/>
      <c r="P211"/>
    </row>
    <row r="212" spans="1:27" ht="13.5" customHeight="1">
      <c r="B212" s="400"/>
      <c r="C212" s="29" t="s">
        <v>6225</v>
      </c>
      <c r="E212" s="3735"/>
      <c r="F212" s="3736"/>
      <c r="G212" s="3736"/>
      <c r="H212" s="3737"/>
      <c r="I212" s="1867" t="s">
        <v>907</v>
      </c>
      <c r="J212" s="3615"/>
      <c r="K212" s="3616"/>
      <c r="L212" s="3616"/>
      <c r="M212" s="3617"/>
      <c r="N212"/>
      <c r="Q212" s="24"/>
      <c r="R212" s="24"/>
      <c r="S212" s="24"/>
      <c r="T212" s="24"/>
      <c r="U212" s="24"/>
      <c r="V212" s="24"/>
      <c r="W212" s="24"/>
      <c r="X212" s="24"/>
      <c r="Y212" s="24"/>
      <c r="Z212" s="24"/>
      <c r="AA212" s="1868"/>
    </row>
    <row r="213" spans="1:27" ht="13.5" customHeight="1">
      <c r="C213" s="29" t="s">
        <v>6226</v>
      </c>
      <c r="E213" s="3606"/>
      <c r="F213" s="3607"/>
      <c r="G213" s="3607"/>
      <c r="H213" s="3608"/>
      <c r="I213" s="1922"/>
      <c r="J213" s="3621"/>
      <c r="K213" s="3622"/>
      <c r="L213" s="3622"/>
      <c r="M213" s="3623"/>
      <c r="N213" s="1214" t="str">
        <f>IF(P210&lt;=N210,"","*CHECK!*")</f>
        <v/>
      </c>
      <c r="Q213" s="24"/>
      <c r="R213" s="24"/>
      <c r="S213" s="24"/>
      <c r="T213" s="24"/>
      <c r="U213" s="24"/>
      <c r="V213" s="24"/>
      <c r="W213" s="24"/>
      <c r="X213" s="24"/>
      <c r="Y213" s="24"/>
      <c r="Z213" s="24"/>
      <c r="AA213" s="1868"/>
    </row>
    <row r="214" spans="1:27" ht="13.5" customHeight="1">
      <c r="B214" s="400"/>
      <c r="C214" s="29" t="s">
        <v>6223</v>
      </c>
      <c r="E214" s="3606"/>
      <c r="F214" s="3607"/>
      <c r="G214" s="3607"/>
      <c r="H214" s="3608"/>
      <c r="I214" s="1922"/>
      <c r="J214" s="3621"/>
      <c r="K214" s="3622"/>
      <c r="L214" s="3622"/>
      <c r="M214" s="3623"/>
      <c r="N214"/>
      <c r="Q214" s="24"/>
      <c r="R214" s="24"/>
      <c r="S214" s="24"/>
      <c r="T214" s="24"/>
      <c r="U214" s="24"/>
      <c r="V214" s="24"/>
      <c r="W214" s="24"/>
      <c r="X214" s="24"/>
      <c r="Y214" s="24"/>
      <c r="Z214" s="24"/>
      <c r="AA214" s="1868"/>
    </row>
    <row r="215" spans="1:27" ht="13.5" customHeight="1">
      <c r="B215" s="44"/>
      <c r="C215" s="29" t="s">
        <v>6224</v>
      </c>
      <c r="E215" s="3603"/>
      <c r="F215" s="3604"/>
      <c r="G215" s="3604"/>
      <c r="H215" s="3605"/>
      <c r="I215" s="1923"/>
      <c r="J215" s="3612"/>
      <c r="K215" s="3613"/>
      <c r="L215" s="3613"/>
      <c r="M215" s="3614"/>
      <c r="N215" s="44"/>
      <c r="Q215" s="24"/>
      <c r="R215" s="24"/>
      <c r="S215" s="24"/>
      <c r="T215" s="24"/>
      <c r="U215" s="24"/>
      <c r="V215" s="24"/>
      <c r="W215" s="24"/>
      <c r="X215" s="24"/>
      <c r="Y215" s="24"/>
      <c r="Z215" s="24"/>
      <c r="AA215" s="1868"/>
    </row>
    <row r="216" spans="1:27" ht="6" customHeight="1">
      <c r="B216" s="44"/>
      <c r="C216" s="684"/>
      <c r="D216" s="44"/>
      <c r="N216" s="53"/>
      <c r="O216" s="884"/>
      <c r="P216" s="119"/>
      <c r="Q216" s="119"/>
      <c r="R216" s="119"/>
      <c r="S216" s="119"/>
      <c r="T216" s="119"/>
      <c r="U216" s="119"/>
      <c r="V216" s="119"/>
      <c r="W216" s="119"/>
      <c r="X216" s="119"/>
      <c r="Y216" s="119"/>
      <c r="Z216" s="119"/>
    </row>
    <row r="217" spans="1:27" ht="3" customHeight="1">
      <c r="A217" s="400"/>
      <c r="B217" s="684"/>
      <c r="C217" s="44"/>
      <c r="M217" s="53"/>
      <c r="N217" s="884"/>
      <c r="O217" s="119"/>
      <c r="P217" s="119"/>
      <c r="S217" s="1834"/>
      <c r="T217" s="1834"/>
      <c r="U217" s="1834"/>
      <c r="V217" s="1834"/>
      <c r="W217" s="1834"/>
    </row>
    <row r="218" spans="1:27" s="36" customFormat="1" ht="10.5" customHeight="1" thickBot="1">
      <c r="A218" s="35"/>
      <c r="B218" s="939" t="s">
        <v>3244</v>
      </c>
      <c r="C218" s="35"/>
      <c r="D218" s="41"/>
      <c r="E218" s="41"/>
      <c r="F218" s="41"/>
      <c r="G218" s="41"/>
      <c r="H218" s="29"/>
      <c r="I218" s="29"/>
      <c r="J218" s="29"/>
      <c r="K218" s="29"/>
      <c r="M218" s="39"/>
      <c r="N218" s="47"/>
      <c r="O218" s="3"/>
      <c r="P218" s="24"/>
    </row>
    <row r="219" spans="1:27" s="36" customFormat="1" ht="34.9" customHeight="1" thickTop="1" thickBot="1">
      <c r="A219" s="3534" t="s">
        <v>6950</v>
      </c>
      <c r="B219" s="3535"/>
      <c r="C219" s="3535"/>
      <c r="D219" s="3535"/>
      <c r="E219" s="3535"/>
      <c r="F219" s="3535"/>
      <c r="G219" s="3535"/>
      <c r="H219" s="3535"/>
      <c r="I219" s="3535"/>
      <c r="J219" s="3535"/>
      <c r="K219" s="3535"/>
      <c r="L219" s="3535"/>
      <c r="M219" s="3535"/>
      <c r="N219" s="3535"/>
      <c r="O219" s="3535"/>
      <c r="P219" s="3536"/>
      <c r="Q219" s="355" t="s">
        <v>1181</v>
      </c>
    </row>
    <row r="220" spans="1:27" ht="2.25" customHeight="1" thickTop="1">
      <c r="A220" s="400"/>
      <c r="B220" s="684"/>
      <c r="C220" s="44"/>
      <c r="M220" s="53"/>
      <c r="N220" s="884"/>
      <c r="O220" s="119"/>
      <c r="P220" s="119"/>
    </row>
    <row r="221" spans="1:27" s="36" customFormat="1" ht="10.5" customHeight="1">
      <c r="A221" s="35"/>
      <c r="B221" s="65" t="s">
        <v>1730</v>
      </c>
      <c r="C221" s="35"/>
      <c r="D221" s="65"/>
      <c r="E221" s="889"/>
      <c r="F221" s="889"/>
      <c r="G221" s="889"/>
      <c r="H221" s="889"/>
      <c r="I221" s="889"/>
      <c r="J221" s="889"/>
      <c r="K221" s="889"/>
      <c r="L221" s="889"/>
      <c r="M221" s="889"/>
      <c r="N221" s="55"/>
      <c r="O221" s="52"/>
      <c r="P221" s="119"/>
    </row>
    <row r="222" spans="1:27" s="36" customFormat="1" ht="11.25" customHeight="1">
      <c r="A222" s="3485"/>
      <c r="B222" s="3486"/>
      <c r="C222" s="3486"/>
      <c r="D222" s="3486"/>
      <c r="E222" s="3486"/>
      <c r="F222" s="3486"/>
      <c r="G222" s="3486"/>
      <c r="H222" s="3486"/>
      <c r="I222" s="3486"/>
      <c r="J222" s="3486"/>
      <c r="K222" s="3486"/>
      <c r="L222" s="3486"/>
      <c r="M222" s="3486"/>
      <c r="N222" s="3486"/>
      <c r="O222" s="3486"/>
      <c r="P222" s="3487"/>
      <c r="Q222" s="354"/>
    </row>
    <row r="223" spans="1:27" s="36" customFormat="1" ht="5.25" customHeight="1" thickBot="1">
      <c r="A223" s="35"/>
      <c r="D223" s="32"/>
      <c r="E223" s="29"/>
      <c r="F223" s="119"/>
      <c r="G223" s="119"/>
      <c r="H223" s="119"/>
      <c r="I223" s="119"/>
      <c r="J223" s="33"/>
      <c r="K223" s="33"/>
      <c r="L223" s="33"/>
      <c r="M223" s="31"/>
      <c r="N223" s="119"/>
      <c r="O223" s="24"/>
      <c r="P223" s="3"/>
    </row>
    <row r="224" spans="1:27" ht="13.5" customHeight="1" thickBot="1">
      <c r="A224" s="120" t="s">
        <v>343</v>
      </c>
      <c r="B224" s="121" t="s">
        <v>4040</v>
      </c>
      <c r="C224" s="44"/>
      <c r="G224" s="1625" t="s">
        <v>6257</v>
      </c>
      <c r="H224" s="1549" t="str">
        <f>IF(OR($M$34="9% Credit Competitive Round only", $M$34="9% Credit &amp; HOME"),"9%",IF(OR($M$34="4% Credit/TE Bond", $M$34="4% Credit/TE Bond &amp; HOME", $M$34="4% Credit/TE Bond &amp; HOME NOFA", $M$34="4% Credit &amp; NHTF", $M$34="4% Credit &amp; NHTF &amp; HOME"),"4%",""))</f>
        <v>4%</v>
      </c>
      <c r="J224" s="1625" t="s">
        <v>363</v>
      </c>
      <c r="K224" s="3594" t="str">
        <f>M54</f>
        <v>Preservation</v>
      </c>
      <c r="L224" s="3595"/>
      <c r="M224" s="119">
        <v>0</v>
      </c>
      <c r="N224" s="884"/>
      <c r="O224" s="868">
        <f>IF(O226+O227&gt;$M$224,"Choose",MIN($M$224,SUM(O226:O227)))</f>
        <v>0</v>
      </c>
      <c r="P224" s="868">
        <f>IF(P226+P227&gt;$M$224,"Choose",MIN($M$224,SUM(P226:P227)))</f>
        <v>0</v>
      </c>
      <c r="Q224" s="86" t="s">
        <v>416</v>
      </c>
      <c r="R224" s="867" t="str">
        <f>IF(AND(O224&gt;0,NOT($M$54="New Supply")), "Ineligible to score in this section, not New Supply!","")</f>
        <v/>
      </c>
    </row>
    <row r="225" spans="1:24" s="36" customFormat="1" ht="12" customHeight="1">
      <c r="A225" s="35"/>
      <c r="B225" s="1627" t="s">
        <v>6258</v>
      </c>
      <c r="D225" s="32"/>
      <c r="E225" s="29"/>
      <c r="F225" s="119"/>
      <c r="G225" s="893" t="s">
        <v>3156</v>
      </c>
      <c r="H225" s="1193">
        <f>IF('Part V-Revenues &amp; Expenses'!$P$67=0,0,'Part V-Revenues &amp; Expenses'!$P$64/'Part V-Revenues &amp; Expenses'!$P$67)</f>
        <v>0</v>
      </c>
      <c r="J225" s="370" t="s">
        <v>3965</v>
      </c>
      <c r="K225" s="3610" t="str">
        <f>'Part V-Revenues &amp; Expenses'!$O$53</f>
        <v>Income Averaging</v>
      </c>
      <c r="L225" s="3611"/>
      <c r="M225" s="31"/>
      <c r="N225" s="119"/>
      <c r="O225" s="24"/>
      <c r="P225" s="3"/>
    </row>
    <row r="226" spans="1:24" ht="12" customHeight="1">
      <c r="A226" s="686" t="s">
        <v>1842</v>
      </c>
      <c r="B226" s="67" t="s">
        <v>3963</v>
      </c>
      <c r="C226" s="44"/>
      <c r="E226" s="236" t="s">
        <v>3964</v>
      </c>
      <c r="M226" s="458">
        <v>1</v>
      </c>
      <c r="N226" s="48" t="s">
        <v>1842</v>
      </c>
      <c r="O226" s="1326">
        <v>0</v>
      </c>
      <c r="P226" s="1327"/>
      <c r="Q226" s="798" t="str">
        <f>IF(OR($O226=$M226,$O226=0,$O226=""),"","*CHECK!*")</f>
        <v/>
      </c>
      <c r="R226" s="795" t="s">
        <v>4064</v>
      </c>
    </row>
    <row r="227" spans="1:24" ht="12" customHeight="1">
      <c r="A227" s="686" t="s">
        <v>1844</v>
      </c>
      <c r="B227" s="67" t="s">
        <v>3818</v>
      </c>
      <c r="C227" s="44"/>
      <c r="E227" s="236" t="s">
        <v>4045</v>
      </c>
      <c r="M227" s="884">
        <v>1</v>
      </c>
      <c r="N227" s="48" t="s">
        <v>1844</v>
      </c>
      <c r="O227" s="407">
        <v>0</v>
      </c>
      <c r="P227" s="415"/>
      <c r="Q227" s="798" t="str">
        <f>IF(OR($O227=$M227,$O227=0,$O227=""),"","*CHECK!*")</f>
        <v/>
      </c>
      <c r="R227" s="795" t="s">
        <v>4064</v>
      </c>
    </row>
    <row r="228" spans="1:24" ht="2.25" customHeight="1">
      <c r="A228" s="400"/>
      <c r="B228" s="684"/>
      <c r="C228" s="44"/>
      <c r="M228" s="53"/>
      <c r="N228" s="884"/>
      <c r="O228" s="119"/>
      <c r="P228" s="119"/>
    </row>
    <row r="229" spans="1:24" s="36" customFormat="1" ht="11.25" customHeight="1">
      <c r="A229" s="35"/>
      <c r="B229" s="65" t="s">
        <v>1730</v>
      </c>
      <c r="C229" s="35"/>
      <c r="D229" s="65"/>
      <c r="E229" s="889"/>
      <c r="F229" s="889"/>
      <c r="G229" s="889"/>
      <c r="H229" s="889"/>
      <c r="I229" s="889"/>
      <c r="J229" s="889"/>
      <c r="K229" s="889"/>
      <c r="L229" s="889"/>
      <c r="M229" s="889"/>
      <c r="N229" s="55"/>
      <c r="O229" s="52"/>
      <c r="P229" s="119"/>
    </row>
    <row r="230" spans="1:24" s="36" customFormat="1" ht="11.25" customHeight="1">
      <c r="A230" s="3485"/>
      <c r="B230" s="3486"/>
      <c r="C230" s="3486"/>
      <c r="D230" s="3486"/>
      <c r="E230" s="3486"/>
      <c r="F230" s="3486"/>
      <c r="G230" s="3486"/>
      <c r="H230" s="3486"/>
      <c r="I230" s="3486"/>
      <c r="J230" s="3486"/>
      <c r="K230" s="3486"/>
      <c r="L230" s="3486"/>
      <c r="M230" s="3486"/>
      <c r="N230" s="3486"/>
      <c r="O230" s="3486"/>
      <c r="P230" s="3487"/>
      <c r="Q230" s="354"/>
    </row>
    <row r="231" spans="1:24" s="36" customFormat="1" ht="5.25" customHeight="1" thickBot="1">
      <c r="A231" s="35"/>
      <c r="D231" s="32"/>
      <c r="E231" s="29"/>
      <c r="F231" s="119"/>
      <c r="G231" s="119"/>
      <c r="H231" s="119"/>
      <c r="I231" s="119"/>
      <c r="J231" s="33"/>
      <c r="K231" s="33"/>
      <c r="L231" s="33"/>
      <c r="M231" s="31"/>
      <c r="N231" s="119"/>
      <c r="O231" s="24"/>
      <c r="P231" s="3"/>
    </row>
    <row r="232" spans="1:24" s="70" customFormat="1" ht="13.5" customHeight="1" thickBot="1">
      <c r="A232" s="120" t="s">
        <v>344</v>
      </c>
      <c r="B232" s="83" t="s">
        <v>3346</v>
      </c>
      <c r="D232" s="38"/>
      <c r="E232" s="38"/>
      <c r="G232" s="1627"/>
      <c r="H232" s="147"/>
      <c r="I232" s="147"/>
      <c r="J232" s="147"/>
      <c r="K232" s="147"/>
      <c r="L232" s="396" t="str">
        <f>IF(AND(O232&gt;0,NOT($M$54="New Supply")), "Ineligible to score in this section, not New Supply!","")</f>
        <v/>
      </c>
      <c r="M232" s="119">
        <f>IF(AND($P$36="4%",$M$54="New Supply"),$H$44,IF(AND($P$36="4%",$M$54="Preservation"),$I$44,$G$44))</f>
        <v>0</v>
      </c>
      <c r="N232" s="5"/>
      <c r="O232" s="868">
        <f>IF(OR(O168&gt;0,O190&gt;0,O204&gt;0),0,IF(OR(O234="Yes",O235="Yes"),$M$232,0))</f>
        <v>0</v>
      </c>
      <c r="P232" s="868">
        <f>IF(OR(P168&gt;0,P190&gt;0,P204&gt;0),0,IF(OR(P234="Yes",P235="Yes"),$M$232,0))</f>
        <v>0</v>
      </c>
      <c r="Q232" s="86" t="s">
        <v>416</v>
      </c>
      <c r="R232" s="1632"/>
      <c r="S232" s="1632"/>
      <c r="T232" s="1632"/>
      <c r="U232" s="1632"/>
      <c r="V232" s="1632"/>
    </row>
    <row r="233" spans="1:24" s="70" customFormat="1" ht="3" customHeight="1">
      <c r="A233" s="120"/>
      <c r="B233" s="83"/>
      <c r="D233" s="38"/>
      <c r="E233" s="38"/>
      <c r="G233" s="147"/>
      <c r="M233" s="456"/>
      <c r="Q233" s="86"/>
      <c r="R233" s="1632"/>
      <c r="S233" s="1632"/>
      <c r="T233" s="1632"/>
      <c r="U233" s="1632"/>
      <c r="V233" s="1632"/>
      <c r="W233" s="36"/>
      <c r="X233" s="36"/>
    </row>
    <row r="234" spans="1:24" ht="11.25" customHeight="1">
      <c r="A234" s="686" t="s">
        <v>1842</v>
      </c>
      <c r="B234" s="887" t="s">
        <v>3266</v>
      </c>
      <c r="D234" s="372"/>
      <c r="E234" s="372"/>
      <c r="F234" s="372"/>
      <c r="G234" s="372"/>
      <c r="H234" s="372"/>
      <c r="L234" s="372"/>
      <c r="M234" s="3601" t="str">
        <f>IF(AND(O234="Yes",O235="Yes"),"Only one category can be selected!","")</f>
        <v/>
      </c>
      <c r="N234" s="48" t="s">
        <v>1842</v>
      </c>
      <c r="O234" s="175" t="s">
        <v>6926</v>
      </c>
      <c r="P234" s="419"/>
      <c r="Q234" s="808"/>
      <c r="R234" s="1632"/>
      <c r="S234" s="1632"/>
      <c r="T234" s="1632"/>
      <c r="U234" s="1632"/>
      <c r="V234" s="1632"/>
    </row>
    <row r="235" spans="1:24" ht="11.25" customHeight="1">
      <c r="A235" s="686" t="s">
        <v>1844</v>
      </c>
      <c r="B235" s="887" t="s">
        <v>3267</v>
      </c>
      <c r="D235" s="372"/>
      <c r="L235" s="372"/>
      <c r="M235" s="3601"/>
      <c r="N235" s="48" t="s">
        <v>1844</v>
      </c>
      <c r="O235" s="176" t="s">
        <v>6926</v>
      </c>
      <c r="P235" s="421"/>
      <c r="Q235" s="808"/>
      <c r="R235" s="1632"/>
      <c r="S235" s="1632"/>
      <c r="T235" s="1632"/>
      <c r="U235" s="1632"/>
      <c r="V235" s="1632"/>
    </row>
    <row r="236" spans="1:24" s="36" customFormat="1" ht="10.5" customHeight="1" thickBot="1">
      <c r="A236" s="35"/>
      <c r="B236" s="939" t="s">
        <v>3244</v>
      </c>
      <c r="C236" s="35"/>
      <c r="D236" s="41"/>
      <c r="E236" s="41"/>
      <c r="F236" s="41"/>
      <c r="G236" s="41"/>
      <c r="H236" s="29"/>
      <c r="I236" s="29"/>
      <c r="J236" s="29"/>
      <c r="K236" s="29"/>
      <c r="M236" s="39"/>
      <c r="N236" s="47"/>
      <c r="O236" s="3"/>
      <c r="P236" s="24"/>
      <c r="R236" s="1632"/>
      <c r="S236" s="1632"/>
      <c r="T236" s="1632"/>
      <c r="U236" s="1632"/>
      <c r="V236" s="1632"/>
    </row>
    <row r="237" spans="1:24" s="36" customFormat="1" ht="34.9" customHeight="1" thickTop="1" thickBot="1">
      <c r="A237" s="3534" t="s">
        <v>6950</v>
      </c>
      <c r="B237" s="3535"/>
      <c r="C237" s="3535"/>
      <c r="D237" s="3535"/>
      <c r="E237" s="3535"/>
      <c r="F237" s="3535"/>
      <c r="G237" s="3535"/>
      <c r="H237" s="3535"/>
      <c r="I237" s="3535"/>
      <c r="J237" s="3535"/>
      <c r="K237" s="3535"/>
      <c r="L237" s="3535"/>
      <c r="M237" s="3535"/>
      <c r="N237" s="3535"/>
      <c r="O237" s="3535"/>
      <c r="P237" s="3536"/>
      <c r="Q237" s="355" t="s">
        <v>1181</v>
      </c>
    </row>
    <row r="238" spans="1:24" s="36" customFormat="1" ht="10.5" customHeight="1" thickTop="1">
      <c r="A238" s="35"/>
      <c r="B238" s="65" t="s">
        <v>1730</v>
      </c>
      <c r="C238" s="35"/>
      <c r="D238" s="65"/>
      <c r="E238" s="889"/>
      <c r="F238" s="889"/>
      <c r="G238" s="889"/>
      <c r="H238" s="889"/>
      <c r="I238" s="889"/>
      <c r="J238" s="889"/>
      <c r="K238" s="889"/>
      <c r="L238" s="889"/>
      <c r="M238" s="889"/>
      <c r="N238" s="55"/>
      <c r="O238" s="52"/>
      <c r="P238" s="119"/>
    </row>
    <row r="239" spans="1:24" s="36" customFormat="1" ht="11.25" customHeight="1">
      <c r="A239" s="3485"/>
      <c r="B239" s="3486"/>
      <c r="C239" s="3486"/>
      <c r="D239" s="3486"/>
      <c r="E239" s="3486"/>
      <c r="F239" s="3486"/>
      <c r="G239" s="3486"/>
      <c r="H239" s="3486"/>
      <c r="I239" s="3486"/>
      <c r="J239" s="3486"/>
      <c r="K239" s="3486"/>
      <c r="L239" s="3486"/>
      <c r="M239" s="3486"/>
      <c r="N239" s="3486"/>
      <c r="O239" s="3486"/>
      <c r="P239" s="3487"/>
      <c r="Q239" s="354"/>
    </row>
    <row r="240" spans="1:24" s="36" customFormat="1" ht="5.25" customHeight="1" thickBot="1">
      <c r="A240" s="35"/>
      <c r="D240" s="32"/>
      <c r="E240" s="29"/>
      <c r="F240" s="119"/>
      <c r="G240" s="119"/>
      <c r="H240" s="119"/>
      <c r="I240" s="119"/>
      <c r="J240" s="33"/>
      <c r="K240" s="33"/>
      <c r="L240" s="33"/>
      <c r="M240" s="31"/>
      <c r="N240" s="119"/>
      <c r="O240" s="24"/>
      <c r="P240" s="3"/>
    </row>
    <row r="241" spans="1:27" s="36" customFormat="1" ht="13.5" customHeight="1" thickBot="1">
      <c r="A241" s="120" t="s">
        <v>1605</v>
      </c>
      <c r="B241" s="83" t="s">
        <v>4042</v>
      </c>
      <c r="D241" s="34"/>
      <c r="E241" s="1958" t="str">
        <f>IF(AND(O241&gt;0,NOT($M$54="New Supply")), "Ineligible to score in this section, not New Supply!","")</f>
        <v/>
      </c>
      <c r="F241" s="34"/>
      <c r="G241" s="34"/>
      <c r="H241" s="34"/>
      <c r="I241" s="34"/>
      <c r="J241" s="34"/>
      <c r="K241" s="34"/>
      <c r="L241" s="1915" t="str">
        <f>IF(AND(O241&gt;0, NOT(O242="Yes")), "These points are only available to Phased Developments!", "")</f>
        <v/>
      </c>
      <c r="M241" s="119">
        <v>0</v>
      </c>
      <c r="N241" s="5"/>
      <c r="O241" s="1665"/>
      <c r="P241" s="885"/>
      <c r="Q241" s="86" t="s">
        <v>416</v>
      </c>
      <c r="R241" s="795" t="s">
        <v>4064</v>
      </c>
      <c r="S241" s="839"/>
      <c r="T241" s="839"/>
      <c r="U241" s="839"/>
      <c r="V241" s="839"/>
      <c r="W241" s="860"/>
      <c r="X241" s="860"/>
    </row>
    <row r="242" spans="1:27" s="79" customFormat="1" ht="11.25">
      <c r="A242" s="350"/>
      <c r="B242" s="108" t="s">
        <v>6265</v>
      </c>
      <c r="C242" s="108"/>
      <c r="D242" s="108"/>
      <c r="E242" s="108"/>
      <c r="F242" s="108"/>
      <c r="G242" s="108"/>
      <c r="H242" s="108"/>
      <c r="I242" s="108"/>
      <c r="J242" s="108"/>
      <c r="K242" s="108"/>
      <c r="L242" s="108"/>
      <c r="M242" s="108"/>
      <c r="N242" s="128"/>
      <c r="O242" s="907" t="s">
        <v>6926</v>
      </c>
      <c r="P242" s="908"/>
      <c r="Q242" s="1644"/>
      <c r="R242" s="457"/>
      <c r="S242" s="457"/>
      <c r="T242" s="457"/>
      <c r="U242" s="457"/>
      <c r="V242" s="457"/>
      <c r="W242" s="457"/>
      <c r="X242" s="457"/>
      <c r="Y242" s="457"/>
      <c r="Z242" s="457"/>
      <c r="AA242" s="457"/>
    </row>
    <row r="243" spans="1:27" s="32" customFormat="1" ht="11.25" customHeight="1">
      <c r="A243" s="306"/>
      <c r="B243" s="350" t="s">
        <v>1845</v>
      </c>
      <c r="C243" s="29" t="s">
        <v>6266</v>
      </c>
      <c r="E243" s="33" t="s">
        <v>3314</v>
      </c>
      <c r="G243" s="1645"/>
      <c r="H243" s="48" t="s">
        <v>574</v>
      </c>
      <c r="I243" s="3730"/>
      <c r="J243" s="3730"/>
      <c r="L243" s="1664" t="s">
        <v>6268</v>
      </c>
      <c r="M243" s="3731"/>
      <c r="N243" s="3731"/>
    </row>
    <row r="244" spans="1:27" s="32" customFormat="1" ht="11.25" customHeight="1">
      <c r="A244" s="306"/>
      <c r="B244" s="350" t="s">
        <v>1847</v>
      </c>
      <c r="C244" s="29" t="s">
        <v>6267</v>
      </c>
      <c r="E244" s="33" t="s">
        <v>3314</v>
      </c>
      <c r="G244" s="1646"/>
      <c r="H244" s="48" t="s">
        <v>574</v>
      </c>
      <c r="I244" s="3602"/>
      <c r="J244" s="3602"/>
      <c r="L244" s="1664" t="s">
        <v>6268</v>
      </c>
      <c r="M244" s="3609"/>
      <c r="N244" s="3609"/>
    </row>
    <row r="245" spans="1:27" s="36" customFormat="1" ht="5.25" customHeight="1">
      <c r="A245" s="35"/>
      <c r="D245" s="32"/>
      <c r="E245" s="29"/>
      <c r="F245" s="119"/>
      <c r="G245" s="119"/>
      <c r="H245" s="119"/>
      <c r="I245" s="119"/>
      <c r="J245" s="33"/>
      <c r="K245" s="33"/>
      <c r="L245" s="33"/>
      <c r="M245" s="31"/>
      <c r="N245" s="119"/>
      <c r="O245" s="24"/>
      <c r="P245" s="3"/>
    </row>
    <row r="246" spans="1:27" s="36" customFormat="1" ht="10.5" customHeight="1" thickBot="1">
      <c r="A246" s="35"/>
      <c r="B246" s="939" t="s">
        <v>3244</v>
      </c>
      <c r="C246" s="35"/>
      <c r="D246" s="41"/>
      <c r="E246" s="41"/>
      <c r="F246" s="41"/>
      <c r="G246" s="41"/>
      <c r="H246" s="29"/>
      <c r="I246" s="29"/>
      <c r="J246" s="29"/>
      <c r="K246" s="29"/>
      <c r="M246" s="39"/>
      <c r="N246" s="47"/>
      <c r="O246" s="3"/>
      <c r="P246" s="24"/>
    </row>
    <row r="247" spans="1:27" s="36" customFormat="1" ht="21.75" customHeight="1" thickTop="1" thickBot="1">
      <c r="A247" s="3534" t="s">
        <v>6950</v>
      </c>
      <c r="B247" s="3535"/>
      <c r="C247" s="3535"/>
      <c r="D247" s="3535"/>
      <c r="E247" s="3535"/>
      <c r="F247" s="3535"/>
      <c r="G247" s="3535"/>
      <c r="H247" s="3535"/>
      <c r="I247" s="3535"/>
      <c r="J247" s="3535"/>
      <c r="K247" s="3535"/>
      <c r="L247" s="3535"/>
      <c r="M247" s="3535"/>
      <c r="N247" s="3535"/>
      <c r="O247" s="3535"/>
      <c r="P247" s="3536"/>
      <c r="Q247" s="355" t="s">
        <v>1181</v>
      </c>
    </row>
    <row r="248" spans="1:27" s="36" customFormat="1" ht="10.5" customHeight="1" thickTop="1">
      <c r="B248" s="65" t="s">
        <v>1730</v>
      </c>
      <c r="C248" s="77"/>
      <c r="D248" s="65"/>
      <c r="E248" s="78"/>
      <c r="F248" s="889"/>
      <c r="G248" s="889"/>
      <c r="H248" s="889"/>
      <c r="I248" s="889"/>
      <c r="J248" s="889"/>
      <c r="K248" s="889"/>
      <c r="L248" s="889"/>
      <c r="M248" s="889"/>
      <c r="N248" s="55"/>
      <c r="O248" s="52"/>
      <c r="P248" s="119"/>
    </row>
    <row r="249" spans="1:27" s="36" customFormat="1" ht="11.25" customHeight="1">
      <c r="A249" s="3386"/>
      <c r="B249" s="3387"/>
      <c r="C249" s="3387"/>
      <c r="D249" s="3387"/>
      <c r="E249" s="3387"/>
      <c r="F249" s="3387"/>
      <c r="G249" s="3387"/>
      <c r="H249" s="3387"/>
      <c r="I249" s="3387"/>
      <c r="J249" s="3387"/>
      <c r="K249" s="3387"/>
      <c r="L249" s="3387"/>
      <c r="M249" s="3387"/>
      <c r="N249" s="3387"/>
      <c r="O249" s="3387"/>
      <c r="P249" s="3388"/>
      <c r="Q249" s="354"/>
    </row>
    <row r="250" spans="1:27" s="36" customFormat="1" ht="5.25" customHeight="1" thickBot="1">
      <c r="A250" s="35"/>
      <c r="D250" s="32"/>
      <c r="E250" s="29"/>
      <c r="F250" s="119"/>
      <c r="G250" s="119"/>
      <c r="H250" s="119"/>
      <c r="I250" s="119"/>
      <c r="J250" s="33"/>
      <c r="K250" s="33"/>
      <c r="L250" s="33"/>
      <c r="M250" s="31"/>
      <c r="N250" s="119"/>
      <c r="O250" s="24"/>
      <c r="P250" s="3"/>
    </row>
    <row r="251" spans="1:27" s="36" customFormat="1" ht="13.5" customHeight="1" thickBot="1">
      <c r="A251" s="120" t="s">
        <v>2498</v>
      </c>
      <c r="B251" s="83" t="s">
        <v>3966</v>
      </c>
      <c r="D251" s="34"/>
      <c r="E251" s="44" t="s">
        <v>6274</v>
      </c>
      <c r="G251" s="46"/>
      <c r="L251" s="396" t="str">
        <f>IF(AND(O251&gt;0,NOT($M$54="New Supply")), "Ineligible to score in this section, not New Supply!","")</f>
        <v/>
      </c>
      <c r="M251" s="119">
        <v>0</v>
      </c>
      <c r="N251" s="5"/>
      <c r="O251" s="868">
        <f>MIN($M251,MAX(O252,O253,O254))</f>
        <v>0</v>
      </c>
      <c r="P251" s="868">
        <f>MIN($M251,MAX(P252,P253,P254))</f>
        <v>0</v>
      </c>
      <c r="Q251" s="86" t="s">
        <v>416</v>
      </c>
      <c r="R251" s="795" t="s">
        <v>4064</v>
      </c>
      <c r="S251" s="1647"/>
      <c r="T251" s="1647"/>
      <c r="U251" s="1647"/>
      <c r="V251" s="1647"/>
      <c r="W251" s="860"/>
      <c r="X251" s="860"/>
    </row>
    <row r="252" spans="1:27" s="26" customFormat="1" ht="11.25" customHeight="1">
      <c r="A252" s="107" t="s">
        <v>1842</v>
      </c>
      <c r="B252" s="141" t="s">
        <v>6273</v>
      </c>
      <c r="M252" s="458">
        <v>5</v>
      </c>
      <c r="N252" s="48" t="s">
        <v>1842</v>
      </c>
      <c r="O252" s="1648">
        <v>0</v>
      </c>
      <c r="P252" s="903"/>
      <c r="Q252" s="798" t="str">
        <f>IF(OR($O252=$M252,$O252=$M252-1,$O252=0,$O252=""),"","*CHECK!*")</f>
        <v/>
      </c>
      <c r="R252" s="795" t="s">
        <v>4064</v>
      </c>
      <c r="S252" s="1647"/>
      <c r="T252" s="1647"/>
      <c r="U252" s="1647"/>
      <c r="V252" s="1647"/>
    </row>
    <row r="253" spans="1:27" s="26" customFormat="1" ht="11.25" customHeight="1">
      <c r="A253" s="107" t="s">
        <v>1844</v>
      </c>
      <c r="B253" s="141" t="s">
        <v>6275</v>
      </c>
      <c r="M253" s="458">
        <v>3</v>
      </c>
      <c r="N253" s="48" t="s">
        <v>1844</v>
      </c>
      <c r="O253" s="406">
        <v>0</v>
      </c>
      <c r="P253" s="414"/>
      <c r="Q253" s="798" t="str">
        <f>IF(OR($O253=$M253,$O253=$M253-1,$O253=0,$O253=""),"","*CHECK!*")</f>
        <v/>
      </c>
      <c r="R253" s="795" t="s">
        <v>4064</v>
      </c>
    </row>
    <row r="254" spans="1:27">
      <c r="A254" s="107" t="s">
        <v>698</v>
      </c>
      <c r="B254" s="141" t="s">
        <v>6276</v>
      </c>
      <c r="E254" s="33" t="s">
        <v>6238</v>
      </c>
      <c r="I254" s="1324"/>
      <c r="L254" s="1606"/>
      <c r="M254" s="458">
        <v>3</v>
      </c>
      <c r="N254" s="48" t="s">
        <v>698</v>
      </c>
      <c r="O254" s="407">
        <v>0</v>
      </c>
      <c r="P254" s="415"/>
      <c r="Q254" s="798" t="str">
        <f>IF(OR($O254=$M254,$O254=$M254-1,$O254=0,$O254=""),"","*CHECK!*")</f>
        <v/>
      </c>
      <c r="R254" s="795" t="s">
        <v>4064</v>
      </c>
    </row>
    <row r="255" spans="1:27" s="36" customFormat="1" ht="10.5" customHeight="1" thickBot="1">
      <c r="A255" s="35"/>
      <c r="B255" s="939" t="s">
        <v>3244</v>
      </c>
      <c r="C255" s="35"/>
      <c r="D255" s="41"/>
      <c r="E255" s="41"/>
      <c r="F255" s="41"/>
      <c r="G255" s="41"/>
      <c r="H255" s="29"/>
      <c r="I255" s="29"/>
      <c r="J255" s="29"/>
      <c r="K255" s="29"/>
      <c r="M255" s="39"/>
      <c r="N255" s="47"/>
      <c r="O255" s="3"/>
      <c r="P255" s="24"/>
    </row>
    <row r="256" spans="1:27" s="36" customFormat="1" ht="21.75" customHeight="1" thickTop="1" thickBot="1">
      <c r="A256" s="3534" t="s">
        <v>6950</v>
      </c>
      <c r="B256" s="3535"/>
      <c r="C256" s="3535"/>
      <c r="D256" s="3535"/>
      <c r="E256" s="3535"/>
      <c r="F256" s="3535"/>
      <c r="G256" s="3535"/>
      <c r="H256" s="3535"/>
      <c r="I256" s="3535"/>
      <c r="J256" s="3535"/>
      <c r="K256" s="3535"/>
      <c r="L256" s="3535"/>
      <c r="M256" s="3535"/>
      <c r="N256" s="3535"/>
      <c r="O256" s="3535"/>
      <c r="P256" s="3536"/>
      <c r="Q256" s="355" t="s">
        <v>1181</v>
      </c>
    </row>
    <row r="257" spans="1:21" s="36" customFormat="1" ht="10.5" customHeight="1" thickTop="1">
      <c r="B257" s="65" t="s">
        <v>1730</v>
      </c>
      <c r="C257" s="77"/>
      <c r="D257" s="65"/>
      <c r="E257" s="78"/>
      <c r="F257" s="889"/>
      <c r="G257" s="889"/>
      <c r="H257" s="889"/>
      <c r="I257" s="889"/>
      <c r="J257" s="889"/>
      <c r="K257" s="889"/>
      <c r="L257" s="889"/>
      <c r="M257" s="889"/>
      <c r="N257" s="55"/>
      <c r="O257" s="52"/>
      <c r="P257" s="119"/>
    </row>
    <row r="258" spans="1:21" s="36" customFormat="1" ht="11.25" customHeight="1">
      <c r="A258" s="3386"/>
      <c r="B258" s="3387"/>
      <c r="C258" s="3387"/>
      <c r="D258" s="3387"/>
      <c r="E258" s="3387"/>
      <c r="F258" s="3387"/>
      <c r="G258" s="3387"/>
      <c r="H258" s="3387"/>
      <c r="I258" s="3387"/>
      <c r="J258" s="3387"/>
      <c r="K258" s="3387"/>
      <c r="L258" s="3387"/>
      <c r="M258" s="3387"/>
      <c r="N258" s="3387"/>
      <c r="O258" s="3387"/>
      <c r="P258" s="3388"/>
      <c r="Q258" s="354"/>
    </row>
    <row r="259" spans="1:21" ht="6" customHeight="1" thickBot="1">
      <c r="T259" s="845"/>
      <c r="U259" s="845"/>
    </row>
    <row r="260" spans="1:21" s="36" customFormat="1" ht="13.5" customHeight="1" thickBot="1">
      <c r="A260" s="121" t="s">
        <v>2081</v>
      </c>
      <c r="B260" s="83" t="s">
        <v>2518</v>
      </c>
      <c r="D260" s="34"/>
      <c r="E260" s="34"/>
      <c r="F260" s="34"/>
      <c r="H260" s="33"/>
      <c r="J260" s="893"/>
      <c r="K260" s="41"/>
      <c r="L260" s="48" t="s">
        <v>4065</v>
      </c>
      <c r="M260" s="119">
        <v>4</v>
      </c>
      <c r="N260" s="5"/>
      <c r="O260" s="868">
        <f>IF(AND(O261&gt;0,O265&gt;0),"AorB?",MIN($M260,SUM(O261,O265,O267)))</f>
        <v>4</v>
      </c>
      <c r="P260" s="868">
        <f>IF(AND(P261&gt;0,P265&gt;0),"AorB?",MIN($M260,SUM(P261,P265,P267)))</f>
        <v>0</v>
      </c>
      <c r="Q260" s="86" t="s">
        <v>416</v>
      </c>
      <c r="T260" s="845"/>
      <c r="U260" s="845"/>
    </row>
    <row r="261" spans="1:21" s="70" customFormat="1" ht="11.25" customHeight="1">
      <c r="A261" s="107" t="s">
        <v>1842</v>
      </c>
      <c r="B261" s="141" t="s">
        <v>2066</v>
      </c>
      <c r="D261" s="46"/>
      <c r="E261" s="46"/>
      <c r="F261" s="37"/>
      <c r="G261"/>
      <c r="L261" s="307"/>
      <c r="M261" s="458">
        <v>3</v>
      </c>
      <c r="N261" s="48" t="s">
        <v>1842</v>
      </c>
      <c r="O261" s="1194">
        <f>IF(OR(AND(O262="Yes",O263="Yes",O264="Yes"),AND(O262="Yes",O264="Yes"),AND(O263="Yes",O264="Yes"),AND(O262="Yes",O263="Yes")),"choose",IF(O262="Yes",$M$262,IF(O263="Yes",$M$263, IF(O264="Yes",$M$264,0))))</f>
        <v>3</v>
      </c>
      <c r="P261" s="1194">
        <f>IF(OR(AND(P262="Yes",P263="Yes",P264="Yes"),AND(P262="Yes",P264="Yes"),AND(P263="Yes",P264="Yes"),AND(P262="Yes",P263="Yes")),"choose",IF(P262="Yes",$M$262,IF(P263="Yes",$M$263, IF(P264="Yes",$M$264,0))))</f>
        <v>0</v>
      </c>
      <c r="Q261" s="798"/>
      <c r="R261" s="867"/>
      <c r="T261" s="845"/>
      <c r="U261" s="845"/>
    </row>
    <row r="262" spans="1:21" s="70" customFormat="1" ht="11.25" customHeight="1">
      <c r="A262" s="107"/>
      <c r="B262" s="306" t="s">
        <v>1845</v>
      </c>
      <c r="C262" s="33" t="s">
        <v>6622</v>
      </c>
      <c r="D262" s="46"/>
      <c r="E262" s="46"/>
      <c r="F262" s="37"/>
      <c r="G262"/>
      <c r="L262" s="307"/>
      <c r="M262" s="458">
        <v>3</v>
      </c>
      <c r="N262" s="150" t="s">
        <v>1845</v>
      </c>
      <c r="O262" s="175" t="s">
        <v>2652</v>
      </c>
      <c r="P262" s="419"/>
      <c r="Q262" s="798"/>
      <c r="R262" s="867"/>
      <c r="T262" s="845"/>
      <c r="U262" s="845"/>
    </row>
    <row r="263" spans="1:21" s="70" customFormat="1" ht="11.25" customHeight="1">
      <c r="A263" s="107"/>
      <c r="B263" s="350" t="s">
        <v>1847</v>
      </c>
      <c r="C263" s="33" t="s">
        <v>6623</v>
      </c>
      <c r="D263" s="46"/>
      <c r="E263" s="46"/>
      <c r="F263" s="37"/>
      <c r="G263"/>
      <c r="L263" s="307"/>
      <c r="M263" s="458">
        <v>2</v>
      </c>
      <c r="N263" s="150" t="s">
        <v>1847</v>
      </c>
      <c r="O263" s="299" t="s">
        <v>6926</v>
      </c>
      <c r="P263" s="420"/>
      <c r="Q263" s="798"/>
      <c r="R263" s="867"/>
      <c r="T263" s="845"/>
      <c r="U263" s="845"/>
    </row>
    <row r="264" spans="1:21" s="70" customFormat="1" ht="10.5" customHeight="1">
      <c r="A264" s="107"/>
      <c r="B264" s="350" t="s">
        <v>2333</v>
      </c>
      <c r="C264" s="33" t="s">
        <v>6624</v>
      </c>
      <c r="D264" s="46"/>
      <c r="E264" s="46"/>
      <c r="F264" s="37"/>
      <c r="G264"/>
      <c r="K264" s="48"/>
      <c r="M264" s="458">
        <v>1</v>
      </c>
      <c r="N264" s="150" t="s">
        <v>2333</v>
      </c>
      <c r="O264" s="176" t="s">
        <v>6926</v>
      </c>
      <c r="P264" s="421"/>
      <c r="R264" s="236"/>
      <c r="T264" s="845"/>
      <c r="U264" s="845"/>
    </row>
    <row r="265" spans="1:21" s="36" customFormat="1" ht="11.25" customHeight="1">
      <c r="A265" s="107" t="s">
        <v>1844</v>
      </c>
      <c r="B265" s="141" t="s">
        <v>3958</v>
      </c>
      <c r="D265" s="32"/>
      <c r="K265" s="29"/>
      <c r="L265" s="307" t="str">
        <f>IF(OR($O265=$M265,$O265=0,$O265=""),"","* * Check Score! * *")</f>
        <v/>
      </c>
      <c r="M265" s="458">
        <v>1</v>
      </c>
      <c r="N265" s="48" t="s">
        <v>1844</v>
      </c>
      <c r="O265" s="906">
        <f>IF(O266="Yes",$M$265,0)</f>
        <v>0</v>
      </c>
      <c r="P265" s="906">
        <f>IF(P266="Yes",$M$265,0)</f>
        <v>0</v>
      </c>
      <c r="Q265" s="798" t="str">
        <f>IF(OR($O265=$M265,$O265=0,$O265=""),"","*CHECK!*")</f>
        <v/>
      </c>
      <c r="R265" s="867"/>
      <c r="T265" s="845"/>
      <c r="U265" s="845"/>
    </row>
    <row r="266" spans="1:21" s="36" customFormat="1" ht="12" customHeight="1">
      <c r="A266" s="121"/>
      <c r="B266" s="3375" t="s">
        <v>6625</v>
      </c>
      <c r="C266" s="3375"/>
      <c r="D266" s="3375"/>
      <c r="E266" s="3375"/>
      <c r="F266" s="3375"/>
      <c r="G266" s="3375"/>
      <c r="H266" s="3375"/>
      <c r="I266" s="3375"/>
      <c r="J266" s="3375"/>
      <c r="K266" s="3375"/>
      <c r="L266" s="3375"/>
      <c r="M266" s="5"/>
      <c r="N266" s="48"/>
      <c r="O266" s="940" t="s">
        <v>6926</v>
      </c>
      <c r="P266" s="941"/>
      <c r="Q266" s="236"/>
      <c r="R266" s="307"/>
      <c r="T266" s="845"/>
      <c r="U266" s="845"/>
    </row>
    <row r="267" spans="1:21" s="36" customFormat="1" ht="11.25" customHeight="1">
      <c r="A267" s="107" t="s">
        <v>698</v>
      </c>
      <c r="B267" s="141" t="s">
        <v>3830</v>
      </c>
      <c r="D267" s="32"/>
      <c r="H267" s="147"/>
      <c r="K267" s="29"/>
      <c r="L267" s="307"/>
      <c r="M267" s="458">
        <v>1</v>
      </c>
      <c r="N267" s="48" t="s">
        <v>698</v>
      </c>
      <c r="O267" s="906">
        <f>IF(O261=0,0,IF(O268="Yes",$M$267,0))</f>
        <v>1</v>
      </c>
      <c r="P267" s="906">
        <f>IF(P261=0,0,IF(P268="Yes",$M$267,0))</f>
        <v>0</v>
      </c>
      <c r="Q267" s="798" t="str">
        <f>IF(OR($O267=$M267,$O267=0,$O267=""),"","*CHECK!*")</f>
        <v/>
      </c>
      <c r="R267" s="867"/>
      <c r="T267" s="845"/>
      <c r="U267" s="845"/>
    </row>
    <row r="268" spans="1:21" s="36" customFormat="1" ht="33.75" customHeight="1">
      <c r="B268" s="3218" t="s">
        <v>6626</v>
      </c>
      <c r="C268" s="3218"/>
      <c r="D268" s="3218"/>
      <c r="E268" s="3218"/>
      <c r="F268" s="3218"/>
      <c r="G268" s="3218"/>
      <c r="H268" s="3218"/>
      <c r="I268" s="3218"/>
      <c r="J268" s="3218"/>
      <c r="K268" s="3218"/>
      <c r="L268" s="3218"/>
      <c r="M268" s="5"/>
      <c r="N268" s="48"/>
      <c r="O268" s="898" t="s">
        <v>2652</v>
      </c>
      <c r="P268" s="897"/>
      <c r="Q268" s="236"/>
      <c r="R268" s="307"/>
      <c r="T268" s="845"/>
      <c r="U268" s="845"/>
    </row>
    <row r="269" spans="1:21" s="36" customFormat="1" ht="22.5" customHeight="1">
      <c r="B269" s="3218" t="s">
        <v>6239</v>
      </c>
      <c r="C269" s="3218"/>
      <c r="D269" s="3218"/>
      <c r="E269" s="3218"/>
      <c r="F269" s="3218"/>
      <c r="G269" s="3218"/>
      <c r="H269" s="3218"/>
      <c r="I269" s="3218"/>
      <c r="J269" s="3218"/>
      <c r="K269" s="3218"/>
      <c r="L269" s="3218"/>
      <c r="M269" s="5"/>
      <c r="N269" s="5"/>
      <c r="O269" s="5"/>
      <c r="P269" s="5"/>
      <c r="Q269" s="236"/>
      <c r="R269" s="307"/>
      <c r="T269" s="845"/>
      <c r="U269" s="845"/>
    </row>
    <row r="270" spans="1:21" s="36" customFormat="1" ht="10.5" customHeight="1">
      <c r="A270" s="35"/>
      <c r="B270" s="65" t="s">
        <v>1730</v>
      </c>
      <c r="C270" s="77"/>
      <c r="D270" s="65"/>
      <c r="E270" s="78"/>
      <c r="F270" s="889"/>
      <c r="G270" s="889"/>
      <c r="H270" s="889"/>
      <c r="I270" s="889"/>
      <c r="J270" s="889"/>
      <c r="K270" s="889"/>
      <c r="L270" s="889"/>
      <c r="M270" s="889"/>
      <c r="N270" s="55"/>
      <c r="O270" s="52"/>
      <c r="P270" s="119"/>
    </row>
    <row r="271" spans="1:21" s="36" customFormat="1" ht="11.25" customHeight="1">
      <c r="A271" s="3386"/>
      <c r="B271" s="3387"/>
      <c r="C271" s="3387"/>
      <c r="D271" s="3387"/>
      <c r="E271" s="3387"/>
      <c r="F271" s="3387"/>
      <c r="G271" s="3387"/>
      <c r="H271" s="3387"/>
      <c r="I271" s="3387"/>
      <c r="J271" s="3387"/>
      <c r="K271" s="3387"/>
      <c r="L271" s="3387"/>
      <c r="M271" s="3387"/>
      <c r="N271" s="3387"/>
      <c r="O271" s="3387"/>
      <c r="P271" s="3388"/>
      <c r="Q271" s="354"/>
    </row>
    <row r="272" spans="1:21" s="36" customFormat="1" ht="5.25" customHeight="1" thickBot="1">
      <c r="A272" s="35"/>
      <c r="D272" s="32"/>
      <c r="E272" s="29"/>
      <c r="F272" s="119"/>
      <c r="G272" s="119"/>
      <c r="H272" s="119"/>
      <c r="I272" s="119"/>
      <c r="J272" s="33"/>
      <c r="K272" s="33"/>
      <c r="L272" s="33"/>
      <c r="M272" s="31"/>
      <c r="N272" s="119"/>
      <c r="O272" s="24"/>
      <c r="P272" s="24"/>
    </row>
    <row r="273" spans="1:24" s="70" customFormat="1" ht="13.5" customHeight="1" thickBot="1">
      <c r="A273" s="120" t="s">
        <v>3374</v>
      </c>
      <c r="B273" s="83" t="s">
        <v>6582</v>
      </c>
      <c r="D273" s="38"/>
      <c r="E273" s="38"/>
      <c r="G273" s="1627"/>
      <c r="H273" s="147"/>
      <c r="I273" s="1625" t="s">
        <v>6147</v>
      </c>
      <c r="J273" s="1944" t="str">
        <f>M59</f>
        <v>N/A-4%</v>
      </c>
      <c r="K273" s="147"/>
      <c r="L273" s="396"/>
      <c r="M273" s="119">
        <v>2</v>
      </c>
      <c r="N273" s="5"/>
      <c r="O273" s="868">
        <f>IF(AND(O275="Yes",O276="Yes"),"Choose",IF(O275="Yes",$M$275,IF(O276="Yes",$M$276,0)))</f>
        <v>2</v>
      </c>
      <c r="P273" s="868">
        <f>IF(AND(P275="Yes",P276="Yes"),"Choose",IF(P275="Yes",$M$275,IF(P276="Yes",$M$276,0)))</f>
        <v>0</v>
      </c>
      <c r="Q273" s="86" t="s">
        <v>416</v>
      </c>
      <c r="R273" s="1632"/>
      <c r="S273" s="1632"/>
      <c r="T273" s="1632"/>
      <c r="U273" s="1632"/>
      <c r="V273" s="1632"/>
    </row>
    <row r="274" spans="1:24" s="70" customFormat="1" ht="3" customHeight="1">
      <c r="A274" s="120"/>
      <c r="B274" s="83"/>
      <c r="D274" s="38"/>
      <c r="E274" s="38"/>
      <c r="G274" s="147"/>
      <c r="M274" s="456"/>
      <c r="Q274" s="86"/>
      <c r="R274" s="1632"/>
      <c r="S274" s="1632"/>
      <c r="T274" s="1632"/>
      <c r="U274" s="1632"/>
      <c r="V274" s="1632"/>
      <c r="W274" s="36"/>
      <c r="X274" s="36"/>
    </row>
    <row r="275" spans="1:24" ht="11.25" customHeight="1">
      <c r="A275" s="686" t="s">
        <v>1842</v>
      </c>
      <c r="B275" s="887" t="s">
        <v>6583</v>
      </c>
      <c r="D275" s="372"/>
      <c r="E275" s="372"/>
      <c r="F275" s="372"/>
      <c r="G275" s="372"/>
      <c r="H275" s="372"/>
      <c r="L275" s="372"/>
      <c r="M275" s="884">
        <v>1</v>
      </c>
      <c r="N275" s="48" t="s">
        <v>1842</v>
      </c>
      <c r="O275" s="175" t="s">
        <v>6926</v>
      </c>
      <c r="P275" s="419"/>
      <c r="Q275" s="808">
        <f>IF(L275="Yes",1,0)</f>
        <v>0</v>
      </c>
      <c r="R275" s="1632"/>
      <c r="S275" s="1632"/>
      <c r="T275" s="1632"/>
      <c r="U275" s="1632"/>
      <c r="V275" s="1632"/>
    </row>
    <row r="276" spans="1:24" ht="11.25" customHeight="1">
      <c r="A276" s="686" t="s">
        <v>1844</v>
      </c>
      <c r="B276" s="887" t="s">
        <v>6584</v>
      </c>
      <c r="D276" s="372"/>
      <c r="L276" s="372"/>
      <c r="M276" s="884">
        <v>2</v>
      </c>
      <c r="N276" s="48" t="s">
        <v>1844</v>
      </c>
      <c r="O276" s="176" t="s">
        <v>2652</v>
      </c>
      <c r="P276" s="421"/>
      <c r="Q276" s="808">
        <f>IF(L276="Yes",1,0)</f>
        <v>0</v>
      </c>
      <c r="R276" s="1632"/>
      <c r="S276" s="1632"/>
      <c r="T276" s="1632"/>
      <c r="U276" s="1632"/>
      <c r="V276" s="1632"/>
    </row>
    <row r="277" spans="1:24" ht="11.25" customHeight="1">
      <c r="B277" s="241" t="s">
        <v>6690</v>
      </c>
      <c r="D277" s="372"/>
      <c r="L277" s="372"/>
      <c r="M277" s="884"/>
      <c r="N277" s="884"/>
      <c r="O277" s="884"/>
      <c r="P277" s="884"/>
      <c r="Q277" s="808"/>
      <c r="R277" s="1632"/>
      <c r="S277" s="1632"/>
      <c r="T277" s="1632"/>
      <c r="U277" s="1632"/>
      <c r="V277" s="1632"/>
    </row>
    <row r="278" spans="1:24" ht="38.25" customHeight="1">
      <c r="B278" s="3579" t="s">
        <v>7008</v>
      </c>
      <c r="C278" s="3580"/>
      <c r="D278" s="3580"/>
      <c r="E278" s="3580"/>
      <c r="F278" s="3580"/>
      <c r="G278" s="3580"/>
      <c r="H278" s="3580"/>
      <c r="I278" s="3580"/>
      <c r="J278" s="3580"/>
      <c r="K278" s="3580"/>
      <c r="L278" s="3580"/>
      <c r="M278" s="3580"/>
      <c r="N278" s="3580"/>
      <c r="O278" s="3580"/>
      <c r="P278" s="3581"/>
      <c r="Q278" s="808"/>
      <c r="R278" s="1632"/>
      <c r="S278" s="1632"/>
      <c r="T278" s="1632"/>
      <c r="U278" s="1632"/>
      <c r="V278" s="1632"/>
    </row>
    <row r="279" spans="1:24" s="36" customFormat="1" ht="10.5" customHeight="1" thickBot="1">
      <c r="A279" s="35"/>
      <c r="B279" s="939" t="s">
        <v>3244</v>
      </c>
      <c r="C279" s="35"/>
      <c r="D279" s="41"/>
      <c r="E279" s="41"/>
      <c r="F279" s="41"/>
      <c r="G279" s="41"/>
      <c r="H279" s="29"/>
      <c r="I279" s="29"/>
      <c r="J279" s="29"/>
      <c r="K279" s="29"/>
      <c r="M279" s="39"/>
      <c r="N279" s="47"/>
      <c r="O279" s="3"/>
      <c r="P279" s="24"/>
      <c r="R279" s="1632"/>
      <c r="S279" s="1632"/>
      <c r="T279" s="1632"/>
      <c r="U279" s="1632"/>
      <c r="V279" s="1632"/>
    </row>
    <row r="280" spans="1:24" s="36" customFormat="1" ht="34.9" customHeight="1" thickTop="1" thickBot="1">
      <c r="A280" s="3534" t="s">
        <v>7009</v>
      </c>
      <c r="B280" s="3535"/>
      <c r="C280" s="3535"/>
      <c r="D280" s="3535"/>
      <c r="E280" s="3535"/>
      <c r="F280" s="3535"/>
      <c r="G280" s="3535"/>
      <c r="H280" s="3535"/>
      <c r="I280" s="3535"/>
      <c r="J280" s="3535"/>
      <c r="K280" s="3535"/>
      <c r="L280" s="3535"/>
      <c r="M280" s="3535"/>
      <c r="N280" s="3535"/>
      <c r="O280" s="3535"/>
      <c r="P280" s="3536"/>
      <c r="Q280" s="355" t="s">
        <v>1181</v>
      </c>
    </row>
    <row r="281" spans="1:24" s="36" customFormat="1" ht="10.5" customHeight="1" thickTop="1">
      <c r="A281" s="35"/>
      <c r="B281" s="65" t="s">
        <v>1730</v>
      </c>
      <c r="C281" s="35"/>
      <c r="D281" s="65"/>
      <c r="E281" s="889"/>
      <c r="F281" s="889"/>
      <c r="G281" s="889"/>
      <c r="H281" s="889"/>
      <c r="I281" s="889"/>
      <c r="J281" s="889"/>
      <c r="K281" s="889"/>
      <c r="L281" s="889"/>
      <c r="M281" s="889"/>
      <c r="N281" s="55"/>
      <c r="O281" s="52"/>
      <c r="P281" s="119"/>
    </row>
    <row r="282" spans="1:24" s="36" customFormat="1" ht="11.25" customHeight="1">
      <c r="A282" s="3485"/>
      <c r="B282" s="3486"/>
      <c r="C282" s="3486"/>
      <c r="D282" s="3486"/>
      <c r="E282" s="3486"/>
      <c r="F282" s="3486"/>
      <c r="G282" s="3486"/>
      <c r="H282" s="3486"/>
      <c r="I282" s="3486"/>
      <c r="J282" s="3486"/>
      <c r="K282" s="3486"/>
      <c r="L282" s="3486"/>
      <c r="M282" s="3486"/>
      <c r="N282" s="3486"/>
      <c r="O282" s="3486"/>
      <c r="P282" s="3487"/>
      <c r="Q282" s="354"/>
    </row>
    <row r="283" spans="1:24" s="36" customFormat="1" ht="5.25" customHeight="1" thickBot="1">
      <c r="A283" s="35"/>
      <c r="D283" s="32"/>
      <c r="E283" s="29"/>
      <c r="F283" s="119"/>
      <c r="G283" s="119"/>
      <c r="H283" s="119"/>
      <c r="I283" s="119"/>
      <c r="J283" s="33"/>
      <c r="K283" s="33"/>
      <c r="L283" s="33"/>
      <c r="M283" s="31"/>
      <c r="N283" s="119"/>
      <c r="O283" s="24"/>
      <c r="P283" s="3"/>
    </row>
    <row r="284" spans="1:24" s="70" customFormat="1" ht="13.5" customHeight="1" thickBot="1">
      <c r="A284" s="120" t="s">
        <v>3375</v>
      </c>
      <c r="B284" s="83" t="s">
        <v>6587</v>
      </c>
      <c r="D284" s="38"/>
      <c r="E284" s="38"/>
      <c r="G284" s="1627"/>
      <c r="H284" s="147"/>
      <c r="I284" s="147" t="s">
        <v>6707</v>
      </c>
      <c r="J284" s="147"/>
      <c r="K284" s="147"/>
      <c r="L284" s="1939" t="str">
        <f>IF(AND(O294&gt;0,O297&gt;0), "Choose only one option!","")</f>
        <v/>
      </c>
      <c r="M284" s="119">
        <v>2</v>
      </c>
      <c r="N284" s="5"/>
      <c r="O284" s="868">
        <f>IF(O294=$M$294,$M$294,IF(O297=$M$297,$M$297,0))</f>
        <v>2</v>
      </c>
      <c r="P284" s="868">
        <f>IF(P294=$M$294,$M$294,IF(P297=$M$297,$M$297,0))</f>
        <v>0</v>
      </c>
      <c r="Q284" s="86" t="s">
        <v>416</v>
      </c>
      <c r="R284" s="1632"/>
      <c r="S284" s="1632"/>
      <c r="T284" s="1632"/>
      <c r="U284" s="1632"/>
      <c r="V284" s="1632"/>
    </row>
    <row r="285" spans="1:24" s="70" customFormat="1" ht="11.25" customHeight="1">
      <c r="A285" s="120"/>
      <c r="B285" s="29" t="s">
        <v>6701</v>
      </c>
      <c r="D285" s="38"/>
      <c r="E285" s="38"/>
      <c r="G285" s="147"/>
      <c r="J285" s="1318"/>
      <c r="M285" s="456"/>
      <c r="Q285" s="86"/>
      <c r="R285" s="1632"/>
      <c r="S285" s="1632"/>
      <c r="T285" s="1632"/>
      <c r="U285" s="1632"/>
      <c r="V285" s="1632"/>
      <c r="W285" s="36"/>
      <c r="X285" s="36"/>
    </row>
    <row r="286" spans="1:24" s="70" customFormat="1" ht="11.25" customHeight="1">
      <c r="A286" s="120"/>
      <c r="C286" s="29" t="s">
        <v>6699</v>
      </c>
      <c r="G286" s="147"/>
      <c r="I286" s="3564" t="s">
        <v>2855</v>
      </c>
      <c r="J286" s="3565"/>
      <c r="K286" s="3566"/>
      <c r="L286" s="3567"/>
      <c r="M286" s="456"/>
      <c r="O286" s="1933"/>
      <c r="P286" s="1934"/>
      <c r="Q286" s="86"/>
      <c r="R286" s="1632"/>
      <c r="S286" s="1632"/>
      <c r="T286" s="1632"/>
      <c r="U286" s="1632"/>
      <c r="V286" s="1632"/>
      <c r="W286" s="36"/>
      <c r="X286" s="36"/>
    </row>
    <row r="287" spans="1:24" s="70" customFormat="1" ht="11.25" customHeight="1">
      <c r="A287" s="120"/>
      <c r="C287" s="29" t="s">
        <v>6698</v>
      </c>
      <c r="G287" s="147"/>
      <c r="I287" s="3568" t="s">
        <v>2855</v>
      </c>
      <c r="J287" s="3569"/>
      <c r="M287" s="456"/>
      <c r="O287" s="1933"/>
      <c r="P287" s="1934"/>
      <c r="Q287" s="86"/>
      <c r="R287" s="1632"/>
      <c r="S287" s="1632"/>
      <c r="T287" s="1632"/>
      <c r="U287" s="1632"/>
      <c r="V287" s="1632"/>
      <c r="W287" s="36"/>
      <c r="X287" s="36"/>
    </row>
    <row r="288" spans="1:24" s="70" customFormat="1" ht="11.25" customHeight="1">
      <c r="A288" s="120"/>
      <c r="C288" s="29" t="s">
        <v>6700</v>
      </c>
      <c r="G288" s="147"/>
      <c r="I288" s="3570" t="s">
        <v>6927</v>
      </c>
      <c r="J288" s="3571"/>
      <c r="K288" s="3572"/>
      <c r="L288" s="3573"/>
      <c r="M288" s="456"/>
      <c r="O288" s="3574" t="s">
        <v>3153</v>
      </c>
      <c r="P288" s="3574" t="s">
        <v>3154</v>
      </c>
      <c r="Q288" s="86"/>
      <c r="R288" s="1632"/>
      <c r="S288" s="1632"/>
      <c r="T288" s="1632"/>
      <c r="U288" s="1632"/>
      <c r="V288" s="1632"/>
      <c r="W288" s="36"/>
      <c r="X288" s="36"/>
    </row>
    <row r="289" spans="1:22" s="36" customFormat="1" ht="11.25" customHeight="1">
      <c r="A289" s="120"/>
      <c r="B289" s="29" t="s">
        <v>6591</v>
      </c>
      <c r="D289" s="34"/>
      <c r="H289" s="141"/>
      <c r="M289" s="119"/>
      <c r="N289" s="48"/>
      <c r="O289" s="3575"/>
      <c r="P289" s="3575"/>
      <c r="Q289" s="86"/>
      <c r="R289" s="881"/>
      <c r="S289" s="881"/>
      <c r="T289" s="881"/>
      <c r="U289" s="881"/>
    </row>
    <row r="290" spans="1:22" s="36" customFormat="1" ht="11.25" customHeight="1">
      <c r="A290" s="1932"/>
      <c r="B290" s="128" t="s">
        <v>2241</v>
      </c>
      <c r="C290" s="29" t="s">
        <v>6590</v>
      </c>
      <c r="D290" s="882"/>
      <c r="E290" s="70"/>
      <c r="F290" s="70"/>
      <c r="G290" s="70"/>
      <c r="H290" s="38"/>
      <c r="N290" s="128" t="s">
        <v>2241</v>
      </c>
      <c r="O290" s="175" t="s">
        <v>2855</v>
      </c>
      <c r="P290" s="419"/>
      <c r="Q290" s="86"/>
      <c r="R290" s="881"/>
      <c r="S290" s="881"/>
      <c r="T290" s="881"/>
      <c r="U290" s="881"/>
    </row>
    <row r="291" spans="1:22" s="36" customFormat="1" ht="11.25" customHeight="1">
      <c r="A291" s="1932"/>
      <c r="B291" s="49" t="s">
        <v>2242</v>
      </c>
      <c r="C291" s="44" t="s">
        <v>6706</v>
      </c>
      <c r="D291" s="882"/>
      <c r="E291" s="70"/>
      <c r="F291" s="70"/>
      <c r="G291" s="70"/>
      <c r="H291" s="38"/>
      <c r="M291" s="70"/>
      <c r="N291" s="49" t="s">
        <v>2242</v>
      </c>
      <c r="O291" s="299" t="s">
        <v>2855</v>
      </c>
      <c r="P291" s="420"/>
      <c r="Q291" s="86"/>
      <c r="R291" s="881"/>
      <c r="S291" s="881"/>
      <c r="T291" s="881"/>
      <c r="U291" s="881"/>
    </row>
    <row r="292" spans="1:22" s="36" customFormat="1" ht="11.25" customHeight="1">
      <c r="A292" s="1932"/>
      <c r="B292" s="49" t="s">
        <v>2243</v>
      </c>
      <c r="C292" s="29" t="s">
        <v>6592</v>
      </c>
      <c r="D292" s="882"/>
      <c r="E292" s="70"/>
      <c r="F292" s="70"/>
      <c r="G292" s="70"/>
      <c r="H292" s="38"/>
      <c r="I292" s="42"/>
      <c r="J292" s="41"/>
      <c r="K292" s="41"/>
      <c r="L292" s="70"/>
      <c r="M292" s="70"/>
      <c r="N292" s="49" t="s">
        <v>2243</v>
      </c>
      <c r="O292" s="176" t="s">
        <v>2855</v>
      </c>
      <c r="P292" s="421"/>
      <c r="Q292" s="86"/>
      <c r="R292" s="881"/>
      <c r="S292" s="881"/>
      <c r="T292" s="881"/>
      <c r="U292" s="881"/>
    </row>
    <row r="293" spans="1:22" s="36" customFormat="1" ht="3" customHeight="1" thickBot="1">
      <c r="A293" s="35"/>
      <c r="D293" s="32"/>
      <c r="E293" s="29"/>
      <c r="F293" s="119"/>
      <c r="G293" s="119"/>
      <c r="H293" s="119"/>
      <c r="I293" s="119"/>
      <c r="J293" s="33"/>
      <c r="K293" s="33"/>
      <c r="L293" s="33"/>
      <c r="M293" s="31"/>
      <c r="N293" s="119"/>
      <c r="O293" s="24"/>
      <c r="P293" s="3"/>
    </row>
    <row r="294" spans="1:22" ht="11.25" customHeight="1" thickBot="1">
      <c r="A294" s="686" t="s">
        <v>1842</v>
      </c>
      <c r="B294" s="887" t="s">
        <v>6588</v>
      </c>
      <c r="D294" s="372"/>
      <c r="E294" s="372"/>
      <c r="G294" s="372" t="s">
        <v>6596</v>
      </c>
      <c r="H294" s="372"/>
      <c r="L294" s="372"/>
      <c r="M294" s="884">
        <v>2</v>
      </c>
      <c r="N294" s="48" t="s">
        <v>1842</v>
      </c>
      <c r="O294" s="901">
        <v>2</v>
      </c>
      <c r="P294" s="885"/>
      <c r="Q294" s="1840" t="str">
        <f>IF(OR(O294=0,O294="",O294=$M294),"","Check!")</f>
        <v/>
      </c>
      <c r="R294" s="867" t="s">
        <v>2461</v>
      </c>
      <c r="S294" s="1632"/>
      <c r="T294" s="1632"/>
      <c r="U294" s="1632"/>
      <c r="V294" s="1632"/>
    </row>
    <row r="295" spans="1:22" s="332" customFormat="1" ht="21.75" customHeight="1">
      <c r="A295" s="1610"/>
      <c r="B295" s="350" t="s">
        <v>1845</v>
      </c>
      <c r="C295" s="3218" t="s">
        <v>6597</v>
      </c>
      <c r="D295" s="3218"/>
      <c r="E295" s="3218"/>
      <c r="F295" s="3218"/>
      <c r="G295" s="3218"/>
      <c r="H295" s="3218"/>
      <c r="I295" s="3218"/>
      <c r="J295" s="3218"/>
      <c r="K295" s="3218"/>
      <c r="L295" s="3218"/>
      <c r="M295" s="3218"/>
      <c r="N295" s="150" t="s">
        <v>1845</v>
      </c>
      <c r="O295" s="1289" t="s">
        <v>2652</v>
      </c>
      <c r="P295" s="1290"/>
      <c r="Q295" s="331"/>
      <c r="R295" s="1839"/>
      <c r="S295" s="1839"/>
      <c r="T295" s="1839"/>
      <c r="U295" s="1839"/>
    </row>
    <row r="296" spans="1:22" s="332" customFormat="1" ht="21.75" customHeight="1" thickBot="1">
      <c r="A296" s="1610"/>
      <c r="B296" s="350" t="s">
        <v>1847</v>
      </c>
      <c r="C296" s="3218" t="s">
        <v>6598</v>
      </c>
      <c r="D296" s="3218"/>
      <c r="E296" s="3218"/>
      <c r="F296" s="3218"/>
      <c r="G296" s="3218"/>
      <c r="H296" s="3218"/>
      <c r="I296" s="3218"/>
      <c r="J296" s="3218"/>
      <c r="K296" s="3218"/>
      <c r="L296" s="3218"/>
      <c r="M296" s="3218"/>
      <c r="N296" s="150" t="s">
        <v>1847</v>
      </c>
      <c r="O296" s="898" t="s">
        <v>2652</v>
      </c>
      <c r="P296" s="897"/>
      <c r="Q296" s="331"/>
      <c r="R296" s="1839"/>
      <c r="S296" s="1839"/>
      <c r="T296" s="1839"/>
      <c r="U296" s="1839"/>
    </row>
    <row r="297" spans="1:22" ht="11.25" customHeight="1" thickBot="1">
      <c r="A297" s="686" t="s">
        <v>1844</v>
      </c>
      <c r="B297" s="887" t="s">
        <v>6589</v>
      </c>
      <c r="D297" s="372"/>
      <c r="G297" s="44" t="s">
        <v>6599</v>
      </c>
      <c r="L297" s="372"/>
      <c r="M297" s="884">
        <v>2</v>
      </c>
      <c r="N297" s="48" t="s">
        <v>1844</v>
      </c>
      <c r="O297" s="901">
        <v>0</v>
      </c>
      <c r="P297" s="885"/>
      <c r="Q297" s="1840" t="str">
        <f>IF(OR(O297=0,O297="",O297=$M297),"","Check!")</f>
        <v/>
      </c>
      <c r="R297" s="867" t="s">
        <v>2461</v>
      </c>
      <c r="S297" s="1632"/>
      <c r="T297" s="1632"/>
      <c r="U297" s="1632"/>
      <c r="V297" s="1632"/>
    </row>
    <row r="298" spans="1:22" s="332" customFormat="1" ht="10.5" customHeight="1">
      <c r="A298" s="1610"/>
      <c r="B298" s="350" t="s">
        <v>1845</v>
      </c>
      <c r="C298" s="3218" t="s">
        <v>6600</v>
      </c>
      <c r="D298" s="3218"/>
      <c r="E298" s="3218"/>
      <c r="F298" s="3218"/>
      <c r="G298" s="3218"/>
      <c r="H298" s="3218"/>
      <c r="I298" s="3218"/>
      <c r="J298" s="3218"/>
      <c r="K298" s="3218"/>
      <c r="L298" s="3218"/>
      <c r="M298" s="3218"/>
      <c r="N298" s="150" t="s">
        <v>1845</v>
      </c>
      <c r="O298" s="1289" t="s">
        <v>6926</v>
      </c>
      <c r="P298" s="1290"/>
      <c r="Q298" s="331"/>
      <c r="R298" s="1839"/>
      <c r="S298" s="1839"/>
      <c r="T298" s="1839"/>
      <c r="U298" s="1839"/>
    </row>
    <row r="299" spans="1:22" s="332" customFormat="1" ht="10.5" customHeight="1">
      <c r="A299" s="1610"/>
      <c r="B299" s="350" t="s">
        <v>1847</v>
      </c>
      <c r="C299" s="3218" t="s">
        <v>6601</v>
      </c>
      <c r="D299" s="3218"/>
      <c r="E299" s="3218"/>
      <c r="F299" s="3218"/>
      <c r="G299" s="3218"/>
      <c r="H299" s="3218"/>
      <c r="I299" s="3218"/>
      <c r="J299" s="3218"/>
      <c r="K299" s="3218"/>
      <c r="L299" s="3218"/>
      <c r="M299" s="3218"/>
      <c r="N299" s="150" t="s">
        <v>1847</v>
      </c>
      <c r="O299" s="898" t="s">
        <v>6926</v>
      </c>
      <c r="P299" s="897"/>
      <c r="Q299" s="331"/>
      <c r="R299" s="1839"/>
      <c r="S299" s="1839"/>
      <c r="T299" s="1839"/>
      <c r="U299" s="1839"/>
    </row>
    <row r="300" spans="1:22" s="332" customFormat="1" ht="10.5" customHeight="1">
      <c r="A300" s="1610"/>
      <c r="B300" s="350" t="s">
        <v>2333</v>
      </c>
      <c r="C300" s="685" t="s">
        <v>6702</v>
      </c>
      <c r="D300" s="889"/>
      <c r="E300" s="889"/>
      <c r="F300" s="889"/>
      <c r="G300" s="889"/>
      <c r="H300" s="889"/>
      <c r="I300" s="889"/>
      <c r="J300" s="889"/>
      <c r="K300" s="889"/>
      <c r="L300" s="889"/>
      <c r="M300" s="889"/>
      <c r="N300" s="150" t="s">
        <v>2333</v>
      </c>
      <c r="O300" s="889"/>
      <c r="P300" s="889"/>
      <c r="Q300" s="331"/>
      <c r="R300" s="1839"/>
      <c r="S300" s="1839"/>
      <c r="T300" s="1839"/>
      <c r="U300" s="1839"/>
    </row>
    <row r="301" spans="1:22" s="36" customFormat="1" ht="11.25" customHeight="1">
      <c r="A301" s="120"/>
      <c r="B301" s="128" t="s">
        <v>2241</v>
      </c>
      <c r="C301" s="29" t="s">
        <v>6602</v>
      </c>
      <c r="D301" s="882"/>
      <c r="E301" s="70"/>
      <c r="F301" s="70"/>
      <c r="G301" s="70"/>
      <c r="H301" s="38"/>
      <c r="I301" s="42"/>
      <c r="M301" s="119"/>
      <c r="N301" s="128" t="s">
        <v>2241</v>
      </c>
      <c r="O301" s="175" t="s">
        <v>6926</v>
      </c>
      <c r="P301" s="419"/>
      <c r="Q301" s="86"/>
      <c r="R301" s="881"/>
      <c r="S301" s="881"/>
      <c r="T301" s="881"/>
      <c r="U301" s="881"/>
    </row>
    <row r="302" spans="1:22" s="36" customFormat="1" ht="11.25" customHeight="1">
      <c r="A302" s="120"/>
      <c r="B302" s="49" t="s">
        <v>2242</v>
      </c>
      <c r="C302" s="29" t="s">
        <v>6603</v>
      </c>
      <c r="D302" s="882"/>
      <c r="E302" s="70"/>
      <c r="F302" s="70"/>
      <c r="G302" s="70"/>
      <c r="H302" s="38"/>
      <c r="I302" s="42"/>
      <c r="J302" s="41"/>
      <c r="K302" s="41"/>
      <c r="L302" s="70"/>
      <c r="M302" s="70"/>
      <c r="N302" s="49" t="s">
        <v>2242</v>
      </c>
      <c r="O302" s="299" t="s">
        <v>6926</v>
      </c>
      <c r="P302" s="420"/>
      <c r="Q302" s="86"/>
      <c r="R302" s="881"/>
      <c r="S302" s="881"/>
      <c r="T302" s="881"/>
      <c r="U302" s="881"/>
    </row>
    <row r="303" spans="1:22" s="332" customFormat="1" ht="21.75" customHeight="1">
      <c r="A303" s="1610"/>
      <c r="B303" s="350" t="s">
        <v>1151</v>
      </c>
      <c r="C303" s="3218" t="s">
        <v>6604</v>
      </c>
      <c r="D303" s="3218"/>
      <c r="E303" s="3218"/>
      <c r="F303" s="3218"/>
      <c r="G303" s="3218"/>
      <c r="H303" s="3218"/>
      <c r="I303" s="3218"/>
      <c r="J303" s="3218"/>
      <c r="K303" s="3218"/>
      <c r="L303" s="3218"/>
      <c r="M303" s="3218"/>
      <c r="N303" s="150" t="s">
        <v>1151</v>
      </c>
      <c r="O303" s="898" t="s">
        <v>6926</v>
      </c>
      <c r="P303" s="897"/>
      <c r="Q303" s="331"/>
      <c r="R303" s="1839"/>
      <c r="S303" s="1839"/>
      <c r="T303" s="1839"/>
      <c r="U303" s="1839"/>
    </row>
    <row r="304" spans="1:22" s="36" customFormat="1" ht="10.5" customHeight="1" thickBot="1">
      <c r="A304" s="35"/>
      <c r="B304" s="939" t="s">
        <v>3244</v>
      </c>
      <c r="C304" s="35"/>
      <c r="D304" s="41"/>
      <c r="E304" s="41"/>
      <c r="F304" s="41"/>
      <c r="G304" s="41"/>
      <c r="H304" s="29"/>
      <c r="I304" s="29"/>
      <c r="J304" s="29"/>
      <c r="K304" s="29"/>
      <c r="M304" s="39"/>
      <c r="N304" s="47"/>
      <c r="O304" s="3"/>
      <c r="P304" s="24"/>
      <c r="R304" s="1632"/>
      <c r="S304" s="1632"/>
      <c r="T304" s="1632"/>
      <c r="U304" s="1632"/>
      <c r="V304" s="1632"/>
    </row>
    <row r="305" spans="1:22" s="36" customFormat="1" ht="34.9" customHeight="1" thickTop="1" thickBot="1">
      <c r="A305" s="3534" t="s">
        <v>6951</v>
      </c>
      <c r="B305" s="3535"/>
      <c r="C305" s="3535"/>
      <c r="D305" s="3535"/>
      <c r="E305" s="3535"/>
      <c r="F305" s="3535"/>
      <c r="G305" s="3535"/>
      <c r="H305" s="3535"/>
      <c r="I305" s="3535"/>
      <c r="J305" s="3535"/>
      <c r="K305" s="3535"/>
      <c r="L305" s="3535"/>
      <c r="M305" s="3535"/>
      <c r="N305" s="3535"/>
      <c r="O305" s="3535"/>
      <c r="P305" s="3536"/>
      <c r="Q305" s="355" t="s">
        <v>1181</v>
      </c>
    </row>
    <row r="306" spans="1:22" s="36" customFormat="1" ht="10.5" customHeight="1" thickTop="1">
      <c r="A306" s="35"/>
      <c r="B306" s="65" t="s">
        <v>1730</v>
      </c>
      <c r="C306" s="35"/>
      <c r="D306" s="65"/>
      <c r="E306" s="889"/>
      <c r="F306" s="889"/>
      <c r="G306" s="889"/>
      <c r="H306" s="889"/>
      <c r="I306" s="889"/>
      <c r="J306" s="889"/>
      <c r="K306" s="889"/>
      <c r="L306" s="889"/>
      <c r="M306" s="889"/>
      <c r="N306" s="55"/>
      <c r="O306" s="52"/>
      <c r="P306" s="119"/>
    </row>
    <row r="307" spans="1:22" s="36" customFormat="1" ht="11.25" customHeight="1">
      <c r="A307" s="3485"/>
      <c r="B307" s="3486"/>
      <c r="C307" s="3486"/>
      <c r="D307" s="3486"/>
      <c r="E307" s="3486"/>
      <c r="F307" s="3486"/>
      <c r="G307" s="3486"/>
      <c r="H307" s="3486"/>
      <c r="I307" s="3486"/>
      <c r="J307" s="3486"/>
      <c r="K307" s="3486"/>
      <c r="L307" s="3486"/>
      <c r="M307" s="3486"/>
      <c r="N307" s="3486"/>
      <c r="O307" s="3486"/>
      <c r="P307" s="3487"/>
      <c r="Q307" s="354"/>
    </row>
    <row r="308" spans="1:22" s="36" customFormat="1" ht="2.25" customHeight="1" thickBot="1">
      <c r="A308" s="35"/>
      <c r="D308" s="32"/>
      <c r="E308" s="29"/>
      <c r="F308" s="119"/>
      <c r="G308" s="119"/>
      <c r="H308" s="119"/>
      <c r="I308" s="119"/>
      <c r="J308" s="33"/>
      <c r="K308" s="33"/>
      <c r="L308" s="33"/>
      <c r="M308" s="31"/>
      <c r="N308" s="119"/>
      <c r="O308" s="24"/>
      <c r="P308" s="3"/>
    </row>
    <row r="309" spans="1:22" s="70" customFormat="1" ht="13.5" customHeight="1" thickBot="1">
      <c r="A309" s="120" t="s">
        <v>3373</v>
      </c>
      <c r="B309" s="83" t="s">
        <v>6593</v>
      </c>
      <c r="D309" s="38"/>
      <c r="E309" s="38"/>
      <c r="G309" s="1627"/>
      <c r="H309" s="147"/>
      <c r="I309" s="147"/>
      <c r="J309" s="147"/>
      <c r="K309" s="147"/>
      <c r="L309" s="147"/>
      <c r="M309" s="119">
        <v>0</v>
      </c>
      <c r="N309" s="5"/>
      <c r="O309" s="868">
        <f>IF(OR(O310=$M310,O311=$M311),$M$309,0)</f>
        <v>0</v>
      </c>
      <c r="P309" s="868">
        <f>IF(OR(P310=$M310,P311=$M311),$M$309,0)</f>
        <v>0</v>
      </c>
      <c r="Q309" s="86" t="s">
        <v>416</v>
      </c>
      <c r="R309" s="1632"/>
      <c r="S309" s="1632"/>
      <c r="T309" s="1632"/>
      <c r="U309" s="1632"/>
      <c r="V309" s="1632"/>
    </row>
    <row r="310" spans="1:22" ht="11.25" customHeight="1">
      <c r="A310" s="686" t="s">
        <v>1842</v>
      </c>
      <c r="B310" s="887" t="s">
        <v>6594</v>
      </c>
      <c r="D310" s="372"/>
      <c r="E310" s="372" t="s">
        <v>6605</v>
      </c>
      <c r="F310" s="372"/>
      <c r="G310" s="372"/>
      <c r="H310" s="372"/>
      <c r="I310" s="3727"/>
      <c r="J310" s="3728"/>
      <c r="K310" s="3728"/>
      <c r="L310" s="3729"/>
      <c r="M310" s="884">
        <v>2</v>
      </c>
      <c r="N310" s="48" t="s">
        <v>1842</v>
      </c>
      <c r="O310" s="1326"/>
      <c r="P310" s="1327"/>
      <c r="Q310" s="1840" t="str">
        <f>IF(OR(O310=0,O310="",O310=$M310),"","Check!")</f>
        <v/>
      </c>
      <c r="R310" s="867" t="s">
        <v>2461</v>
      </c>
      <c r="S310" s="1632"/>
      <c r="T310" s="1632"/>
      <c r="U310" s="1632"/>
      <c r="V310" s="1632"/>
    </row>
    <row r="311" spans="1:22" ht="11.25" customHeight="1">
      <c r="A311" s="686" t="s">
        <v>1844</v>
      </c>
      <c r="B311" s="887" t="s">
        <v>6595</v>
      </c>
      <c r="D311" s="372"/>
      <c r="L311" s="372"/>
      <c r="M311" s="884">
        <v>2</v>
      </c>
      <c r="N311" s="48" t="s">
        <v>1844</v>
      </c>
      <c r="O311" s="407"/>
      <c r="P311" s="415"/>
      <c r="Q311" s="1840" t="str">
        <f>IF(OR(O311=0,O311="",O311=$M311),"","Check!")</f>
        <v/>
      </c>
      <c r="R311" s="867" t="s">
        <v>2461</v>
      </c>
      <c r="S311" s="1632"/>
      <c r="T311" s="1632"/>
      <c r="U311" s="1632"/>
      <c r="V311" s="1632"/>
    </row>
    <row r="312" spans="1:22" s="36" customFormat="1" ht="10.5" customHeight="1" thickBot="1">
      <c r="A312" s="35"/>
      <c r="B312" s="939" t="s">
        <v>3244</v>
      </c>
      <c r="C312" s="35"/>
      <c r="D312" s="41"/>
      <c r="E312" s="41"/>
      <c r="F312" s="41"/>
      <c r="G312" s="41"/>
      <c r="H312" s="29"/>
      <c r="I312" s="29"/>
      <c r="J312" s="29"/>
      <c r="K312" s="29"/>
      <c r="M312" s="39"/>
      <c r="N312" s="47"/>
      <c r="O312" s="3"/>
      <c r="P312" s="24"/>
      <c r="R312" s="1632"/>
      <c r="S312" s="1632"/>
      <c r="T312" s="1632"/>
      <c r="U312" s="1632"/>
      <c r="V312" s="1632"/>
    </row>
    <row r="313" spans="1:22" s="36" customFormat="1" ht="34.9" customHeight="1" thickTop="1" thickBot="1">
      <c r="A313" s="3534" t="s">
        <v>6950</v>
      </c>
      <c r="B313" s="3535"/>
      <c r="C313" s="3535"/>
      <c r="D313" s="3535"/>
      <c r="E313" s="3535"/>
      <c r="F313" s="3535"/>
      <c r="G313" s="3535"/>
      <c r="H313" s="3535"/>
      <c r="I313" s="3535"/>
      <c r="J313" s="3535"/>
      <c r="K313" s="3535"/>
      <c r="L313" s="3535"/>
      <c r="M313" s="3535"/>
      <c r="N313" s="3535"/>
      <c r="O313" s="3535"/>
      <c r="P313" s="3536"/>
      <c r="Q313" s="355" t="s">
        <v>1181</v>
      </c>
    </row>
    <row r="314" spans="1:22" s="36" customFormat="1" ht="10.5" customHeight="1" thickTop="1">
      <c r="A314" s="35"/>
      <c r="B314" s="65" t="s">
        <v>1730</v>
      </c>
      <c r="C314" s="35"/>
      <c r="D314" s="65"/>
      <c r="E314" s="889"/>
      <c r="F314" s="889"/>
      <c r="G314" s="889"/>
      <c r="H314" s="889"/>
      <c r="I314" s="889"/>
      <c r="J314" s="889"/>
      <c r="K314" s="889"/>
      <c r="L314" s="889"/>
      <c r="M314" s="889"/>
      <c r="N314" s="55"/>
      <c r="O314" s="52"/>
      <c r="P314" s="119"/>
    </row>
    <row r="315" spans="1:22" s="36" customFormat="1" ht="11.25" customHeight="1">
      <c r="A315" s="3485"/>
      <c r="B315" s="3486"/>
      <c r="C315" s="3486"/>
      <c r="D315" s="3486"/>
      <c r="E315" s="3486"/>
      <c r="F315" s="3486"/>
      <c r="G315" s="3486"/>
      <c r="H315" s="3486"/>
      <c r="I315" s="3486"/>
      <c r="J315" s="3486"/>
      <c r="K315" s="3486"/>
      <c r="L315" s="3486"/>
      <c r="M315" s="3486"/>
      <c r="N315" s="3486"/>
      <c r="O315" s="3486"/>
      <c r="P315" s="3487"/>
      <c r="Q315" s="354"/>
    </row>
    <row r="316" spans="1:22" s="36" customFormat="1" ht="2.25" customHeight="1" thickBot="1">
      <c r="A316" s="35"/>
      <c r="D316" s="32"/>
      <c r="E316" s="29"/>
      <c r="F316" s="119"/>
      <c r="G316" s="119"/>
      <c r="H316" s="119"/>
      <c r="I316" s="119"/>
      <c r="J316" s="33"/>
      <c r="K316" s="33"/>
      <c r="L316" s="33"/>
      <c r="M316" s="31"/>
      <c r="N316" s="119"/>
      <c r="O316" s="24"/>
      <c r="P316" s="3"/>
    </row>
    <row r="317" spans="1:22" s="36" customFormat="1" ht="12" customHeight="1" thickBot="1">
      <c r="A317" s="1403" t="s">
        <v>3376</v>
      </c>
      <c r="B317" s="83" t="s">
        <v>3347</v>
      </c>
      <c r="C317" s="67"/>
      <c r="D317" s="44"/>
      <c r="E317" s="29"/>
      <c r="G317" s="44"/>
      <c r="I317" s="1625" t="s">
        <v>6257</v>
      </c>
      <c r="J317" s="1549" t="str">
        <f>IF(OR($M$34="9% Credit Competitive Round only", $M$34="9% Credit &amp; HOME"),"9%",IF(OR($M$34="4% Credit/TE Bond", $M$34="4% Credit/TE Bond &amp; HOME", $M$34="4% Credit/TE Bond &amp; HOME NOFA", $M$34="4% Credit &amp; NHTF", $M$34="4% Credit &amp; NHTF &amp; HOME"),"4%",""))</f>
        <v>4%</v>
      </c>
      <c r="K317" s="70"/>
      <c r="L317" s="70"/>
      <c r="M317" s="119">
        <v>0</v>
      </c>
      <c r="N317" s="5"/>
      <c r="O317" s="5"/>
      <c r="P317" s="900">
        <f>P319+P325</f>
        <v>0</v>
      </c>
      <c r="Q317" s="86" t="s">
        <v>416</v>
      </c>
    </row>
    <row r="318" spans="1:22" s="36" customFormat="1" ht="13.5" customHeight="1">
      <c r="A318" s="120"/>
      <c r="B318" s="29" t="s">
        <v>6240</v>
      </c>
      <c r="C318" s="889"/>
      <c r="D318" s="889"/>
      <c r="E318" s="889"/>
      <c r="F318" s="889"/>
      <c r="G318" s="889"/>
      <c r="H318" s="889"/>
      <c r="I318" s="889"/>
      <c r="J318" s="889"/>
      <c r="K318" s="889"/>
      <c r="L318" s="1192"/>
      <c r="M318" s="119"/>
      <c r="N318" s="55"/>
      <c r="O318" s="373" t="s">
        <v>6926</v>
      </c>
      <c r="P318" s="1081"/>
      <c r="Q318" s="86"/>
      <c r="T318" s="845"/>
      <c r="U318" s="845"/>
    </row>
    <row r="319" spans="1:22" s="36" customFormat="1" ht="12" customHeight="1">
      <c r="A319" s="686" t="s">
        <v>1842</v>
      </c>
      <c r="B319" s="141" t="s">
        <v>3348</v>
      </c>
      <c r="C319" s="67"/>
      <c r="D319" s="44"/>
      <c r="E319" s="29"/>
      <c r="G319" s="1448"/>
      <c r="I319" s="33" t="s">
        <v>4083</v>
      </c>
      <c r="K319" s="1607" t="str">
        <f>'Part VIII Scoring Criteria'!P41</f>
        <v>No</v>
      </c>
      <c r="M319" s="458">
        <v>2</v>
      </c>
      <c r="N319" s="48" t="s">
        <v>1842</v>
      </c>
      <c r="P319" s="416"/>
      <c r="Q319" s="86"/>
      <c r="R319" s="867" t="s">
        <v>2461</v>
      </c>
    </row>
    <row r="320" spans="1:22" s="70" customFormat="1" ht="10.5" customHeight="1">
      <c r="A320" s="686"/>
      <c r="B320" s="306" t="s">
        <v>1845</v>
      </c>
      <c r="C320" s="29" t="s">
        <v>3845</v>
      </c>
      <c r="D320" s="26"/>
      <c r="N320" s="348" t="s">
        <v>3846</v>
      </c>
      <c r="O320" s="175" t="s">
        <v>6926</v>
      </c>
      <c r="P320" s="419"/>
      <c r="R320" s="307"/>
    </row>
    <row r="321" spans="1:19" s="70" customFormat="1" ht="10.5" customHeight="1">
      <c r="A321" s="686"/>
      <c r="B321" s="306"/>
      <c r="C321" s="29" t="s">
        <v>6585</v>
      </c>
      <c r="D321" s="26"/>
      <c r="N321" s="348" t="s">
        <v>3847</v>
      </c>
      <c r="O321" s="299" t="s">
        <v>6926</v>
      </c>
      <c r="P321" s="420"/>
      <c r="R321" s="307"/>
    </row>
    <row r="322" spans="1:19" s="70" customFormat="1" ht="10.5" customHeight="1">
      <c r="A322" s="686"/>
      <c r="B322" s="306" t="s">
        <v>1847</v>
      </c>
      <c r="C322" s="29" t="s">
        <v>3353</v>
      </c>
      <c r="D322" s="26"/>
      <c r="N322" s="348" t="s">
        <v>1847</v>
      </c>
      <c r="O322" s="299" t="s">
        <v>6926</v>
      </c>
      <c r="P322" s="420"/>
      <c r="R322" s="307"/>
    </row>
    <row r="323" spans="1:19" s="70" customFormat="1" ht="10.5" customHeight="1">
      <c r="A323" s="686"/>
      <c r="B323" s="306" t="s">
        <v>2333</v>
      </c>
      <c r="C323" s="29" t="s">
        <v>3848</v>
      </c>
      <c r="D323" s="26"/>
      <c r="N323" s="348" t="s">
        <v>2333</v>
      </c>
      <c r="O323" s="299" t="s">
        <v>6926</v>
      </c>
      <c r="P323" s="420"/>
      <c r="R323" s="307"/>
    </row>
    <row r="324" spans="1:19" s="70" customFormat="1" ht="10.5" customHeight="1">
      <c r="A324" s="937"/>
      <c r="B324" s="306" t="s">
        <v>1151</v>
      </c>
      <c r="C324" s="29" t="s">
        <v>3354</v>
      </c>
      <c r="D324" s="26"/>
      <c r="N324" s="348" t="s">
        <v>1151</v>
      </c>
      <c r="O324" s="176" t="s">
        <v>6926</v>
      </c>
      <c r="P324" s="420"/>
      <c r="R324" s="307"/>
    </row>
    <row r="325" spans="1:19" s="36" customFormat="1" ht="12" customHeight="1">
      <c r="A325" s="686" t="s">
        <v>1844</v>
      </c>
      <c r="B325" s="141" t="s">
        <v>3349</v>
      </c>
      <c r="C325" s="67"/>
      <c r="D325" s="44"/>
      <c r="E325" s="29"/>
      <c r="G325" s="1448"/>
      <c r="I325" s="380"/>
      <c r="L325" s="922"/>
      <c r="M325" s="458">
        <v>2</v>
      </c>
      <c r="N325" s="48" t="s">
        <v>1844</v>
      </c>
      <c r="P325" s="416"/>
      <c r="Q325" s="86"/>
      <c r="R325" s="867" t="s">
        <v>2461</v>
      </c>
    </row>
    <row r="326" spans="1:19" s="70" customFormat="1" ht="10.5" customHeight="1">
      <c r="A326" s="121"/>
      <c r="B326" s="306" t="s">
        <v>1845</v>
      </c>
      <c r="C326" s="29" t="s">
        <v>3845</v>
      </c>
      <c r="D326" s="29"/>
      <c r="E326" s="29"/>
      <c r="M326" s="119"/>
      <c r="N326" s="348" t="s">
        <v>3846</v>
      </c>
      <c r="O326" s="175" t="s">
        <v>6926</v>
      </c>
      <c r="P326" s="419"/>
      <c r="Q326" s="86"/>
    </row>
    <row r="327" spans="1:19" s="70" customFormat="1" ht="10.5" customHeight="1">
      <c r="A327" s="107"/>
      <c r="B327" s="306"/>
      <c r="C327" s="29" t="s">
        <v>6586</v>
      </c>
      <c r="D327" s="26"/>
      <c r="N327" s="348" t="s">
        <v>3847</v>
      </c>
      <c r="O327" s="299" t="s">
        <v>6926</v>
      </c>
      <c r="P327" s="420"/>
      <c r="R327" s="307"/>
    </row>
    <row r="328" spans="1:19" s="70" customFormat="1" ht="10.5" customHeight="1">
      <c r="A328" s="107"/>
      <c r="B328" s="306" t="s">
        <v>1847</v>
      </c>
      <c r="C328" s="29" t="s">
        <v>3365</v>
      </c>
      <c r="D328" s="26"/>
      <c r="N328" s="348" t="s">
        <v>1847</v>
      </c>
      <c r="O328" s="299" t="s">
        <v>6926</v>
      </c>
      <c r="P328" s="420"/>
      <c r="R328" s="307"/>
    </row>
    <row r="329" spans="1:19" s="70" customFormat="1" ht="10.5" customHeight="1">
      <c r="B329" s="306" t="s">
        <v>2333</v>
      </c>
      <c r="C329" s="29" t="s">
        <v>3354</v>
      </c>
      <c r="D329" s="26"/>
      <c r="N329" s="348" t="s">
        <v>2333</v>
      </c>
      <c r="O329" s="176" t="s">
        <v>6926</v>
      </c>
      <c r="P329" s="421"/>
      <c r="R329" s="307"/>
    </row>
    <row r="330" spans="1:19" s="36" customFormat="1" ht="10.5" customHeight="1">
      <c r="B330" s="65" t="s">
        <v>1730</v>
      </c>
      <c r="C330" s="77"/>
      <c r="D330" s="65"/>
      <c r="E330" s="78"/>
      <c r="F330" s="889"/>
      <c r="G330" s="889"/>
      <c r="H330" s="889"/>
      <c r="I330" s="889"/>
      <c r="J330" s="889"/>
      <c r="K330" s="889"/>
      <c r="L330" s="889"/>
      <c r="M330" s="889"/>
      <c r="N330" s="55"/>
      <c r="O330" s="52"/>
      <c r="P330" s="119"/>
    </row>
    <row r="331" spans="1:19" s="36" customFormat="1" ht="11.25" customHeight="1">
      <c r="A331" s="3386"/>
      <c r="B331" s="3387"/>
      <c r="C331" s="3387"/>
      <c r="D331" s="3387"/>
      <c r="E331" s="3387"/>
      <c r="F331" s="3387"/>
      <c r="G331" s="3387"/>
      <c r="H331" s="3387"/>
      <c r="I331" s="3387"/>
      <c r="J331" s="3387"/>
      <c r="K331" s="3387"/>
      <c r="L331" s="3387"/>
      <c r="M331" s="3387"/>
      <c r="N331" s="3387"/>
      <c r="O331" s="3387"/>
      <c r="P331" s="3388"/>
      <c r="Q331" s="354"/>
    </row>
    <row r="332" spans="1:19" ht="2.25" customHeight="1" thickBot="1"/>
    <row r="333" spans="1:19" s="36" customFormat="1" ht="13.5" customHeight="1" thickBot="1">
      <c r="A333" s="121" t="s">
        <v>3377</v>
      </c>
      <c r="B333" s="83" t="s">
        <v>1556</v>
      </c>
      <c r="D333" s="67"/>
      <c r="E333" s="67"/>
      <c r="G333" s="29"/>
      <c r="M333" s="119">
        <v>0</v>
      </c>
      <c r="N333" s="321"/>
      <c r="O333" s="901"/>
      <c r="P333" s="885"/>
      <c r="Q333" s="86" t="s">
        <v>416</v>
      </c>
      <c r="R333" s="1649" t="s">
        <v>4064</v>
      </c>
      <c r="S333" s="1649"/>
    </row>
    <row r="334" spans="1:19" s="36" customFormat="1" ht="11.25" customHeight="1">
      <c r="A334" s="107"/>
      <c r="B334" s="89" t="s">
        <v>3157</v>
      </c>
      <c r="D334" s="67"/>
      <c r="E334" s="67"/>
      <c r="G334" s="29"/>
      <c r="I334" s="3067" t="s">
        <v>6065</v>
      </c>
      <c r="J334" s="3068"/>
      <c r="K334" s="3068"/>
      <c r="L334" s="3069"/>
      <c r="M334" s="53"/>
      <c r="N334" s="893"/>
      <c r="O334" s="922"/>
      <c r="P334" s="922"/>
      <c r="Q334" s="798"/>
      <c r="R334" s="1649"/>
      <c r="S334" s="1649"/>
    </row>
    <row r="335" spans="1:19" s="79" customFormat="1" ht="2.25" customHeight="1">
      <c r="B335" s="153"/>
      <c r="D335" s="32"/>
      <c r="E335" s="32"/>
      <c r="F335" s="32"/>
      <c r="G335" s="32"/>
      <c r="H335" s="32"/>
      <c r="I335" s="32"/>
      <c r="J335" s="32"/>
      <c r="K335" s="32"/>
      <c r="L335" s="32"/>
      <c r="M335" s="32"/>
      <c r="N335" s="48"/>
      <c r="O335" s="48"/>
      <c r="P335" s="48"/>
    </row>
    <row r="336" spans="1:19" s="70" customFormat="1" ht="10.5" customHeight="1" thickBot="1">
      <c r="A336" s="35"/>
      <c r="B336" s="939" t="s">
        <v>3244</v>
      </c>
      <c r="C336" s="35"/>
      <c r="D336" s="41"/>
      <c r="E336" s="41"/>
      <c r="F336" s="41"/>
      <c r="G336" s="41"/>
      <c r="H336" s="29"/>
      <c r="I336" s="29"/>
      <c r="J336" s="29"/>
      <c r="K336" s="29"/>
      <c r="M336" s="39"/>
      <c r="N336" s="5"/>
      <c r="O336" s="3"/>
      <c r="P336" s="119"/>
    </row>
    <row r="337" spans="1:20" s="36" customFormat="1" ht="20.25" customHeight="1" thickTop="1" thickBot="1">
      <c r="A337" s="3534" t="s">
        <v>6950</v>
      </c>
      <c r="B337" s="3535"/>
      <c r="C337" s="3535"/>
      <c r="D337" s="3535"/>
      <c r="E337" s="3535"/>
      <c r="F337" s="3535"/>
      <c r="G337" s="3535"/>
      <c r="H337" s="3535"/>
      <c r="I337" s="3535"/>
      <c r="J337" s="3535"/>
      <c r="K337" s="3535"/>
      <c r="L337" s="3535"/>
      <c r="M337" s="3535"/>
      <c r="N337" s="3535"/>
      <c r="O337" s="3535"/>
      <c r="P337" s="3536"/>
      <c r="Q337" s="355" t="s">
        <v>1181</v>
      </c>
    </row>
    <row r="338" spans="1:20" s="70" customFormat="1" ht="10.5" customHeight="1" thickTop="1">
      <c r="A338" s="35"/>
      <c r="B338" s="76" t="s">
        <v>1730</v>
      </c>
      <c r="C338" s="35"/>
      <c r="D338" s="76"/>
      <c r="E338" s="891"/>
      <c r="F338" s="891"/>
      <c r="G338" s="891"/>
      <c r="H338" s="891"/>
      <c r="I338" s="891"/>
      <c r="J338" s="891"/>
      <c r="K338" s="891"/>
      <c r="L338" s="891"/>
      <c r="M338" s="891"/>
      <c r="N338" s="71"/>
      <c r="O338" s="670"/>
      <c r="P338" s="119"/>
      <c r="Q338" s="36"/>
    </row>
    <row r="339" spans="1:20" s="36" customFormat="1" ht="11.25" customHeight="1">
      <c r="A339" s="3386"/>
      <c r="B339" s="3387"/>
      <c r="C339" s="3387"/>
      <c r="D339" s="3387"/>
      <c r="E339" s="3387"/>
      <c r="F339" s="3387"/>
      <c r="G339" s="3387"/>
      <c r="H339" s="3387"/>
      <c r="I339" s="3387"/>
      <c r="J339" s="3387"/>
      <c r="K339" s="3387"/>
      <c r="L339" s="3387"/>
      <c r="M339" s="3387"/>
      <c r="N339" s="3387"/>
      <c r="O339" s="3387"/>
      <c r="P339" s="3388"/>
      <c r="Q339" s="354"/>
    </row>
    <row r="340" spans="1:20" ht="3" customHeight="1" thickBot="1"/>
    <row r="341" spans="1:20" s="36" customFormat="1" ht="13.5" customHeight="1" thickBot="1">
      <c r="A341" s="120" t="s">
        <v>3380</v>
      </c>
      <c r="B341" s="83" t="s">
        <v>3351</v>
      </c>
      <c r="D341" s="67"/>
      <c r="E341" s="67"/>
      <c r="F341" s="29"/>
      <c r="G341" s="29"/>
      <c r="H341" s="29"/>
      <c r="J341" s="1981" t="s">
        <v>6146</v>
      </c>
      <c r="K341" s="1900" t="str">
        <f>IF(OR($M$34="9% Credit Competitive Round only", $M$34="9% Credit &amp; HOME"),"9%",IF(OR($M$34="4% Credit/TE Bond", $M$34="4% Credit/TE Bond &amp; HOME", $M$34="4% Credit/TE Bond &amp; HOME NOFA", $M$34="4% Credit &amp; NHTF", $M$34="4% Credit &amp; NHTF &amp; HOME"),"4%",""))</f>
        <v>4%</v>
      </c>
      <c r="M341" s="3">
        <v>2</v>
      </c>
      <c r="N341" s="5"/>
      <c r="O341" s="902">
        <f>MIN($M$341,O348+O368)</f>
        <v>0</v>
      </c>
      <c r="P341" s="902">
        <f>MIN($M$341,P348+P368)</f>
        <v>0</v>
      </c>
      <c r="Q341" s="86" t="s">
        <v>416</v>
      </c>
    </row>
    <row r="342" spans="1:20" s="36" customFormat="1" ht="10.5" customHeight="1">
      <c r="A342" s="35"/>
      <c r="B342" s="89" t="s">
        <v>6607</v>
      </c>
      <c r="E342" s="67"/>
      <c r="F342" s="29"/>
      <c r="G342" s="29"/>
      <c r="H342" s="29"/>
      <c r="I342" s="29"/>
      <c r="K342" s="31"/>
      <c r="L342" s="45"/>
      <c r="O342" s="31" t="s">
        <v>2309</v>
      </c>
      <c r="P342" s="31" t="s">
        <v>2309</v>
      </c>
    </row>
    <row r="343" spans="1:20" s="79" customFormat="1" ht="12.75" customHeight="1">
      <c r="B343" s="49" t="s">
        <v>2241</v>
      </c>
      <c r="C343" s="29" t="s">
        <v>2519</v>
      </c>
      <c r="E343" s="67"/>
      <c r="F343" s="29"/>
      <c r="G343" s="29"/>
      <c r="H343" s="29"/>
      <c r="I343" s="29"/>
      <c r="J343" s="36"/>
      <c r="K343" s="31"/>
      <c r="L343" s="3600" t="str">
        <f>IF(OR(O343="No",O343="",O344="No",O344="",O345="No",O345="",O346="No",O346=""),"Unmet criterion results in no points!","")</f>
        <v/>
      </c>
      <c r="M343" s="3600"/>
      <c r="N343" s="49" t="s">
        <v>2241</v>
      </c>
      <c r="O343" s="175" t="s">
        <v>2652</v>
      </c>
      <c r="P343" s="419"/>
      <c r="R343" s="3596" t="str">
        <f>IF(OR(P343="No",P343="",P344="No",P344="",P345="No",P345="",P346="No",P346=""),"Unmet criterion results in no points!","")</f>
        <v>Unmet criterion results in no points!</v>
      </c>
      <c r="S343" s="3596" t="e">
        <f>IF(OR(V343="No",V343="",V344="No",V344="",V345="No",V345="",V346="No",V346="",#REF!="No",#REF!="",#REF!="No",#REF!=""),"Unmet criterion results in no points!","")</f>
        <v>#REF!</v>
      </c>
    </row>
    <row r="344" spans="1:20" s="79" customFormat="1" ht="12.75" customHeight="1">
      <c r="B344" s="49" t="s">
        <v>2242</v>
      </c>
      <c r="C344" s="29" t="s">
        <v>3278</v>
      </c>
      <c r="L344" s="3600"/>
      <c r="M344" s="3600"/>
      <c r="N344" s="49" t="s">
        <v>2242</v>
      </c>
      <c r="O344" s="299" t="s">
        <v>2652</v>
      </c>
      <c r="P344" s="420"/>
      <c r="R344" s="3596"/>
      <c r="S344" s="3596"/>
    </row>
    <row r="345" spans="1:20" s="79" customFormat="1" ht="12.75" customHeight="1">
      <c r="B345" s="49" t="s">
        <v>2243</v>
      </c>
      <c r="C345" s="29" t="s">
        <v>3277</v>
      </c>
      <c r="L345" s="3600"/>
      <c r="M345" s="3600"/>
      <c r="N345" s="49" t="s">
        <v>2243</v>
      </c>
      <c r="O345" s="299" t="s">
        <v>2652</v>
      </c>
      <c r="P345" s="420"/>
      <c r="R345" s="3596"/>
      <c r="S345" s="3596"/>
    </row>
    <row r="346" spans="1:20" s="79" customFormat="1" ht="33.75" customHeight="1">
      <c r="B346" s="117" t="s">
        <v>2244</v>
      </c>
      <c r="C346" s="3218" t="s">
        <v>6606</v>
      </c>
      <c r="D346" s="3218"/>
      <c r="E346" s="3218"/>
      <c r="F346" s="3218"/>
      <c r="G346" s="3218"/>
      <c r="H346" s="3218"/>
      <c r="I346" s="3218"/>
      <c r="J346" s="3218"/>
      <c r="K346" s="3218"/>
      <c r="L346" s="3218"/>
      <c r="M346" s="3218"/>
      <c r="N346" s="117" t="s">
        <v>2244</v>
      </c>
      <c r="O346" s="898" t="s">
        <v>2652</v>
      </c>
      <c r="P346" s="897"/>
    </row>
    <row r="347" spans="1:20" ht="3" customHeight="1" thickBot="1">
      <c r="C347" s="3218"/>
      <c r="D347" s="3218"/>
      <c r="E347" s="3218"/>
      <c r="F347" s="3218"/>
      <c r="G347" s="3218"/>
      <c r="H347" s="3218"/>
      <c r="I347" s="3218"/>
      <c r="J347" s="3218"/>
      <c r="K347" s="3218"/>
      <c r="L347" s="3218"/>
      <c r="M347" s="3218"/>
    </row>
    <row r="348" spans="1:20" ht="12.75" customHeight="1" thickBot="1">
      <c r="A348" s="806" t="s">
        <v>1842</v>
      </c>
      <c r="B348" s="141" t="s">
        <v>3352</v>
      </c>
      <c r="L348" s="307" t="str">
        <f>IF(O348&lt;=M348,"","* * Check Score! * *")</f>
        <v/>
      </c>
      <c r="M348" s="458">
        <v>3</v>
      </c>
      <c r="N348" s="48" t="s">
        <v>1842</v>
      </c>
      <c r="O348" s="1628">
        <v>0</v>
      </c>
      <c r="P348" s="1629"/>
      <c r="Q348" s="798" t="str">
        <f>IF(O348&lt;=M348,"","*CHECK!*")</f>
        <v/>
      </c>
      <c r="R348" s="393" t="s">
        <v>4064</v>
      </c>
      <c r="S348" s="393"/>
      <c r="T348" s="1428"/>
    </row>
    <row r="349" spans="1:20" ht="12.75" customHeight="1">
      <c r="A349" s="806"/>
      <c r="B349" s="685" t="s">
        <v>6718</v>
      </c>
      <c r="C349" s="108"/>
      <c r="D349" s="108"/>
      <c r="E349" s="108"/>
      <c r="F349" s="108"/>
      <c r="G349" s="108"/>
      <c r="H349" s="108"/>
      <c r="I349" s="108"/>
      <c r="N349"/>
      <c r="O349" s="1402" t="s">
        <v>2655</v>
      </c>
      <c r="P349" s="1401"/>
      <c r="R349" s="393"/>
      <c r="S349" s="393"/>
      <c r="T349" s="1428"/>
    </row>
    <row r="350" spans="1:20" ht="12.75" customHeight="1">
      <c r="A350" s="806"/>
      <c r="B350" s="1953" t="s">
        <v>6717</v>
      </c>
      <c r="C350" s="108"/>
      <c r="D350" s="108"/>
      <c r="E350" s="108"/>
      <c r="F350" s="108"/>
      <c r="G350" s="108"/>
      <c r="H350" s="108"/>
      <c r="I350" s="108"/>
      <c r="J350" s="3593" t="s">
        <v>1849</v>
      </c>
      <c r="K350" s="3593"/>
      <c r="M350" s="3593" t="s">
        <v>1849</v>
      </c>
      <c r="N350" s="3593"/>
      <c r="O350" s="3593"/>
      <c r="P350" s="3593"/>
      <c r="R350" s="1835"/>
      <c r="S350" s="1835"/>
      <c r="T350" s="1428"/>
    </row>
    <row r="351" spans="1:20" s="36" customFormat="1" ht="12.75" customHeight="1">
      <c r="A351" s="151"/>
      <c r="B351" s="150" t="s">
        <v>6608</v>
      </c>
      <c r="C351" s="29" t="s">
        <v>1389</v>
      </c>
      <c r="I351" s="49" t="s">
        <v>2241</v>
      </c>
      <c r="J351" s="3686"/>
      <c r="K351" s="3687"/>
      <c r="L351" s="49" t="s">
        <v>2241</v>
      </c>
      <c r="M351" s="3550"/>
      <c r="N351" s="3551"/>
      <c r="O351" s="3551"/>
      <c r="P351" s="3552"/>
      <c r="R351" s="307"/>
    </row>
    <row r="352" spans="1:20" ht="12.75" customHeight="1">
      <c r="A352" s="152"/>
      <c r="B352" s="117" t="s">
        <v>2242</v>
      </c>
      <c r="C352" s="29" t="s">
        <v>3159</v>
      </c>
      <c r="I352" s="117" t="s">
        <v>2242</v>
      </c>
      <c r="J352" s="3545"/>
      <c r="K352" s="3546"/>
      <c r="L352" s="117" t="s">
        <v>2242</v>
      </c>
      <c r="M352" s="3547"/>
      <c r="N352" s="3548"/>
      <c r="O352" s="3548"/>
      <c r="P352" s="3549"/>
      <c r="R352" s="307"/>
    </row>
    <row r="353" spans="1:22" ht="12.75" customHeight="1">
      <c r="B353" s="49" t="s">
        <v>2243</v>
      </c>
      <c r="C353" s="29" t="s">
        <v>3959</v>
      </c>
      <c r="I353" s="49" t="s">
        <v>2243</v>
      </c>
      <c r="J353" s="3545"/>
      <c r="K353" s="3546"/>
      <c r="L353" s="49" t="s">
        <v>2243</v>
      </c>
      <c r="M353" s="3547"/>
      <c r="N353" s="3548"/>
      <c r="O353" s="3548"/>
      <c r="P353" s="3549"/>
      <c r="R353" s="307"/>
    </row>
    <row r="354" spans="1:22" ht="12.75" customHeight="1">
      <c r="A354" s="152"/>
      <c r="B354" s="49" t="s">
        <v>2244</v>
      </c>
      <c r="C354" s="29" t="s">
        <v>3075</v>
      </c>
      <c r="I354" s="49" t="s">
        <v>2244</v>
      </c>
      <c r="J354" s="3545"/>
      <c r="K354" s="3546"/>
      <c r="L354" s="49" t="s">
        <v>2244</v>
      </c>
      <c r="M354" s="3547"/>
      <c r="N354" s="3548"/>
      <c r="O354" s="3548"/>
      <c r="P354" s="3549"/>
      <c r="R354" s="307"/>
    </row>
    <row r="355" spans="1:22" s="36" customFormat="1" ht="12.75" customHeight="1">
      <c r="A355" s="151"/>
      <c r="B355" s="117" t="s">
        <v>2245</v>
      </c>
      <c r="C355" s="29" t="s">
        <v>2475</v>
      </c>
      <c r="I355" s="117" t="s">
        <v>2245</v>
      </c>
      <c r="J355" s="3545"/>
      <c r="K355" s="3546"/>
      <c r="L355" s="117" t="s">
        <v>2245</v>
      </c>
      <c r="M355" s="3547"/>
      <c r="N355" s="3548"/>
      <c r="O355" s="3548"/>
      <c r="P355" s="3549"/>
      <c r="R355" s="307"/>
    </row>
    <row r="356" spans="1:22" ht="12.75" customHeight="1">
      <c r="B356" s="49" t="s">
        <v>2261</v>
      </c>
      <c r="C356" s="29" t="s">
        <v>1388</v>
      </c>
      <c r="I356" s="49" t="s">
        <v>2261</v>
      </c>
      <c r="J356" s="3545"/>
      <c r="K356" s="3546"/>
      <c r="L356" s="49" t="s">
        <v>2261</v>
      </c>
      <c r="M356" s="3547"/>
      <c r="N356" s="3548"/>
      <c r="O356" s="3548"/>
      <c r="P356" s="3549"/>
      <c r="R356" s="307"/>
    </row>
    <row r="357" spans="1:22" ht="12.75" customHeight="1">
      <c r="B357" s="49" t="s">
        <v>2262</v>
      </c>
      <c r="C357" s="29" t="s">
        <v>6241</v>
      </c>
      <c r="I357" s="49" t="s">
        <v>2262</v>
      </c>
      <c r="J357" s="3545"/>
      <c r="K357" s="3546"/>
      <c r="L357" s="49" t="s">
        <v>2262</v>
      </c>
      <c r="M357" s="1603"/>
      <c r="N357" s="1604"/>
      <c r="O357" s="1604"/>
      <c r="P357" s="1605"/>
      <c r="R357" s="307"/>
    </row>
    <row r="358" spans="1:22" ht="12.75" customHeight="1">
      <c r="A358" s="152"/>
      <c r="B358" s="48" t="s">
        <v>2263</v>
      </c>
      <c r="C358" s="29" t="s">
        <v>3158</v>
      </c>
      <c r="I358" s="48" t="s">
        <v>2263</v>
      </c>
      <c r="J358" s="3545"/>
      <c r="K358" s="3546"/>
      <c r="L358" s="48" t="s">
        <v>2263</v>
      </c>
      <c r="M358" s="3547"/>
      <c r="N358" s="3548"/>
      <c r="O358" s="3548"/>
      <c r="P358" s="3549"/>
      <c r="R358" s="307"/>
    </row>
    <row r="359" spans="1:22" ht="12.75" customHeight="1">
      <c r="B359" s="48" t="s">
        <v>2264</v>
      </c>
      <c r="C359" s="29" t="s">
        <v>6609</v>
      </c>
      <c r="I359" s="48" t="s">
        <v>2264</v>
      </c>
      <c r="J359" s="3545"/>
      <c r="K359" s="3546"/>
      <c r="L359" s="48" t="s">
        <v>2264</v>
      </c>
      <c r="M359" s="3547"/>
      <c r="N359" s="3548"/>
      <c r="O359" s="3548"/>
      <c r="P359" s="3549"/>
      <c r="R359" s="307"/>
    </row>
    <row r="360" spans="1:22" ht="12.75" customHeight="1">
      <c r="B360" s="48" t="s">
        <v>3160</v>
      </c>
      <c r="C360" s="29" t="s">
        <v>3831</v>
      </c>
      <c r="I360" s="48" t="s">
        <v>3160</v>
      </c>
      <c r="J360" s="3545"/>
      <c r="K360" s="3546"/>
      <c r="L360" s="48" t="s">
        <v>3160</v>
      </c>
      <c r="M360" s="3547"/>
      <c r="N360" s="3548"/>
      <c r="O360" s="3548"/>
      <c r="P360" s="3549"/>
      <c r="R360" s="307"/>
    </row>
    <row r="361" spans="1:22" ht="12.75" customHeight="1" thickBot="1">
      <c r="B361" s="48" t="s">
        <v>6242</v>
      </c>
      <c r="C361" s="29" t="s">
        <v>6243</v>
      </c>
      <c r="I361" s="48" t="s">
        <v>6242</v>
      </c>
      <c r="J361" s="3545"/>
      <c r="K361" s="3546"/>
      <c r="L361" s="48" t="s">
        <v>6242</v>
      </c>
      <c r="M361" s="3586"/>
      <c r="N361" s="3587"/>
      <c r="O361" s="3587"/>
      <c r="P361" s="3588"/>
      <c r="R361" s="307"/>
    </row>
    <row r="362" spans="1:22" ht="12.75" customHeight="1" thickBot="1">
      <c r="B362" s="921" t="s">
        <v>6610</v>
      </c>
      <c r="H362" s="89" t="s">
        <v>2414</v>
      </c>
      <c r="J362" s="3682">
        <f>SUM(J351:K361)</f>
        <v>0</v>
      </c>
      <c r="K362" s="3683"/>
      <c r="M362" s="3682">
        <f>SUM($M351:$M361)</f>
        <v>0</v>
      </c>
      <c r="N362" s="3685"/>
      <c r="O362" s="3685"/>
      <c r="P362" s="3683"/>
      <c r="R362" s="307"/>
    </row>
    <row r="363" spans="1:22" ht="6" customHeight="1">
      <c r="M363" s="393"/>
      <c r="N363" s="393"/>
      <c r="O363" s="115"/>
      <c r="P363" s="393"/>
    </row>
    <row r="364" spans="1:22" s="36" customFormat="1" ht="12" customHeight="1">
      <c r="A364" s="35"/>
      <c r="B364" s="1195" t="s">
        <v>1847</v>
      </c>
      <c r="C364" s="400" t="s">
        <v>2413</v>
      </c>
      <c r="D364" s="230"/>
      <c r="E364" s="230"/>
      <c r="F364" s="33" t="s">
        <v>6244</v>
      </c>
      <c r="H364"/>
      <c r="I364"/>
      <c r="J364" s="3562">
        <f>'Part V-Revenues &amp; Expenses'!$P$67</f>
        <v>120</v>
      </c>
      <c r="K364" s="3563"/>
      <c r="L364" s="430"/>
      <c r="M364" s="393"/>
      <c r="N364" s="393"/>
      <c r="O364" s="883"/>
      <c r="P364" s="393"/>
    </row>
    <row r="365" spans="1:22" ht="13.5" customHeight="1">
      <c r="C365" s="230"/>
      <c r="D365" s="230"/>
      <c r="E365" s="230"/>
      <c r="F365" s="349" t="s">
        <v>6245</v>
      </c>
      <c r="J365" s="3560">
        <f>IF(J364=0,0,J362/J364)</f>
        <v>0</v>
      </c>
      <c r="K365" s="3561"/>
      <c r="M365" s="3688">
        <f>IF($J364=0,0,$M362/$J364)</f>
        <v>0</v>
      </c>
      <c r="N365" s="3689"/>
      <c r="O365" s="3689"/>
      <c r="P365" s="3690"/>
    </row>
    <row r="366" spans="1:22" s="36" customFormat="1" ht="12.75" customHeight="1">
      <c r="C366" s="230"/>
      <c r="D366" s="230"/>
      <c r="E366" s="230"/>
      <c r="F366" s="44" t="s">
        <v>6246</v>
      </c>
      <c r="I366"/>
      <c r="J366" s="3557">
        <f>IF(L343="", IF($J365&gt;=30000, 3,IF($J365&gt;=20000, 2,IF($J365&gt;=10000,1,0))),0)</f>
        <v>0</v>
      </c>
      <c r="K366" s="3559"/>
      <c r="L366" s="398"/>
      <c r="M366" s="3557">
        <f>IF(R343="", IF($M365&gt;=30000, 3,IF($M365&gt;=20000, 2,IF($M365&gt;=10000,1,0))),0)</f>
        <v>0</v>
      </c>
      <c r="N366" s="3558"/>
      <c r="O366" s="3558"/>
      <c r="P366" s="3559"/>
    </row>
    <row r="367" spans="1:22" ht="9" customHeight="1" thickBot="1"/>
    <row r="368" spans="1:22" s="70" customFormat="1" ht="12.75" customHeight="1" thickBot="1">
      <c r="A368" s="686" t="s">
        <v>1844</v>
      </c>
      <c r="B368" s="153" t="s">
        <v>3161</v>
      </c>
      <c r="D368" s="32"/>
      <c r="E368" s="29"/>
      <c r="F368" s="119"/>
      <c r="H368" s="29"/>
      <c r="I368" s="119"/>
      <c r="J368" s="33"/>
      <c r="K368" s="33"/>
      <c r="L368" s="307" t="str">
        <f>IF(OR($O368=$M368,$O368=0,$O368=""),"","* * Check Score! * *")</f>
        <v/>
      </c>
      <c r="M368" s="458">
        <v>1</v>
      </c>
      <c r="N368" s="48" t="s">
        <v>1844</v>
      </c>
      <c r="O368" s="901">
        <v>0</v>
      </c>
      <c r="P368" s="885"/>
      <c r="Q368" s="795" t="s">
        <v>4064</v>
      </c>
      <c r="V368" s="845"/>
    </row>
    <row r="369" spans="1:22" s="36" customFormat="1" ht="22.5" customHeight="1">
      <c r="A369" s="107"/>
      <c r="B369" s="350" t="s">
        <v>1845</v>
      </c>
      <c r="C369" s="3218" t="s">
        <v>6611</v>
      </c>
      <c r="D369" s="3218"/>
      <c r="E369" s="3218"/>
      <c r="F369" s="3218"/>
      <c r="G369" s="3218"/>
      <c r="H369" s="3218"/>
      <c r="I369" s="3218"/>
      <c r="J369" s="3218"/>
      <c r="K369" s="3218"/>
      <c r="L369" s="3218"/>
      <c r="M369" s="3218"/>
      <c r="N369" s="374" t="s">
        <v>1845</v>
      </c>
      <c r="O369" s="838" t="s">
        <v>2652</v>
      </c>
      <c r="P369" s="1592"/>
      <c r="V369" s="845"/>
    </row>
    <row r="370" spans="1:22" s="36" customFormat="1" ht="12.75" customHeight="1">
      <c r="A370" s="107"/>
      <c r="B370" s="306" t="s">
        <v>1847</v>
      </c>
      <c r="C370" s="29" t="s">
        <v>3272</v>
      </c>
      <c r="D370" s="29"/>
      <c r="E370" s="29"/>
      <c r="F370" s="29"/>
      <c r="G370" s="29"/>
      <c r="H370" s="29"/>
      <c r="I370" s="29"/>
      <c r="J370" s="29"/>
      <c r="K370" s="29"/>
      <c r="M370" s="29"/>
      <c r="N370" s="348" t="s">
        <v>1847</v>
      </c>
      <c r="O370" s="299" t="s">
        <v>2652</v>
      </c>
      <c r="P370" s="420"/>
      <c r="V370" s="845"/>
    </row>
    <row r="371" spans="1:22" ht="12.75" customHeight="1">
      <c r="B371" s="306" t="s">
        <v>2333</v>
      </c>
      <c r="C371" s="44" t="s">
        <v>3832</v>
      </c>
      <c r="N371" s="348" t="s">
        <v>2333</v>
      </c>
      <c r="O371" s="176" t="s">
        <v>2652</v>
      </c>
      <c r="P371" s="421"/>
    </row>
    <row r="372" spans="1:22" ht="12" customHeight="1" thickBot="1">
      <c r="B372" s="939" t="s">
        <v>3244</v>
      </c>
    </row>
    <row r="373" spans="1:22" s="36" customFormat="1" ht="21.75" customHeight="1" thickTop="1" thickBot="1">
      <c r="A373" s="3534" t="s">
        <v>6948</v>
      </c>
      <c r="B373" s="3535"/>
      <c r="C373" s="3535"/>
      <c r="D373" s="3535"/>
      <c r="E373" s="3535"/>
      <c r="F373" s="3535"/>
      <c r="G373" s="3535"/>
      <c r="H373" s="3535"/>
      <c r="I373" s="3535"/>
      <c r="J373" s="3535"/>
      <c r="K373" s="3535"/>
      <c r="L373" s="3535"/>
      <c r="M373" s="3535"/>
      <c r="N373" s="3535"/>
      <c r="O373" s="3535"/>
      <c r="P373" s="3536"/>
      <c r="Q373" s="355" t="s">
        <v>1181</v>
      </c>
    </row>
    <row r="374" spans="1:22" s="70" customFormat="1" ht="11.25" customHeight="1" thickTop="1">
      <c r="A374" s="35"/>
      <c r="B374" s="395" t="s">
        <v>1730</v>
      </c>
      <c r="C374" s="77"/>
      <c r="D374" s="76"/>
      <c r="E374" s="154"/>
      <c r="F374" s="891"/>
      <c r="G374" s="891"/>
      <c r="H374" s="891"/>
      <c r="I374" s="891"/>
      <c r="J374" s="891"/>
      <c r="K374" s="891"/>
      <c r="L374" s="891"/>
      <c r="M374" s="891"/>
      <c r="N374" s="71"/>
      <c r="O374" s="670"/>
      <c r="P374" s="119"/>
      <c r="Q374" s="36"/>
    </row>
    <row r="375" spans="1:22" s="36" customFormat="1" ht="11.25" customHeight="1">
      <c r="A375" s="3386"/>
      <c r="B375" s="3387"/>
      <c r="C375" s="3387"/>
      <c r="D375" s="3387"/>
      <c r="E375" s="3387"/>
      <c r="F375" s="3387"/>
      <c r="G375" s="3387"/>
      <c r="H375" s="3387"/>
      <c r="I375" s="3387"/>
      <c r="J375" s="3387"/>
      <c r="K375" s="3387"/>
      <c r="L375" s="3387"/>
      <c r="M375" s="3387"/>
      <c r="N375" s="3387"/>
      <c r="O375" s="3387"/>
      <c r="P375" s="3388"/>
      <c r="Q375" s="354"/>
    </row>
    <row r="376" spans="1:22" s="36" customFormat="1" ht="3" customHeight="1" thickBot="1">
      <c r="A376" s="35"/>
      <c r="B376" s="35"/>
      <c r="C376" s="889"/>
      <c r="D376" s="889"/>
      <c r="E376" s="889"/>
      <c r="F376" s="889"/>
      <c r="G376" s="889"/>
      <c r="H376" s="889"/>
      <c r="I376" s="889"/>
      <c r="J376" s="889"/>
      <c r="K376" s="889"/>
      <c r="L376" s="889"/>
      <c r="M376" s="889"/>
      <c r="N376" s="55"/>
      <c r="O376" s="52"/>
      <c r="P376" s="119"/>
    </row>
    <row r="377" spans="1:22" s="36" customFormat="1" ht="13.5" customHeight="1" thickBot="1">
      <c r="A377" s="120" t="s">
        <v>3381</v>
      </c>
      <c r="B377" s="83" t="s">
        <v>2471</v>
      </c>
      <c r="D377" s="33"/>
      <c r="G377" s="46" t="s">
        <v>6090</v>
      </c>
      <c r="I377" s="1550" t="s">
        <v>6257</v>
      </c>
      <c r="J377" s="1549" t="str">
        <f>IF(OR($M$34="9% Credit Competitive Round only", $M$34="9% Credit &amp; HOME"),"9%",IF(OR($M$34="4% Credit/TE Bond", $M$34="4% Credit/TE Bond &amp; HOME", $M$34="4% Credit/TE Bond &amp; HOME NOFA", $M$34="4% Credit &amp; NHTF", $M$34="4% Credit &amp; NHTF &amp; HOME"),"4%",""))</f>
        <v>4%</v>
      </c>
      <c r="K377" s="1550" t="s">
        <v>363</v>
      </c>
      <c r="L377" s="1549" t="str">
        <f>M54</f>
        <v>Preservation</v>
      </c>
      <c r="M377" s="119">
        <v>0</v>
      </c>
      <c r="N377" s="48"/>
      <c r="O377" s="868">
        <f>MIN($M377,O381+O388)</f>
        <v>0</v>
      </c>
      <c r="P377" s="900">
        <f>MIN($M377,P381+P388)</f>
        <v>0</v>
      </c>
      <c r="Q377" s="86" t="s">
        <v>416</v>
      </c>
      <c r="R377" s="1959" t="str">
        <f>IF(AND(O377&gt;0,NOT($M$54="New Supply")), "Ineligible to score in this section, not New Supply!","")</f>
        <v/>
      </c>
    </row>
    <row r="378" spans="1:22" s="332" customFormat="1" ht="1.5" customHeight="1">
      <c r="B378" s="350"/>
      <c r="F378" s="347"/>
      <c r="G378" s="686"/>
      <c r="M378" s="333"/>
      <c r="N378" s="333"/>
      <c r="O378" s="333"/>
      <c r="P378" s="333"/>
      <c r="Q378" s="147"/>
    </row>
    <row r="379" spans="1:22" s="332" customFormat="1" ht="12.75" customHeight="1">
      <c r="A379" s="121"/>
      <c r="B379" s="685" t="s">
        <v>3076</v>
      </c>
      <c r="D379" s="3067" t="s">
        <v>3891</v>
      </c>
      <c r="E379" s="3068"/>
      <c r="F379" s="3068"/>
      <c r="G379" s="3068"/>
      <c r="H379" s="3068"/>
      <c r="I379" s="3069"/>
      <c r="J379" s="108" t="s">
        <v>2522</v>
      </c>
      <c r="L379" s="410">
        <f>'Part II-Sources of Funds'!$I$53</f>
        <v>0</v>
      </c>
      <c r="M379" s="333"/>
      <c r="N379" s="333"/>
      <c r="O379" s="333"/>
      <c r="P379" s="333"/>
      <c r="Q379" s="147"/>
    </row>
    <row r="380" spans="1:22" s="332" customFormat="1" ht="1.5" customHeight="1">
      <c r="B380" s="350"/>
      <c r="M380" s="333"/>
      <c r="N380" s="333"/>
      <c r="O380" s="333"/>
      <c r="P380" s="333"/>
      <c r="Q380" s="147"/>
    </row>
    <row r="381" spans="1:22" s="332" customFormat="1" ht="12.75" customHeight="1">
      <c r="A381" s="950" t="s">
        <v>1842</v>
      </c>
      <c r="B381" s="66" t="s">
        <v>3960</v>
      </c>
      <c r="C381" s="108"/>
      <c r="D381" s="108"/>
      <c r="E381" s="108"/>
      <c r="F381" s="108"/>
      <c r="G381" s="108"/>
      <c r="H381" s="108"/>
      <c r="I381" s="108"/>
      <c r="M381" s="1847">
        <v>2</v>
      </c>
      <c r="N381" s="128" t="s">
        <v>1842</v>
      </c>
      <c r="O381" s="459">
        <v>0</v>
      </c>
      <c r="P381" s="1080"/>
      <c r="Q381" s="798" t="str">
        <f>IF(OR($O381=$M381,$O381=0,$O381=""),"","*CHECK!*")</f>
        <v/>
      </c>
      <c r="R381" s="795" t="s">
        <v>4064</v>
      </c>
    </row>
    <row r="382" spans="1:22" s="332" customFormat="1" ht="12" customHeight="1">
      <c r="A382" s="331"/>
      <c r="B382" s="3375" t="s">
        <v>6612</v>
      </c>
      <c r="C382" s="3375"/>
      <c r="D382" s="3375"/>
      <c r="E382" s="3375"/>
      <c r="F382" s="3375"/>
      <c r="G382" s="3375"/>
      <c r="H382" s="3375"/>
      <c r="I382" s="3375"/>
      <c r="J382" s="3375"/>
      <c r="K382" s="3375"/>
      <c r="L382" s="3375"/>
      <c r="M382" s="3585" t="s">
        <v>3892</v>
      </c>
      <c r="N382" s="3585"/>
      <c r="Q382" s="147"/>
    </row>
    <row r="383" spans="1:22" s="332" customFormat="1" ht="12" customHeight="1">
      <c r="B383" s="3375"/>
      <c r="C383" s="3375"/>
      <c r="D383" s="3375"/>
      <c r="E383" s="3375"/>
      <c r="F383" s="3375"/>
      <c r="G383" s="3375"/>
      <c r="H383" s="3375"/>
      <c r="I383" s="3375"/>
      <c r="J383" s="3375"/>
      <c r="K383" s="3375"/>
      <c r="L383" s="3375"/>
      <c r="M383" s="3585"/>
      <c r="N383" s="3585"/>
      <c r="O383" s="3591">
        <f>'Part V-Revenues &amp; Expenses'!$P$123</f>
        <v>0</v>
      </c>
      <c r="P383" s="3592"/>
      <c r="Q383" s="147"/>
    </row>
    <row r="384" spans="1:22" s="332" customFormat="1" ht="12" customHeight="1">
      <c r="B384" s="3375"/>
      <c r="C384" s="3375"/>
      <c r="D384" s="3375"/>
      <c r="E384" s="3375"/>
      <c r="F384" s="3375"/>
      <c r="G384" s="3375"/>
      <c r="H384" s="3375"/>
      <c r="I384" s="3375"/>
      <c r="J384" s="3375"/>
      <c r="K384" s="3375"/>
      <c r="L384" s="3375"/>
      <c r="M384" s="241" t="s">
        <v>2520</v>
      </c>
      <c r="N384" s="333"/>
      <c r="O384" s="3589">
        <f>'Part V-Revenues &amp; Expenses'!$P$67</f>
        <v>120</v>
      </c>
      <c r="P384" s="3590"/>
      <c r="Q384" s="147"/>
    </row>
    <row r="385" spans="1:19" s="332" customFormat="1" ht="12" customHeight="1">
      <c r="B385" s="3582"/>
      <c r="C385" s="3582"/>
      <c r="D385" s="3582"/>
      <c r="E385" s="3582"/>
      <c r="F385" s="3582"/>
      <c r="G385" s="3582"/>
      <c r="H385" s="3582"/>
      <c r="I385" s="3582"/>
      <c r="J385" s="3582"/>
      <c r="K385" s="3582"/>
      <c r="L385" s="3582"/>
      <c r="M385" s="1196" t="s">
        <v>2521</v>
      </c>
      <c r="N385" s="333"/>
      <c r="O385" s="3583">
        <f>IF(O384=0,0,O383/O384)</f>
        <v>0</v>
      </c>
      <c r="P385" s="3584"/>
      <c r="Q385" s="147"/>
    </row>
    <row r="386" spans="1:19" s="36" customFormat="1" ht="105.75" customHeight="1">
      <c r="A386" s="411"/>
      <c r="B386" s="3364" t="s">
        <v>6949</v>
      </c>
      <c r="C386" s="3365"/>
      <c r="D386" s="3365"/>
      <c r="E386" s="3365"/>
      <c r="F386" s="3365"/>
      <c r="G386" s="3365"/>
      <c r="H386" s="3365"/>
      <c r="I386" s="3365"/>
      <c r="J386" s="3365"/>
      <c r="K386" s="3365"/>
      <c r="L386" s="3365"/>
      <c r="M386" s="3365"/>
      <c r="N386" s="3365"/>
      <c r="O386" s="3365"/>
      <c r="P386" s="3366"/>
      <c r="Q386" s="354" t="s">
        <v>1181</v>
      </c>
      <c r="R386" s="355"/>
      <c r="S386" s="355"/>
    </row>
    <row r="387" spans="1:19" s="332" customFormat="1" ht="1.5" customHeight="1">
      <c r="A387" s="456"/>
      <c r="B387" s="350"/>
      <c r="F387" s="347"/>
      <c r="G387" s="686"/>
      <c r="M387" s="333"/>
      <c r="N387" s="333"/>
      <c r="O387" s="333"/>
      <c r="P387" s="333"/>
      <c r="Q387" s="147"/>
    </row>
    <row r="388" spans="1:19" s="332" customFormat="1" ht="12" customHeight="1">
      <c r="A388" s="412" t="s">
        <v>3418</v>
      </c>
      <c r="B388" s="100" t="s">
        <v>3961</v>
      </c>
      <c r="C388" s="108"/>
      <c r="H388" s="108"/>
      <c r="M388" s="333">
        <v>2</v>
      </c>
      <c r="N388" s="128" t="s">
        <v>1844</v>
      </c>
      <c r="O388" s="459"/>
      <c r="P388" s="1080"/>
      <c r="Q388" s="798" t="str">
        <f>IF(OR($O388=$M388,$O388=0,$O388=""),"","*CHECK!*")</f>
        <v/>
      </c>
      <c r="R388" s="795" t="s">
        <v>4064</v>
      </c>
    </row>
    <row r="389" spans="1:19" s="332" customFormat="1" ht="11.25" customHeight="1">
      <c r="A389" s="412"/>
      <c r="B389" s="108" t="s">
        <v>6613</v>
      </c>
      <c r="C389" s="108"/>
      <c r="D389" s="108"/>
      <c r="E389" s="108"/>
      <c r="F389" s="108"/>
      <c r="G389" s="108"/>
      <c r="H389" s="108"/>
      <c r="I389" s="108"/>
      <c r="J389" s="108"/>
      <c r="K389" s="108"/>
      <c r="L389" s="108"/>
      <c r="Q389" s="147"/>
    </row>
    <row r="390" spans="1:19" s="332" customFormat="1" ht="11.25" customHeight="1">
      <c r="A390" s="412"/>
      <c r="E390" s="1841"/>
      <c r="G390" s="1243" t="s">
        <v>3833</v>
      </c>
      <c r="H390" s="1843">
        <f>'Part V-Revenues &amp; Expenses'!$P$125</f>
        <v>0</v>
      </c>
      <c r="I390" s="949" t="s">
        <v>2520</v>
      </c>
      <c r="J390" s="410">
        <f>'Part V-Revenues &amp; Expenses'!$P$67</f>
        <v>120</v>
      </c>
      <c r="K390" s="1845" t="s">
        <v>2521</v>
      </c>
      <c r="L390" s="1844">
        <f>IF(J390=0,0,H390/J390)</f>
        <v>0</v>
      </c>
      <c r="N390" s="1842"/>
      <c r="Q390" s="147"/>
    </row>
    <row r="391" spans="1:19" s="36" customFormat="1" ht="11.25" customHeight="1" thickBot="1">
      <c r="A391" s="35"/>
      <c r="B391" s="939" t="s">
        <v>3244</v>
      </c>
      <c r="C391" s="35"/>
      <c r="D391" s="41"/>
      <c r="E391" s="41"/>
      <c r="F391" s="41"/>
      <c r="G391" s="41"/>
      <c r="H391" s="29"/>
      <c r="I391" s="29"/>
      <c r="J391" s="29"/>
      <c r="K391" s="29"/>
      <c r="M391" s="39"/>
      <c r="N391" s="47"/>
      <c r="O391" s="3"/>
      <c r="P391" s="24"/>
    </row>
    <row r="392" spans="1:19" s="36" customFormat="1" ht="73.5" customHeight="1" thickTop="1" thickBot="1">
      <c r="A392" s="3534" t="s">
        <v>6952</v>
      </c>
      <c r="B392" s="3535"/>
      <c r="C392" s="3535"/>
      <c r="D392" s="3535"/>
      <c r="E392" s="3535"/>
      <c r="F392" s="3535"/>
      <c r="G392" s="3535"/>
      <c r="H392" s="3535"/>
      <c r="I392" s="3535"/>
      <c r="J392" s="3535"/>
      <c r="K392" s="3535"/>
      <c r="L392" s="3535"/>
      <c r="M392" s="3535"/>
      <c r="N392" s="3535"/>
      <c r="O392" s="3535"/>
      <c r="P392" s="3536"/>
      <c r="Q392" s="355" t="s">
        <v>1181</v>
      </c>
      <c r="R392" s="355"/>
    </row>
    <row r="393" spans="1:19" s="36" customFormat="1" ht="10.5" customHeight="1" thickTop="1">
      <c r="B393" s="65" t="s">
        <v>1730</v>
      </c>
      <c r="C393" s="77"/>
      <c r="D393" s="65"/>
      <c r="E393" s="78"/>
      <c r="F393" s="889"/>
      <c r="G393" s="889"/>
      <c r="H393" s="889"/>
      <c r="I393" s="889"/>
      <c r="J393" s="889"/>
      <c r="K393" s="889"/>
      <c r="L393" s="889"/>
      <c r="M393" s="889"/>
      <c r="N393" s="55"/>
      <c r="O393" s="52"/>
      <c r="P393" s="119"/>
    </row>
    <row r="394" spans="1:19" s="36" customFormat="1" ht="22.15" customHeight="1">
      <c r="A394" s="3386"/>
      <c r="B394" s="3387"/>
      <c r="C394" s="3387"/>
      <c r="D394" s="3387"/>
      <c r="E394" s="3387"/>
      <c r="F394" s="3387"/>
      <c r="G394" s="3387"/>
      <c r="H394" s="3387"/>
      <c r="I394" s="3387"/>
      <c r="J394" s="3387"/>
      <c r="K394" s="3387"/>
      <c r="L394" s="3387"/>
      <c r="M394" s="3387"/>
      <c r="N394" s="3387"/>
      <c r="O394" s="3387"/>
      <c r="P394" s="3388"/>
      <c r="Q394" s="354"/>
    </row>
    <row r="395" spans="1:19" s="36" customFormat="1" ht="6" customHeight="1" thickBot="1">
      <c r="A395" s="35"/>
      <c r="B395" s="35"/>
      <c r="C395" s="889"/>
      <c r="D395" s="889"/>
      <c r="E395" s="889"/>
      <c r="F395" s="889"/>
      <c r="G395" s="889"/>
      <c r="H395" s="889"/>
      <c r="I395" s="889"/>
      <c r="J395" s="889"/>
      <c r="K395" s="889"/>
      <c r="L395" s="889"/>
      <c r="M395" s="889"/>
      <c r="N395" s="55"/>
      <c r="O395" s="52"/>
      <c r="P395" s="119"/>
    </row>
    <row r="396" spans="1:19" s="70" customFormat="1" ht="14.25" customHeight="1" thickBot="1">
      <c r="A396" s="121" t="s">
        <v>3382</v>
      </c>
      <c r="B396" s="83" t="s">
        <v>4041</v>
      </c>
      <c r="D396" s="38"/>
      <c r="E396" s="38"/>
      <c r="F396" s="32"/>
      <c r="G396" s="29"/>
      <c r="I396" s="29"/>
      <c r="J396" s="29"/>
      <c r="K396" s="29"/>
      <c r="L396" s="307" t="str">
        <f>IF(OR($O396=$M396,$O396&lt;=0,$O396=""),"","* * Check Score! * *")</f>
        <v/>
      </c>
      <c r="M396" s="119">
        <v>10</v>
      </c>
      <c r="N396" s="5"/>
      <c r="O396" s="868">
        <f>MIN($M$396,O398-O399+O400)</f>
        <v>10</v>
      </c>
      <c r="P396" s="868">
        <f>MIN($M$396,P398-P399+P400)</f>
        <v>10</v>
      </c>
      <c r="Q396" s="86" t="s">
        <v>416</v>
      </c>
    </row>
    <row r="397" spans="1:19" s="70" customFormat="1" ht="1.5" customHeight="1">
      <c r="A397" s="121"/>
      <c r="B397" s="83"/>
      <c r="D397" s="38"/>
      <c r="E397" s="38"/>
      <c r="F397" s="32"/>
      <c r="G397" s="29"/>
      <c r="I397" s="29"/>
      <c r="J397" s="29"/>
      <c r="K397" s="29"/>
      <c r="L397" s="307"/>
      <c r="M397" s="119"/>
      <c r="N397" s="5"/>
      <c r="O397" s="5"/>
      <c r="P397" s="5"/>
      <c r="Q397" s="86"/>
    </row>
    <row r="398" spans="1:19" s="70" customFormat="1" ht="12.75" customHeight="1">
      <c r="A398" s="121"/>
      <c r="B398" s="66" t="s">
        <v>3181</v>
      </c>
      <c r="D398" s="38"/>
      <c r="E398" s="38"/>
      <c r="F398" s="32"/>
      <c r="G398" s="29"/>
      <c r="I398" s="29"/>
      <c r="J398" s="29"/>
      <c r="K398" s="29"/>
      <c r="L398" s="307"/>
      <c r="M398" s="119"/>
      <c r="N398" s="5"/>
      <c r="O398" s="1869">
        <v>10</v>
      </c>
      <c r="P398" s="1869">
        <v>10</v>
      </c>
      <c r="Q398" s="86"/>
    </row>
    <row r="399" spans="1:19" s="70" customFormat="1" ht="12.75" customHeight="1">
      <c r="A399" s="121"/>
      <c r="B399" s="66" t="s">
        <v>3182</v>
      </c>
      <c r="D399" s="38"/>
      <c r="E399" s="38"/>
      <c r="F399" s="32"/>
      <c r="G399" s="29"/>
      <c r="I399" s="29"/>
      <c r="J399" s="29"/>
      <c r="K399" s="29"/>
      <c r="L399" s="307"/>
      <c r="M399" s="119"/>
      <c r="N399" s="5"/>
      <c r="O399" s="905">
        <v>0</v>
      </c>
      <c r="P399" s="903"/>
      <c r="Q399" s="86"/>
    </row>
    <row r="400" spans="1:19" s="70" customFormat="1" ht="12.75" customHeight="1">
      <c r="A400" s="121"/>
      <c r="B400" s="66" t="s">
        <v>3183</v>
      </c>
      <c r="D400" s="38"/>
      <c r="E400" s="38"/>
      <c r="F400" s="32"/>
      <c r="G400" s="29"/>
      <c r="I400" s="29"/>
      <c r="J400" s="29"/>
      <c r="K400" s="29"/>
      <c r="L400" s="307"/>
      <c r="M400" s="119"/>
      <c r="N400" s="5"/>
      <c r="O400" s="693">
        <v>0</v>
      </c>
      <c r="P400" s="415"/>
      <c r="Q400" s="86"/>
    </row>
    <row r="401" spans="1:21" s="70" customFormat="1" ht="12.75" customHeight="1">
      <c r="A401" s="42"/>
      <c r="B401" s="42" t="s">
        <v>1730</v>
      </c>
      <c r="C401" s="35"/>
      <c r="D401" s="42"/>
      <c r="E401" s="891"/>
      <c r="F401" s="891"/>
      <c r="G401" s="891"/>
      <c r="H401" s="891"/>
      <c r="I401" s="891"/>
      <c r="J401" s="891"/>
      <c r="K401" s="891"/>
      <c r="L401" s="891"/>
      <c r="M401" s="891"/>
      <c r="N401" s="71"/>
      <c r="O401" s="670"/>
      <c r="P401" s="119"/>
    </row>
    <row r="402" spans="1:21" s="36" customFormat="1" ht="12.75" customHeight="1">
      <c r="A402" s="3386"/>
      <c r="B402" s="3387"/>
      <c r="C402" s="3387"/>
      <c r="D402" s="3387"/>
      <c r="E402" s="3387"/>
      <c r="F402" s="3387"/>
      <c r="G402" s="3387"/>
      <c r="H402" s="3387"/>
      <c r="I402" s="3387"/>
      <c r="J402" s="3387"/>
      <c r="K402" s="3387"/>
      <c r="L402" s="3387"/>
      <c r="M402" s="3387"/>
      <c r="N402" s="3387"/>
      <c r="O402" s="3387"/>
      <c r="P402" s="3388"/>
      <c r="Q402" s="355" t="s">
        <v>1181</v>
      </c>
      <c r="R402" s="355"/>
    </row>
    <row r="403" spans="1:21" s="36" customFormat="1" ht="6" customHeight="1" thickBot="1">
      <c r="A403" s="121"/>
      <c r="B403" s="35"/>
      <c r="C403" s="889"/>
      <c r="D403" s="889"/>
      <c r="E403" s="889"/>
      <c r="F403" s="889"/>
      <c r="G403" s="889"/>
      <c r="H403" s="889"/>
      <c r="I403" s="889"/>
      <c r="J403" s="889"/>
      <c r="K403" s="889"/>
      <c r="L403" s="889"/>
      <c r="M403" s="889"/>
      <c r="N403" s="55"/>
      <c r="O403" s="52"/>
      <c r="P403" s="119"/>
    </row>
    <row r="404" spans="1:21" s="36" customFormat="1" ht="13.5" customHeight="1" thickBot="1">
      <c r="A404" s="121" t="s">
        <v>3383</v>
      </c>
      <c r="B404" s="83" t="s">
        <v>6614</v>
      </c>
      <c r="C404" s="889"/>
      <c r="D404" s="889"/>
      <c r="E404" s="889"/>
      <c r="F404" s="889"/>
      <c r="G404" s="46"/>
      <c r="H404" s="889"/>
      <c r="K404" s="889"/>
      <c r="L404" s="889"/>
      <c r="M404" s="119">
        <v>3</v>
      </c>
      <c r="N404" s="55"/>
      <c r="O404" s="868">
        <f>IF(OR((O406+O407+O408+O409)&gt;3,(O406+O407+O408)&gt;1,O409&gt;$M$409),"Check",IF((O406+O407+O408+O409)&lt;=$M$404,(O406+O407+O408+O409),""))</f>
        <v>3</v>
      </c>
      <c r="P404" s="868">
        <f>IF(OR((P406+P407+P408+P409)&gt;3,(P406+P407+P408)&gt;1,P409&gt;$M$409),"Check",IF((P406+P407+P408+P409)&lt;=$M$404,(P406+P407+P408+P409),""))</f>
        <v>2</v>
      </c>
      <c r="Q404" s="86" t="s">
        <v>416</v>
      </c>
      <c r="R404" s="795"/>
    </row>
    <row r="405" spans="1:21" s="36" customFormat="1" ht="9" customHeight="1">
      <c r="A405" s="121"/>
      <c r="B405" s="29" t="s">
        <v>6615</v>
      </c>
      <c r="C405" s="889"/>
      <c r="D405" s="889"/>
      <c r="E405" s="889"/>
      <c r="F405" s="889"/>
      <c r="G405" s="889"/>
      <c r="H405" s="889"/>
      <c r="I405" s="889"/>
      <c r="J405" s="889"/>
      <c r="K405" s="889"/>
      <c r="L405" s="889"/>
      <c r="M405" s="889"/>
      <c r="N405" s="55"/>
      <c r="O405" s="52"/>
      <c r="P405" s="119"/>
    </row>
    <row r="406" spans="1:21" s="36" customFormat="1" ht="12" customHeight="1">
      <c r="A406" s="686" t="s">
        <v>1842</v>
      </c>
      <c r="B406" s="141" t="s">
        <v>6616</v>
      </c>
      <c r="C406" s="26"/>
      <c r="D406" s="70"/>
      <c r="E406" s="66"/>
      <c r="F406" s="29"/>
      <c r="G406" s="29"/>
      <c r="H406" s="29"/>
      <c r="I406" s="70"/>
      <c r="J406" s="70"/>
      <c r="K406" s="31"/>
      <c r="L406" s="1985"/>
      <c r="M406" s="458">
        <v>1</v>
      </c>
      <c r="N406" s="1663" t="s">
        <v>1842</v>
      </c>
      <c r="O406" s="1326">
        <v>1</v>
      </c>
      <c r="P406" s="1327"/>
      <c r="Q406" s="798" t="str">
        <f>IF(OR($O406=$M406,$O406=0,$O406=""),"","*CHECK!*")</f>
        <v/>
      </c>
      <c r="R406" s="795" t="s">
        <v>2461</v>
      </c>
    </row>
    <row r="407" spans="1:21" s="108" customFormat="1" ht="12" customHeight="1">
      <c r="A407" s="686" t="s">
        <v>1844</v>
      </c>
      <c r="B407" s="141" t="s">
        <v>6617</v>
      </c>
      <c r="C407" s="103"/>
      <c r="D407" s="103"/>
      <c r="E407" s="103"/>
      <c r="F407" s="103"/>
      <c r="G407" s="29"/>
      <c r="H407" s="103"/>
      <c r="I407" s="103"/>
      <c r="J407" s="103"/>
      <c r="K407" s="103"/>
      <c r="L407" s="103"/>
      <c r="M407" s="458">
        <v>1</v>
      </c>
      <c r="N407" s="1663" t="s">
        <v>1844</v>
      </c>
      <c r="O407" s="406">
        <v>0</v>
      </c>
      <c r="P407" s="414"/>
      <c r="Q407" s="798" t="str">
        <f>IF(OR($O407=$M407,$O407=0,$O407=""),"","*CHECK!*")</f>
        <v/>
      </c>
      <c r="R407" s="795" t="s">
        <v>2461</v>
      </c>
    </row>
    <row r="408" spans="1:21" ht="12" customHeight="1">
      <c r="A408" s="686" t="s">
        <v>698</v>
      </c>
      <c r="B408" s="141" t="s">
        <v>6247</v>
      </c>
      <c r="C408" s="26"/>
      <c r="D408" s="26"/>
      <c r="E408" s="26"/>
      <c r="F408" s="26"/>
      <c r="G408" s="26"/>
      <c r="H408" s="26"/>
      <c r="I408" s="26"/>
      <c r="J408" s="26"/>
      <c r="K408" s="26"/>
      <c r="L408" s="26"/>
      <c r="M408" s="458">
        <v>1</v>
      </c>
      <c r="N408" s="1663" t="s">
        <v>698</v>
      </c>
      <c r="O408" s="1871">
        <v>0</v>
      </c>
      <c r="P408" s="1872"/>
      <c r="Q408" s="798" t="str">
        <f>IF(OR($O408=$M408,$O408=0,$O408=""),"","*CHECK!*")</f>
        <v/>
      </c>
      <c r="R408" s="795" t="s">
        <v>2461</v>
      </c>
      <c r="S408" s="36"/>
      <c r="T408" s="36"/>
      <c r="U408" s="36"/>
    </row>
    <row r="409" spans="1:21" s="72" customFormat="1" ht="12" customHeight="1">
      <c r="A409" s="686" t="s">
        <v>1963</v>
      </c>
      <c r="B409" s="141" t="s">
        <v>6618</v>
      </c>
      <c r="H409" s="29"/>
      <c r="M409" s="458">
        <v>2</v>
      </c>
      <c r="N409" s="1663" t="s">
        <v>1963</v>
      </c>
      <c r="O409" s="906">
        <f>O410-O411</f>
        <v>2</v>
      </c>
      <c r="P409" s="906">
        <f>P410-P411</f>
        <v>2</v>
      </c>
      <c r="Q409" s="798" t="str">
        <f>IF(OR($O409=$M409,$O409=0,$O409=""),"","*CHECK!*")</f>
        <v/>
      </c>
    </row>
    <row r="410" spans="1:21" s="70" customFormat="1" ht="12" customHeight="1">
      <c r="A410" s="121"/>
      <c r="C410" s="66" t="s">
        <v>3181</v>
      </c>
      <c r="D410" s="38"/>
      <c r="E410" s="38"/>
      <c r="I410" s="29"/>
      <c r="J410" s="29"/>
      <c r="K410" s="29"/>
      <c r="L410" s="307"/>
      <c r="M410" s="119"/>
      <c r="N410" s="5"/>
      <c r="O410" s="1956">
        <v>2</v>
      </c>
      <c r="P410" s="1956">
        <v>2</v>
      </c>
      <c r="Q410" s="86"/>
    </row>
    <row r="411" spans="1:21" s="70" customFormat="1" ht="12" customHeight="1">
      <c r="A411" s="121"/>
      <c r="C411" s="66" t="s">
        <v>3182</v>
      </c>
      <c r="D411" s="38"/>
      <c r="E411" s="38"/>
      <c r="F411" s="32"/>
      <c r="G411" s="29"/>
      <c r="I411" s="29"/>
      <c r="J411" s="29"/>
      <c r="K411" s="29"/>
      <c r="L411" s="307"/>
      <c r="M411" s="119"/>
      <c r="N411" s="5"/>
      <c r="O411" s="1870">
        <v>0</v>
      </c>
      <c r="P411" s="664"/>
      <c r="Q411" s="86"/>
      <c r="R411" s="795" t="s">
        <v>2461</v>
      </c>
    </row>
    <row r="412" spans="1:21" s="36" customFormat="1" ht="10.5" customHeight="1" thickBot="1">
      <c r="A412" s="35"/>
      <c r="B412" s="939" t="s">
        <v>3244</v>
      </c>
      <c r="C412" s="35"/>
      <c r="D412" s="41"/>
      <c r="E412" s="41"/>
      <c r="F412" s="41"/>
      <c r="G412" s="41"/>
      <c r="H412" s="29"/>
      <c r="I412" s="29"/>
      <c r="J412" s="29"/>
      <c r="K412" s="29"/>
      <c r="M412" s="39"/>
      <c r="N412" s="47"/>
      <c r="O412" s="3"/>
      <c r="P412" s="24"/>
    </row>
    <row r="413" spans="1:21" s="36" customFormat="1" ht="45.75" customHeight="1" thickTop="1" thickBot="1">
      <c r="A413" s="3534" t="s">
        <v>7010</v>
      </c>
      <c r="B413" s="3535"/>
      <c r="C413" s="3535"/>
      <c r="D413" s="3535"/>
      <c r="E413" s="3535"/>
      <c r="F413" s="3535"/>
      <c r="G413" s="3535"/>
      <c r="H413" s="3535"/>
      <c r="I413" s="3535"/>
      <c r="J413" s="3535"/>
      <c r="K413" s="3535"/>
      <c r="L413" s="3535"/>
      <c r="M413" s="3535"/>
      <c r="N413" s="3535"/>
      <c r="O413" s="3535"/>
      <c r="P413" s="3536"/>
      <c r="Q413" s="355" t="s">
        <v>1181</v>
      </c>
      <c r="R413" s="355"/>
    </row>
    <row r="414" spans="1:21" s="36" customFormat="1" ht="10.5" customHeight="1" thickTop="1">
      <c r="B414" s="65" t="s">
        <v>1730</v>
      </c>
      <c r="C414" s="77"/>
      <c r="D414" s="65"/>
      <c r="E414" s="78"/>
      <c r="F414" s="889"/>
      <c r="G414" s="889"/>
      <c r="H414" s="889"/>
      <c r="I414" s="889"/>
      <c r="J414" s="889"/>
      <c r="K414" s="889"/>
      <c r="L414" s="889"/>
      <c r="M414" s="889"/>
      <c r="N414" s="55"/>
      <c r="O414" s="52"/>
      <c r="P414" s="119"/>
    </row>
    <row r="415" spans="1:21" s="36" customFormat="1" ht="9.75" customHeight="1">
      <c r="A415" s="3386"/>
      <c r="B415" s="3387"/>
      <c r="C415" s="3387"/>
      <c r="D415" s="3387"/>
      <c r="E415" s="3387"/>
      <c r="F415" s="3387"/>
      <c r="G415" s="3387"/>
      <c r="H415" s="3387"/>
      <c r="I415" s="3387"/>
      <c r="J415" s="3387"/>
      <c r="K415" s="3387"/>
      <c r="L415" s="3387"/>
      <c r="M415" s="3387"/>
      <c r="N415" s="3387"/>
      <c r="O415" s="3387"/>
      <c r="P415" s="3388"/>
      <c r="Q415" s="354"/>
    </row>
    <row r="416" spans="1:21" s="36" customFormat="1" ht="2.25" customHeight="1" thickBot="1">
      <c r="A416" s="121"/>
      <c r="B416" s="35"/>
      <c r="C416" s="889"/>
      <c r="D416" s="889"/>
      <c r="E416" s="889"/>
      <c r="F416" s="889"/>
      <c r="G416" s="889"/>
      <c r="H416" s="889"/>
      <c r="I416" s="889"/>
      <c r="J416" s="889"/>
      <c r="K416" s="889"/>
      <c r="L416" s="889"/>
      <c r="M416" s="889"/>
      <c r="N416" s="55"/>
      <c r="O416" s="52"/>
      <c r="P416" s="119"/>
    </row>
    <row r="417" spans="1:18" s="70" customFormat="1" ht="11.25" customHeight="1" thickBot="1">
      <c r="A417" s="121" t="s">
        <v>3384</v>
      </c>
      <c r="B417" s="83" t="s">
        <v>6248</v>
      </c>
      <c r="D417" s="38"/>
      <c r="E417" s="38"/>
      <c r="F417" s="32"/>
      <c r="L417" s="798"/>
      <c r="M417" s="119">
        <f>IF(AND($P$36="4%",$M$54="New Supply"),$H$57,IF(AND($P$36="4%",$M$54="Preservation"),$I$57,$G$57))</f>
        <v>6</v>
      </c>
      <c r="N417" s="5"/>
      <c r="O417" s="901">
        <v>6</v>
      </c>
      <c r="P417" s="885"/>
      <c r="Q417" s="86" t="s">
        <v>416</v>
      </c>
      <c r="R417" s="795" t="s">
        <v>2461</v>
      </c>
    </row>
    <row r="418" spans="1:18" s="36" customFormat="1" ht="10.5" customHeight="1" thickBot="1">
      <c r="A418" s="35"/>
      <c r="B418" s="939" t="s">
        <v>3244</v>
      </c>
      <c r="C418" s="35"/>
      <c r="D418" s="41"/>
      <c r="E418" s="41"/>
      <c r="F418" s="41"/>
      <c r="G418" s="41"/>
      <c r="H418" s="29"/>
      <c r="I418" s="29"/>
      <c r="J418" s="29"/>
      <c r="K418" s="29"/>
      <c r="M418" s="39"/>
      <c r="N418" s="47"/>
      <c r="O418" s="3"/>
      <c r="P418" s="24"/>
    </row>
    <row r="419" spans="1:18" s="36" customFormat="1" ht="45.75" customHeight="1" thickTop="1" thickBot="1">
      <c r="A419" s="3534" t="s">
        <v>6991</v>
      </c>
      <c r="B419" s="3535"/>
      <c r="C419" s="3535"/>
      <c r="D419" s="3535"/>
      <c r="E419" s="3535"/>
      <c r="F419" s="3535"/>
      <c r="G419" s="3535"/>
      <c r="H419" s="3535"/>
      <c r="I419" s="3535"/>
      <c r="J419" s="3535"/>
      <c r="K419" s="3535"/>
      <c r="L419" s="3535"/>
      <c r="M419" s="3535"/>
      <c r="N419" s="3535"/>
      <c r="O419" s="3535"/>
      <c r="P419" s="3536"/>
      <c r="Q419" s="355" t="s">
        <v>1181</v>
      </c>
      <c r="R419" s="355"/>
    </row>
    <row r="420" spans="1:18" s="70" customFormat="1" ht="10.5" customHeight="1" thickTop="1">
      <c r="A420" s="42"/>
      <c r="B420" s="42" t="s">
        <v>1730</v>
      </c>
      <c r="C420" s="35"/>
      <c r="D420" s="42"/>
      <c r="E420" s="891"/>
      <c r="F420" s="891"/>
      <c r="G420" s="891"/>
      <c r="H420" s="891"/>
      <c r="I420" s="891"/>
      <c r="J420" s="891"/>
      <c r="K420" s="891"/>
      <c r="L420" s="891"/>
      <c r="M420" s="891"/>
      <c r="N420" s="71"/>
      <c r="O420" s="670"/>
      <c r="P420" s="119"/>
    </row>
    <row r="421" spans="1:18" s="36" customFormat="1" ht="10.9" customHeight="1">
      <c r="A421" s="3386"/>
      <c r="B421" s="3387"/>
      <c r="C421" s="3387"/>
      <c r="D421" s="3387"/>
      <c r="E421" s="3387"/>
      <c r="F421" s="3387"/>
      <c r="G421" s="3387"/>
      <c r="H421" s="3387"/>
      <c r="I421" s="3387"/>
      <c r="J421" s="3387"/>
      <c r="K421" s="3387"/>
      <c r="L421" s="3387"/>
      <c r="M421" s="3387"/>
      <c r="N421" s="3387"/>
      <c r="O421" s="3387"/>
      <c r="P421" s="3388"/>
      <c r="Q421" s="355"/>
      <c r="R421" s="355"/>
    </row>
    <row r="422" spans="1:18" s="36" customFormat="1" ht="2.25" customHeight="1" thickBot="1">
      <c r="A422" s="121"/>
      <c r="B422" s="35"/>
      <c r="C422" s="889"/>
      <c r="D422" s="889"/>
      <c r="E422" s="889"/>
      <c r="F422" s="889"/>
      <c r="G422" s="889"/>
      <c r="H422" s="889"/>
      <c r="I422" s="889"/>
      <c r="J422" s="889"/>
      <c r="K422" s="889"/>
      <c r="L422" s="889"/>
      <c r="M422" s="889"/>
      <c r="N422" s="55"/>
      <c r="O422" s="52"/>
      <c r="P422" s="119"/>
    </row>
    <row r="423" spans="1:18" s="70" customFormat="1" ht="11.25" customHeight="1" thickBot="1">
      <c r="A423" s="121" t="s">
        <v>3385</v>
      </c>
      <c r="B423" s="83" t="s">
        <v>6619</v>
      </c>
      <c r="D423" s="38"/>
      <c r="E423" s="38"/>
      <c r="F423" s="490"/>
      <c r="G423" s="29"/>
      <c r="L423" s="798" t="str">
        <f>IF(OR($O423=$M423,$O423=0,$O423=""),"","*CHECK!*")</f>
        <v/>
      </c>
      <c r="M423" s="119">
        <f>IF(AND($P$36="4%",$M$54="New Supply"),$H$58,IF(AND($P$36="4%",$M$54="Preservation"),$I$58,$G$58))</f>
        <v>6</v>
      </c>
      <c r="N423" s="5"/>
      <c r="O423" s="5"/>
      <c r="P423" s="885"/>
      <c r="Q423" s="86" t="s">
        <v>416</v>
      </c>
      <c r="R423" s="795" t="s">
        <v>2461</v>
      </c>
    </row>
    <row r="424" spans="1:18" s="70" customFormat="1" ht="10.5" customHeight="1">
      <c r="A424" s="42"/>
      <c r="B424" s="42" t="s">
        <v>1730</v>
      </c>
      <c r="C424" s="35"/>
      <c r="D424" s="42"/>
      <c r="E424" s="891"/>
      <c r="F424" s="891"/>
      <c r="G424" s="891"/>
      <c r="H424" s="891"/>
      <c r="I424" s="891"/>
      <c r="J424" s="891"/>
      <c r="K424" s="891"/>
      <c r="L424" s="891"/>
      <c r="M424" s="891"/>
      <c r="N424" s="71"/>
      <c r="O424" s="670"/>
      <c r="P424" s="119"/>
    </row>
    <row r="425" spans="1:18" s="36" customFormat="1" ht="10.9" customHeight="1">
      <c r="A425" s="3386"/>
      <c r="B425" s="3387"/>
      <c r="C425" s="3387"/>
      <c r="D425" s="3387"/>
      <c r="E425" s="3387"/>
      <c r="F425" s="3387"/>
      <c r="G425" s="3387"/>
      <c r="H425" s="3387"/>
      <c r="I425" s="3387"/>
      <c r="J425" s="3387"/>
      <c r="K425" s="3387"/>
      <c r="L425" s="3387"/>
      <c r="M425" s="3387"/>
      <c r="N425" s="3387"/>
      <c r="O425" s="3387"/>
      <c r="P425" s="3388"/>
      <c r="Q425" s="355"/>
      <c r="R425" s="355"/>
    </row>
    <row r="426" spans="1:18" s="36" customFormat="1" ht="2.25" customHeight="1" thickBot="1">
      <c r="A426" s="121"/>
      <c r="B426" s="35"/>
      <c r="C426" s="889"/>
      <c r="D426" s="889"/>
      <c r="E426" s="889"/>
      <c r="F426" s="889"/>
      <c r="G426" s="889"/>
      <c r="H426" s="889"/>
      <c r="I426" s="889"/>
      <c r="J426" s="889"/>
      <c r="K426" s="889"/>
      <c r="L426" s="889"/>
      <c r="M426" s="889"/>
      <c r="N426" s="55"/>
      <c r="O426" s="52"/>
      <c r="P426" s="119"/>
    </row>
    <row r="427" spans="1:18" s="70" customFormat="1" ht="11.25" customHeight="1" thickBot="1">
      <c r="A427" s="121" t="s">
        <v>3808</v>
      </c>
      <c r="B427" s="83" t="s">
        <v>6620</v>
      </c>
      <c r="D427" s="38"/>
      <c r="L427" s="798"/>
      <c r="M427" s="119">
        <f>IF(AND($P$36="4%",$M$54="New Supply"),$H$59,IF(AND($P$36="4%",$M$54="Preservation"),$I$59,$G$59))</f>
        <v>4</v>
      </c>
      <c r="N427" s="5"/>
      <c r="O427" s="901">
        <v>4</v>
      </c>
      <c r="P427" s="885"/>
      <c r="Q427" s="86" t="s">
        <v>416</v>
      </c>
      <c r="R427" s="795" t="s">
        <v>2461</v>
      </c>
    </row>
    <row r="428" spans="1:18" s="36" customFormat="1" ht="10.5" customHeight="1" thickBot="1">
      <c r="A428" s="35"/>
      <c r="B428" s="939" t="s">
        <v>3244</v>
      </c>
      <c r="C428" s="35"/>
      <c r="D428" s="41"/>
      <c r="E428" s="41"/>
      <c r="F428" s="41"/>
      <c r="G428" s="41"/>
      <c r="H428" s="29"/>
      <c r="I428" s="29"/>
      <c r="J428" s="29"/>
      <c r="K428" s="29"/>
      <c r="M428" s="39"/>
      <c r="N428" s="47"/>
      <c r="O428" s="3"/>
      <c r="P428" s="24"/>
    </row>
    <row r="429" spans="1:18" s="36" customFormat="1" ht="45.75" customHeight="1" thickTop="1" thickBot="1">
      <c r="A429" s="3534" t="s">
        <v>7011</v>
      </c>
      <c r="B429" s="3535"/>
      <c r="C429" s="3535"/>
      <c r="D429" s="3535"/>
      <c r="E429" s="3535"/>
      <c r="F429" s="3535"/>
      <c r="G429" s="3535"/>
      <c r="H429" s="3535"/>
      <c r="I429" s="3535"/>
      <c r="J429" s="3535"/>
      <c r="K429" s="3535"/>
      <c r="L429" s="3535"/>
      <c r="M429" s="3535"/>
      <c r="N429" s="3535"/>
      <c r="O429" s="3535"/>
      <c r="P429" s="3536"/>
      <c r="Q429" s="355" t="s">
        <v>1181</v>
      </c>
      <c r="R429" s="355"/>
    </row>
    <row r="430" spans="1:18" s="70" customFormat="1" ht="10.5" customHeight="1" thickTop="1">
      <c r="A430" s="42"/>
      <c r="B430" s="42" t="s">
        <v>1730</v>
      </c>
      <c r="C430" s="35"/>
      <c r="D430" s="42"/>
      <c r="E430" s="891"/>
      <c r="F430" s="891"/>
      <c r="G430" s="891"/>
      <c r="H430" s="891"/>
      <c r="I430" s="891"/>
      <c r="J430" s="891"/>
      <c r="K430" s="891"/>
      <c r="L430" s="891"/>
      <c r="M430" s="891"/>
      <c r="N430" s="71"/>
      <c r="O430" s="670"/>
      <c r="P430" s="119"/>
    </row>
    <row r="431" spans="1:18" s="36" customFormat="1" ht="10.9" customHeight="1">
      <c r="A431" s="3386"/>
      <c r="B431" s="3387"/>
      <c r="C431" s="3387"/>
      <c r="D431" s="3387"/>
      <c r="E431" s="3387"/>
      <c r="F431" s="3387"/>
      <c r="G431" s="3387"/>
      <c r="H431" s="3387"/>
      <c r="I431" s="3387"/>
      <c r="J431" s="3387"/>
      <c r="K431" s="3387"/>
      <c r="L431" s="3387"/>
      <c r="M431" s="3387"/>
      <c r="N431" s="3387"/>
      <c r="O431" s="3387"/>
      <c r="P431" s="3388"/>
      <c r="Q431" s="355"/>
      <c r="R431" s="355"/>
    </row>
    <row r="432" spans="1:18" s="36" customFormat="1" ht="2.25" customHeight="1" thickBot="1">
      <c r="A432" s="121"/>
      <c r="B432" s="35"/>
      <c r="C432" s="889"/>
      <c r="D432" s="889"/>
      <c r="E432" s="889"/>
      <c r="F432" s="889"/>
      <c r="G432" s="889"/>
      <c r="H432" s="889"/>
      <c r="I432" s="889"/>
      <c r="J432" s="889"/>
      <c r="K432" s="889"/>
      <c r="L432" s="889"/>
      <c r="M432" s="889"/>
      <c r="N432" s="55"/>
      <c r="O432" s="52"/>
      <c r="P432" s="119"/>
    </row>
    <row r="433" spans="1:27" s="70" customFormat="1" ht="11.25" customHeight="1" thickBot="1">
      <c r="A433" s="121" t="s">
        <v>6565</v>
      </c>
      <c r="B433" s="83" t="s">
        <v>6621</v>
      </c>
      <c r="D433" s="38"/>
      <c r="G433" s="46" t="s">
        <v>6090</v>
      </c>
      <c r="L433" s="798" t="str">
        <f>IF(OR($O433&lt;=$M433,$O433=0,$O433=""),"","*CHECK!*")</f>
        <v/>
      </c>
      <c r="M433" s="119">
        <f>IF(AND($P$36="4%",$M$54="New Supply"),$H$60,IF(AND($P$36="4%",$M$54="Preservation"),$I$60,$G$60))</f>
        <v>6</v>
      </c>
      <c r="N433" s="5"/>
      <c r="O433" s="868">
        <f>IF(SUM(O434:O435)&gt;$M$433,"Check",SUM(O434:O435))</f>
        <v>4</v>
      </c>
      <c r="P433" s="868">
        <f>IF(SUM(P434:P435)&gt;$M$433,"Check",SUM(P434:P435))</f>
        <v>0</v>
      </c>
      <c r="Q433" s="86" t="s">
        <v>416</v>
      </c>
      <c r="R433" s="795" t="s">
        <v>2461</v>
      </c>
    </row>
    <row r="434" spans="1:27" s="36" customFormat="1" ht="12" customHeight="1">
      <c r="A434" s="686" t="s">
        <v>1842</v>
      </c>
      <c r="B434" s="141" t="s">
        <v>6140</v>
      </c>
      <c r="C434"/>
      <c r="E434" s="67"/>
      <c r="F434" s="29"/>
      <c r="G434" s="29"/>
      <c r="H434" s="29"/>
      <c r="K434" s="31"/>
      <c r="L434" s="45"/>
      <c r="M434" s="458">
        <v>6</v>
      </c>
      <c r="N434" s="1663" t="s">
        <v>1842</v>
      </c>
      <c r="O434" s="1848"/>
      <c r="P434" s="1849"/>
      <c r="Q434" s="798" t="str">
        <f>IF(OR($O434&lt;=$M434,$O434=0,$O434=""),"","*CHECK!*")</f>
        <v/>
      </c>
      <c r="R434" s="795" t="s">
        <v>2461</v>
      </c>
    </row>
    <row r="435" spans="1:27" s="108" customFormat="1" ht="12" customHeight="1">
      <c r="A435" s="1846" t="s">
        <v>1844</v>
      </c>
      <c r="B435" s="899" t="s">
        <v>6141</v>
      </c>
      <c r="C435" s="457"/>
      <c r="D435" s="457"/>
      <c r="E435" s="457"/>
      <c r="F435" s="457"/>
      <c r="H435" s="457"/>
      <c r="I435" s="457"/>
      <c r="J435" s="103"/>
      <c r="K435" s="103"/>
      <c r="L435" s="103"/>
      <c r="M435" s="458">
        <v>4</v>
      </c>
      <c r="N435" s="1663" t="s">
        <v>1844</v>
      </c>
      <c r="O435" s="407">
        <v>4</v>
      </c>
      <c r="P435" s="415"/>
      <c r="Q435" s="798" t="str">
        <f>IF(OR($O435&lt;=$M435,$O435=0,$O435=""),"","*CHECK!*")</f>
        <v/>
      </c>
      <c r="R435" s="795" t="s">
        <v>2461</v>
      </c>
    </row>
    <row r="436" spans="1:27" s="36" customFormat="1" ht="10.5" customHeight="1" thickBot="1">
      <c r="A436" s="35"/>
      <c r="B436" s="939" t="s">
        <v>3244</v>
      </c>
      <c r="C436" s="35"/>
      <c r="D436" s="41"/>
      <c r="E436" s="41"/>
      <c r="F436" s="41"/>
      <c r="G436" s="41"/>
      <c r="H436" s="29"/>
      <c r="I436" s="29"/>
      <c r="J436" s="29"/>
      <c r="K436" s="29"/>
      <c r="M436" s="39"/>
      <c r="N436" s="47"/>
      <c r="O436" s="3"/>
      <c r="P436" s="24"/>
    </row>
    <row r="437" spans="1:27" s="36" customFormat="1" ht="45.75" customHeight="1" thickTop="1" thickBot="1">
      <c r="A437" s="3534" t="s">
        <v>6953</v>
      </c>
      <c r="B437" s="3535"/>
      <c r="C437" s="3535"/>
      <c r="D437" s="3535"/>
      <c r="E437" s="3535"/>
      <c r="F437" s="3535"/>
      <c r="G437" s="3535"/>
      <c r="H437" s="3535"/>
      <c r="I437" s="3535"/>
      <c r="J437" s="3535"/>
      <c r="K437" s="3535"/>
      <c r="L437" s="3535"/>
      <c r="M437" s="3535"/>
      <c r="N437" s="3535"/>
      <c r="O437" s="3535"/>
      <c r="P437" s="3536"/>
      <c r="Q437" s="355" t="s">
        <v>1181</v>
      </c>
      <c r="R437" s="355"/>
    </row>
    <row r="438" spans="1:27" s="70" customFormat="1" ht="10.5" customHeight="1" thickTop="1">
      <c r="A438" s="42"/>
      <c r="B438" s="42" t="s">
        <v>1730</v>
      </c>
      <c r="C438" s="35"/>
      <c r="D438" s="42"/>
      <c r="E438" s="891"/>
      <c r="F438" s="891"/>
      <c r="G438" s="891"/>
      <c r="H438" s="891"/>
      <c r="I438" s="891"/>
      <c r="J438" s="891"/>
      <c r="K438" s="891"/>
      <c r="L438" s="891"/>
      <c r="M438" s="891"/>
      <c r="N438" s="71"/>
      <c r="O438" s="670"/>
      <c r="P438" s="119"/>
    </row>
    <row r="439" spans="1:27" s="36" customFormat="1" ht="10.5" customHeight="1">
      <c r="A439" s="3386"/>
      <c r="B439" s="3387"/>
      <c r="C439" s="3387"/>
      <c r="D439" s="3387"/>
      <c r="E439" s="3387"/>
      <c r="F439" s="3387"/>
      <c r="G439" s="3387"/>
      <c r="H439" s="3387"/>
      <c r="I439" s="3387"/>
      <c r="J439" s="3387"/>
      <c r="K439" s="3387"/>
      <c r="L439" s="3387"/>
      <c r="M439" s="3387"/>
      <c r="N439" s="3387"/>
      <c r="O439" s="3387"/>
      <c r="P439" s="3388"/>
      <c r="Q439" s="355"/>
      <c r="R439" s="355"/>
    </row>
    <row r="440" spans="1:27" ht="13.5" customHeight="1" thickBot="1">
      <c r="Q440" s="3463" t="s">
        <v>6748</v>
      </c>
      <c r="R440" s="3463"/>
      <c r="S440" s="3463"/>
      <c r="T440" s="3463"/>
      <c r="U440" s="3463"/>
      <c r="V440" s="3463"/>
      <c r="W440" s="3463"/>
      <c r="X440" s="3463"/>
      <c r="Y440" s="3463"/>
      <c r="Z440" s="3463"/>
      <c r="AA440" s="3463"/>
    </row>
    <row r="441" spans="1:27" s="35" customFormat="1" ht="12.75" customHeight="1" thickTop="1" thickBot="1">
      <c r="A441" s="122" t="s">
        <v>402</v>
      </c>
      <c r="B441" s="50"/>
      <c r="D441" s="28"/>
      <c r="E441" s="28"/>
      <c r="F441" s="36"/>
      <c r="I441" s="123"/>
      <c r="J441" s="123"/>
      <c r="K441" s="123"/>
      <c r="L441" s="70"/>
      <c r="M441" s="1637">
        <f>IF(AND(P36="9%",M54="New Supply"),G62,IF(AND(P36="4%",M54="New Supply"),H62,IF(AND(P36="9%",M54="Rehabilitation"),J62,IF(AND(P36="4%",M54="Rehabilitation"),I62,K62))))</f>
        <v>63</v>
      </c>
      <c r="N441" s="124"/>
      <c r="O441" s="1620">
        <f>O63+O88+O102+O112+O151+O168+O204+O224+O232+O241+O251+O260+O273+O284+O309+O333+O341+O377+O396+O404+O417+O427+O433</f>
        <v>45</v>
      </c>
      <c r="P441" s="1620">
        <f>-P10+P63+P88+P102+P112+P151+P168+P189+P204+P224+P232+P241+P251+P260+P273+P284+P309+P317+P333+P341+P377+P396+P404+P417+P423+P427+P433</f>
        <v>22</v>
      </c>
      <c r="Q441" s="3463"/>
      <c r="R441" s="3463"/>
      <c r="S441" s="3463"/>
      <c r="T441" s="3463"/>
      <c r="U441" s="3463"/>
      <c r="V441" s="3463"/>
      <c r="W441" s="3463"/>
      <c r="X441" s="3463"/>
      <c r="Y441" s="3463"/>
      <c r="Z441" s="3463"/>
      <c r="AA441" s="3463"/>
    </row>
    <row r="442" spans="1:27" s="36" customFormat="1" ht="15.75" thickTop="1">
      <c r="A442" s="35"/>
      <c r="C442" s="889"/>
      <c r="D442" s="889"/>
      <c r="E442" s="889"/>
      <c r="F442" s="889"/>
      <c r="G442" s="889"/>
      <c r="H442" s="889"/>
      <c r="I442" s="889"/>
      <c r="J442" s="889"/>
      <c r="K442" s="889"/>
      <c r="L442" s="889"/>
      <c r="M442" s="889"/>
      <c r="N442" s="889"/>
      <c r="O442" s="889"/>
      <c r="P442" s="889"/>
      <c r="Q442" s="3463"/>
      <c r="R442" s="3463"/>
      <c r="S442" s="3463"/>
      <c r="T442" s="3463"/>
      <c r="U442" s="3463"/>
      <c r="V442" s="3463"/>
      <c r="W442" s="3463"/>
      <c r="X442" s="3463"/>
      <c r="Y442" s="3463"/>
      <c r="Z442" s="3463"/>
      <c r="AA442" s="3463"/>
    </row>
    <row r="443" spans="1:27" s="115" customFormat="1" ht="6.75" customHeight="1">
      <c r="A443" s="36"/>
      <c r="B443" s="50"/>
      <c r="C443" s="36"/>
      <c r="F443" s="33"/>
      <c r="G443" s="33"/>
      <c r="H443" s="51"/>
      <c r="I443" s="51"/>
      <c r="L443" s="36"/>
      <c r="N443" s="119"/>
      <c r="O443" s="119"/>
      <c r="P443" s="3"/>
      <c r="Q443" s="3463"/>
      <c r="R443" s="3463"/>
      <c r="S443" s="3463"/>
      <c r="T443" s="3463"/>
      <c r="U443" s="3463"/>
      <c r="V443" s="3463"/>
      <c r="W443" s="3463"/>
      <c r="X443" s="3463"/>
      <c r="Y443" s="3463"/>
      <c r="Z443" s="3463"/>
      <c r="AA443" s="3463"/>
    </row>
    <row r="444" spans="1:27" s="36" customFormat="1" ht="22.5" customHeight="1">
      <c r="A444" s="3684" t="s">
        <v>6704</v>
      </c>
      <c r="B444" s="3684"/>
      <c r="C444" s="3684"/>
      <c r="D444" s="3684"/>
      <c r="E444" s="3684"/>
      <c r="F444" s="3684"/>
      <c r="G444" s="3684"/>
      <c r="H444" s="3684"/>
      <c r="I444" s="3684"/>
      <c r="J444" s="3684"/>
      <c r="K444" s="3684"/>
      <c r="L444" s="3684"/>
      <c r="M444" s="3684"/>
      <c r="N444" s="3684"/>
      <c r="O444" s="3684"/>
      <c r="P444" s="3684"/>
      <c r="Q444" s="3463"/>
      <c r="R444" s="3463"/>
      <c r="S444" s="3463"/>
      <c r="T444" s="3463"/>
      <c r="U444" s="3463"/>
      <c r="V444" s="3463"/>
      <c r="W444" s="3463"/>
      <c r="X444" s="3463"/>
      <c r="Y444" s="3463"/>
      <c r="Z444" s="3463"/>
      <c r="AA444" s="3463"/>
    </row>
    <row r="445" spans="1:27" s="36" customFormat="1" ht="409.15" customHeight="1">
      <c r="A445" s="3215" t="s">
        <v>7012</v>
      </c>
      <c r="B445" s="3216"/>
      <c r="C445" s="3216"/>
      <c r="D445" s="3216"/>
      <c r="E445" s="3216"/>
      <c r="F445" s="3216"/>
      <c r="G445" s="3216"/>
      <c r="H445" s="3216"/>
      <c r="I445" s="3216"/>
      <c r="J445" s="3216"/>
      <c r="K445" s="3216"/>
      <c r="L445" s="3216"/>
      <c r="M445" s="3216"/>
      <c r="N445" s="3216"/>
      <c r="O445" s="3216"/>
      <c r="P445" s="3217"/>
      <c r="Q445" s="1979"/>
      <c r="R445" s="1979"/>
      <c r="S445" s="1979"/>
      <c r="T445" s="1979"/>
      <c r="U445" s="1979"/>
      <c r="V445" s="1979"/>
      <c r="W445" s="1979"/>
      <c r="X445" s="1979"/>
      <c r="Y445" s="1979"/>
    </row>
    <row r="446" spans="1:27" s="115" customFormat="1">
      <c r="A446" s="357"/>
      <c r="B446" s="357"/>
      <c r="C446" s="360" t="s">
        <v>1940</v>
      </c>
      <c r="D446" s="360"/>
      <c r="E446" s="360"/>
      <c r="F446" s="360"/>
      <c r="G446" s="360"/>
      <c r="H446" s="360"/>
      <c r="I446" s="360"/>
      <c r="J446" s="1882" t="s">
        <v>1538</v>
      </c>
      <c r="K446" s="360"/>
      <c r="L446" s="360"/>
      <c r="M446" s="360"/>
      <c r="N446" s="1883"/>
      <c r="O446" s="1757"/>
      <c r="P446" s="1757"/>
      <c r="Q446" s="1979"/>
      <c r="R446" s="1979"/>
      <c r="S446" s="1979"/>
      <c r="T446" s="1979"/>
      <c r="U446" s="1979"/>
      <c r="V446" s="1979"/>
      <c r="W446" s="1979"/>
      <c r="X446" s="1979"/>
      <c r="Y446" s="1979"/>
    </row>
    <row r="447" spans="1:27" s="115" customFormat="1">
      <c r="A447" s="357"/>
      <c r="B447" s="357"/>
      <c r="C447" s="360" t="s">
        <v>1941</v>
      </c>
      <c r="D447" s="360"/>
      <c r="E447" s="360"/>
      <c r="F447" s="360"/>
      <c r="G447" s="360"/>
      <c r="H447" s="360"/>
      <c r="I447" s="360"/>
      <c r="J447" s="1882" t="s">
        <v>1539</v>
      </c>
      <c r="K447" s="360"/>
      <c r="L447" s="360"/>
      <c r="M447" s="360"/>
      <c r="N447" s="1883"/>
      <c r="O447" s="1757"/>
      <c r="P447" s="1757"/>
      <c r="Q447" s="360"/>
      <c r="R447" s="357"/>
    </row>
    <row r="448" spans="1:27" s="115" customFormat="1">
      <c r="A448" s="357"/>
      <c r="B448" s="357"/>
      <c r="C448" s="360" t="s">
        <v>1942</v>
      </c>
      <c r="D448" s="360"/>
      <c r="E448" s="360"/>
      <c r="F448" s="360"/>
      <c r="G448" s="360"/>
      <c r="H448" s="360"/>
      <c r="I448" s="360"/>
      <c r="J448" s="1882" t="s">
        <v>2307</v>
      </c>
      <c r="K448" s="360"/>
      <c r="L448" s="360"/>
      <c r="M448" s="360"/>
      <c r="N448" s="1883"/>
      <c r="O448" s="1757"/>
      <c r="P448" s="1757"/>
      <c r="Q448" s="360"/>
      <c r="R448" s="357"/>
    </row>
    <row r="449" spans="1:18" s="115" customFormat="1">
      <c r="A449" s="357"/>
      <c r="B449" s="357"/>
      <c r="C449" s="360" t="s">
        <v>1943</v>
      </c>
      <c r="D449" s="360"/>
      <c r="E449" s="360"/>
      <c r="F449" s="360"/>
      <c r="G449" s="360"/>
      <c r="H449" s="360"/>
      <c r="I449" s="360"/>
      <c r="J449" s="1882" t="s">
        <v>1540</v>
      </c>
      <c r="K449" s="360"/>
      <c r="L449" s="360"/>
      <c r="M449" s="360"/>
      <c r="N449" s="1883"/>
      <c r="O449" s="1757"/>
      <c r="P449" s="1757"/>
      <c r="Q449" s="360"/>
      <c r="R449" s="357"/>
    </row>
    <row r="450" spans="1:18" s="115" customFormat="1">
      <c r="A450" s="357"/>
      <c r="B450" s="357"/>
      <c r="C450" s="360"/>
      <c r="D450" s="360"/>
      <c r="E450" s="360"/>
      <c r="F450" s="360"/>
      <c r="G450" s="360"/>
      <c r="H450" s="360"/>
      <c r="I450" s="360"/>
      <c r="J450" s="1882" t="s">
        <v>1541</v>
      </c>
      <c r="K450" s="360"/>
      <c r="L450" s="360"/>
      <c r="M450" s="360"/>
      <c r="N450" s="1883"/>
      <c r="O450" s="1757"/>
      <c r="P450" s="1757"/>
      <c r="Q450" s="360"/>
      <c r="R450" s="357"/>
    </row>
    <row r="451" spans="1:18" s="115" customFormat="1">
      <c r="A451" s="357"/>
      <c r="B451" s="357"/>
      <c r="C451" s="360" t="s">
        <v>1647</v>
      </c>
      <c r="D451" s="360"/>
      <c r="E451" s="360"/>
      <c r="F451" s="360"/>
      <c r="G451" s="360"/>
      <c r="H451" s="360"/>
      <c r="I451" s="360"/>
      <c r="J451" s="1882" t="s">
        <v>1542</v>
      </c>
      <c r="K451" s="360"/>
      <c r="L451" s="360"/>
      <c r="M451" s="360"/>
      <c r="N451" s="1883"/>
      <c r="O451" s="1757"/>
      <c r="P451" s="1757"/>
      <c r="Q451" s="360"/>
      <c r="R451" s="357"/>
    </row>
    <row r="452" spans="1:18" s="115" customFormat="1">
      <c r="A452" s="357"/>
      <c r="B452" s="357"/>
      <c r="C452" s="1884" t="s">
        <v>1313</v>
      </c>
      <c r="D452" s="360"/>
      <c r="E452" s="360"/>
      <c r="F452" s="360"/>
      <c r="G452" s="360"/>
      <c r="H452" s="360"/>
      <c r="I452" s="360"/>
      <c r="J452" s="1882" t="s">
        <v>1543</v>
      </c>
      <c r="K452" s="360"/>
      <c r="L452" s="360"/>
      <c r="M452" s="360"/>
      <c r="N452" s="1883"/>
      <c r="O452" s="1757"/>
      <c r="P452" s="1757"/>
      <c r="Q452" s="360"/>
      <c r="R452" s="357"/>
    </row>
    <row r="453" spans="1:18" s="115" customFormat="1">
      <c r="A453" s="357"/>
      <c r="B453" s="357"/>
      <c r="C453" s="1884" t="s">
        <v>1314</v>
      </c>
      <c r="D453" s="360"/>
      <c r="E453" s="360"/>
      <c r="F453" s="360"/>
      <c r="G453" s="360"/>
      <c r="H453" s="360"/>
      <c r="I453" s="360"/>
      <c r="J453" s="1882" t="s">
        <v>1544</v>
      </c>
      <c r="K453" s="360"/>
      <c r="L453" s="360"/>
      <c r="M453" s="360"/>
      <c r="N453" s="1883"/>
      <c r="O453" s="1757"/>
      <c r="P453" s="1757"/>
      <c r="Q453" s="360"/>
      <c r="R453" s="357"/>
    </row>
    <row r="454" spans="1:18" s="115" customFormat="1">
      <c r="A454" s="357"/>
      <c r="B454" s="357"/>
      <c r="C454" s="1884" t="s">
        <v>1981</v>
      </c>
      <c r="D454" s="360"/>
      <c r="E454" s="360"/>
      <c r="F454" s="360"/>
      <c r="G454" s="360"/>
      <c r="H454" s="360"/>
      <c r="I454" s="360"/>
      <c r="J454" s="1882" t="s">
        <v>1545</v>
      </c>
      <c r="K454" s="360"/>
      <c r="L454" s="360"/>
      <c r="M454" s="360"/>
      <c r="N454" s="1883"/>
      <c r="O454" s="1757"/>
      <c r="P454" s="1757"/>
      <c r="Q454" s="360"/>
      <c r="R454" s="357"/>
    </row>
    <row r="455" spans="1:18" s="115" customFormat="1">
      <c r="A455" s="357"/>
      <c r="B455" s="357"/>
      <c r="C455" s="1884" t="s">
        <v>1310</v>
      </c>
      <c r="D455" s="360"/>
      <c r="E455" s="360"/>
      <c r="F455" s="360"/>
      <c r="G455" s="360"/>
      <c r="H455" s="360"/>
      <c r="I455" s="360"/>
      <c r="J455" s="1882" t="s">
        <v>549</v>
      </c>
      <c r="K455" s="360"/>
      <c r="L455" s="360"/>
      <c r="M455" s="360"/>
      <c r="N455" s="1883"/>
      <c r="O455" s="1757"/>
      <c r="P455" s="1757"/>
      <c r="Q455" s="360"/>
      <c r="R455" s="357"/>
    </row>
    <row r="456" spans="1:18" s="115" customFormat="1">
      <c r="A456" s="357"/>
      <c r="B456" s="357"/>
      <c r="C456" s="1884" t="s">
        <v>1311</v>
      </c>
      <c r="D456" s="360"/>
      <c r="E456" s="360"/>
      <c r="F456" s="360"/>
      <c r="G456" s="360"/>
      <c r="H456" s="360"/>
      <c r="I456" s="360"/>
      <c r="J456" s="1882" t="s">
        <v>1546</v>
      </c>
      <c r="K456" s="360"/>
      <c r="L456" s="360"/>
      <c r="M456" s="360"/>
      <c r="N456" s="1883"/>
      <c r="O456" s="1757"/>
      <c r="P456" s="1757"/>
      <c r="Q456" s="360"/>
      <c r="R456" s="357"/>
    </row>
    <row r="457" spans="1:18" s="115" customFormat="1">
      <c r="A457" s="357"/>
      <c r="B457" s="357"/>
      <c r="C457" s="1884" t="s">
        <v>1976</v>
      </c>
      <c r="D457" s="360"/>
      <c r="E457" s="360"/>
      <c r="F457" s="360"/>
      <c r="G457" s="360"/>
      <c r="H457" s="360"/>
      <c r="I457" s="360"/>
      <c r="J457" s="1882" t="s">
        <v>1547</v>
      </c>
      <c r="K457" s="360"/>
      <c r="L457" s="360"/>
      <c r="M457" s="360"/>
      <c r="N457" s="1883"/>
      <c r="O457" s="1757"/>
      <c r="P457" s="1757"/>
      <c r="Q457" s="360"/>
      <c r="R457" s="357"/>
    </row>
    <row r="458" spans="1:18" s="115" customFormat="1">
      <c r="A458" s="357"/>
      <c r="B458" s="357"/>
      <c r="C458" s="1884" t="s">
        <v>1977</v>
      </c>
      <c r="D458" s="360"/>
      <c r="E458" s="360"/>
      <c r="F458" s="360"/>
      <c r="G458" s="360"/>
      <c r="H458" s="360"/>
      <c r="I458" s="360"/>
      <c r="J458" s="1882" t="s">
        <v>1548</v>
      </c>
      <c r="K458" s="360"/>
      <c r="L458" s="360"/>
      <c r="M458" s="360"/>
      <c r="N458" s="1883"/>
      <c r="O458" s="1757"/>
      <c r="P458" s="1757"/>
      <c r="Q458" s="360"/>
      <c r="R458" s="357"/>
    </row>
    <row r="459" spans="1:18" s="115" customFormat="1">
      <c r="A459" s="357"/>
      <c r="B459" s="357"/>
      <c r="C459" s="1884" t="s">
        <v>1978</v>
      </c>
      <c r="D459" s="360"/>
      <c r="E459" s="360"/>
      <c r="F459" s="360"/>
      <c r="G459" s="360"/>
      <c r="H459" s="360"/>
      <c r="I459" s="360"/>
      <c r="J459" s="1882" t="s">
        <v>32</v>
      </c>
      <c r="K459" s="360"/>
      <c r="L459" s="360"/>
      <c r="M459" s="360"/>
      <c r="N459" s="1883"/>
      <c r="O459" s="1757"/>
      <c r="P459" s="1757"/>
      <c r="Q459" s="360"/>
      <c r="R459" s="357"/>
    </row>
    <row r="460" spans="1:18" s="115" customFormat="1">
      <c r="A460" s="357"/>
      <c r="B460" s="357"/>
      <c r="C460" s="1884" t="s">
        <v>1979</v>
      </c>
      <c r="D460" s="360"/>
      <c r="E460" s="360"/>
      <c r="F460" s="360"/>
      <c r="G460" s="360"/>
      <c r="H460" s="360"/>
      <c r="I460" s="360"/>
      <c r="J460" s="360"/>
      <c r="K460" s="360"/>
      <c r="L460" s="360"/>
      <c r="M460" s="360"/>
      <c r="N460" s="1883"/>
      <c r="O460" s="1757"/>
      <c r="P460" s="1757"/>
      <c r="Q460" s="360"/>
      <c r="R460" s="357"/>
    </row>
    <row r="461" spans="1:18" s="115" customFormat="1">
      <c r="A461" s="357"/>
      <c r="B461" s="357"/>
      <c r="C461" s="1884" t="s">
        <v>1980</v>
      </c>
      <c r="D461" s="360"/>
      <c r="E461" s="360"/>
      <c r="F461" s="360"/>
      <c r="G461" s="360"/>
      <c r="H461" s="360"/>
      <c r="I461" s="360"/>
      <c r="J461" s="1885" t="s">
        <v>3040</v>
      </c>
      <c r="K461" s="360"/>
      <c r="L461" s="360"/>
      <c r="M461" s="360"/>
      <c r="N461" s="1883"/>
      <c r="O461" s="1885" t="s">
        <v>3255</v>
      </c>
      <c r="P461" s="1757"/>
      <c r="Q461" s="360"/>
      <c r="R461" s="357"/>
    </row>
    <row r="462" spans="1:18" s="115" customFormat="1">
      <c r="A462" s="357"/>
      <c r="B462" s="357"/>
      <c r="C462" s="1884" t="s">
        <v>1312</v>
      </c>
      <c r="D462" s="360"/>
      <c r="E462" s="360"/>
      <c r="F462" s="360"/>
      <c r="G462" s="360"/>
      <c r="H462" s="360"/>
      <c r="I462" s="360"/>
      <c r="J462" s="1882" t="s">
        <v>3041</v>
      </c>
      <c r="K462" s="360"/>
      <c r="L462" s="360"/>
      <c r="M462" s="360"/>
      <c r="N462" s="1883"/>
      <c r="O462" s="1757"/>
      <c r="P462" s="1757"/>
      <c r="Q462" s="360"/>
      <c r="R462" s="357"/>
    </row>
    <row r="463" spans="1:18" s="115" customFormat="1">
      <c r="A463" s="357"/>
      <c r="B463" s="357"/>
      <c r="C463" s="1884" t="s">
        <v>2109</v>
      </c>
      <c r="D463" s="360"/>
      <c r="E463" s="360"/>
      <c r="F463" s="360"/>
      <c r="G463" s="360"/>
      <c r="H463" s="360"/>
      <c r="I463" s="360"/>
      <c r="J463" s="360" t="s">
        <v>3025</v>
      </c>
      <c r="K463" s="360"/>
      <c r="L463" s="360"/>
      <c r="M463" s="360"/>
      <c r="N463" s="1883"/>
      <c r="O463" s="1757">
        <v>2</v>
      </c>
      <c r="P463" s="1757"/>
      <c r="Q463" s="360"/>
      <c r="R463" s="357"/>
    </row>
    <row r="464" spans="1:18" s="115" customFormat="1">
      <c r="A464" s="357"/>
      <c r="B464" s="357"/>
      <c r="C464" s="360"/>
      <c r="D464" s="360"/>
      <c r="E464" s="360"/>
      <c r="F464" s="360"/>
      <c r="G464" s="360"/>
      <c r="H464" s="360"/>
      <c r="I464" s="360"/>
      <c r="J464" s="360" t="s">
        <v>3026</v>
      </c>
      <c r="K464" s="360"/>
      <c r="L464" s="360"/>
      <c r="M464" s="360"/>
      <c r="N464" s="1883"/>
      <c r="O464" s="1757">
        <v>2</v>
      </c>
      <c r="P464" s="1757"/>
      <c r="Q464" s="360"/>
      <c r="R464" s="357"/>
    </row>
    <row r="465" spans="1:18" s="115" customFormat="1">
      <c r="A465" s="357"/>
      <c r="B465" s="357"/>
      <c r="C465" s="360"/>
      <c r="D465" s="360"/>
      <c r="E465" s="360"/>
      <c r="F465" s="360"/>
      <c r="G465" s="3681" t="s">
        <v>1408</v>
      </c>
      <c r="H465" s="3681"/>
      <c r="I465" s="3681"/>
      <c r="J465" s="360" t="s">
        <v>3027</v>
      </c>
      <c r="K465" s="360"/>
      <c r="L465" s="360"/>
      <c r="M465" s="360"/>
      <c r="N465" s="1883"/>
      <c r="O465" s="1757">
        <v>2</v>
      </c>
      <c r="P465" s="1757"/>
      <c r="Q465" s="360"/>
      <c r="R465" s="357"/>
    </row>
    <row r="466" spans="1:18" s="115" customFormat="1">
      <c r="A466" s="357"/>
      <c r="B466" s="357"/>
      <c r="C466" s="360"/>
      <c r="D466" s="360"/>
      <c r="E466" s="360"/>
      <c r="F466" s="360"/>
      <c r="G466" s="1886" t="s">
        <v>4069</v>
      </c>
      <c r="H466" s="360" t="s">
        <v>4070</v>
      </c>
      <c r="I466" s="1886" t="s">
        <v>4068</v>
      </c>
      <c r="J466" s="360" t="s">
        <v>3028</v>
      </c>
      <c r="K466" s="360"/>
      <c r="L466" s="1886"/>
      <c r="M466" s="360"/>
      <c r="N466" s="1883"/>
      <c r="O466" s="1757">
        <v>2</v>
      </c>
      <c r="P466" s="1757"/>
      <c r="Q466" s="360"/>
      <c r="R466" s="357"/>
    </row>
    <row r="467" spans="1:18" s="115" customFormat="1">
      <c r="A467" s="357"/>
      <c r="B467" s="357"/>
      <c r="C467" s="1887"/>
      <c r="D467" s="360"/>
      <c r="E467" s="360"/>
      <c r="F467" s="360"/>
      <c r="G467" s="1888" t="s">
        <v>2321</v>
      </c>
      <c r="H467" s="360"/>
      <c r="I467" s="1888"/>
      <c r="J467" s="360" t="s">
        <v>3253</v>
      </c>
      <c r="K467" s="360"/>
      <c r="L467" s="1888"/>
      <c r="M467" s="360"/>
      <c r="N467" s="1883"/>
      <c r="O467" s="1757">
        <v>2</v>
      </c>
      <c r="P467" s="1757"/>
      <c r="Q467" s="360"/>
      <c r="R467" s="357"/>
    </row>
    <row r="468" spans="1:18" s="115" customFormat="1">
      <c r="A468" s="357"/>
      <c r="B468" s="357"/>
      <c r="C468" s="1887"/>
      <c r="D468" s="360"/>
      <c r="E468" s="360"/>
      <c r="F468" s="360"/>
      <c r="G468" s="1888" t="s">
        <v>436</v>
      </c>
      <c r="H468" s="1883" t="s">
        <v>4072</v>
      </c>
      <c r="I468" s="1886" t="s">
        <v>2455</v>
      </c>
      <c r="J468" s="360" t="s">
        <v>3029</v>
      </c>
      <c r="K468" s="360"/>
      <c r="L468" s="1887"/>
      <c r="M468" s="360"/>
      <c r="N468" s="1883"/>
      <c r="O468" s="1757">
        <v>1</v>
      </c>
      <c r="P468" s="1757"/>
      <c r="Q468" s="360"/>
      <c r="R468" s="357"/>
    </row>
    <row r="469" spans="1:18" s="115" customFormat="1">
      <c r="A469" s="357"/>
      <c r="B469" s="357"/>
      <c r="C469" s="1887"/>
      <c r="D469" s="360"/>
      <c r="E469" s="360"/>
      <c r="F469" s="360"/>
      <c r="G469" s="1888" t="s">
        <v>1658</v>
      </c>
      <c r="H469" s="1883">
        <v>2020</v>
      </c>
      <c r="I469" s="1883" t="s">
        <v>4071</v>
      </c>
      <c r="J469" s="360" t="s">
        <v>3030</v>
      </c>
      <c r="K469" s="360"/>
      <c r="L469" s="1887"/>
      <c r="M469" s="360"/>
      <c r="N469" s="1883"/>
      <c r="O469" s="1757">
        <v>1</v>
      </c>
      <c r="P469" s="1757"/>
      <c r="Q469" s="360"/>
      <c r="R469" s="357"/>
    </row>
    <row r="470" spans="1:18" s="115" customFormat="1">
      <c r="A470" s="357"/>
      <c r="B470" s="357"/>
      <c r="C470" s="1887"/>
      <c r="D470" s="360"/>
      <c r="E470" s="360"/>
      <c r="F470" s="360"/>
      <c r="G470" s="1888" t="s">
        <v>2352</v>
      </c>
      <c r="H470" s="1883" t="s">
        <v>1611</v>
      </c>
      <c r="I470" s="1886" t="s">
        <v>2455</v>
      </c>
      <c r="J470" s="360" t="s">
        <v>3031</v>
      </c>
      <c r="K470" s="360"/>
      <c r="L470" s="1887"/>
      <c r="M470" s="360"/>
      <c r="N470" s="1883"/>
      <c r="O470" s="1757">
        <v>1</v>
      </c>
      <c r="P470" s="1757"/>
      <c r="Q470" s="360"/>
      <c r="R470" s="357"/>
    </row>
    <row r="471" spans="1:18" s="115" customFormat="1">
      <c r="A471" s="357"/>
      <c r="B471" s="357"/>
      <c r="C471" s="1887"/>
      <c r="D471" s="360"/>
      <c r="E471" s="360"/>
      <c r="F471" s="360"/>
      <c r="G471" s="1888" t="s">
        <v>972</v>
      </c>
      <c r="H471" s="1883">
        <v>2020</v>
      </c>
      <c r="I471" s="1883" t="s">
        <v>4071</v>
      </c>
      <c r="J471" s="360" t="s">
        <v>3254</v>
      </c>
      <c r="K471" s="360"/>
      <c r="L471" s="1887"/>
      <c r="M471" s="360"/>
      <c r="N471" s="1883"/>
      <c r="O471" s="1757">
        <v>1</v>
      </c>
      <c r="P471" s="1757"/>
      <c r="Q471" s="360"/>
      <c r="R471" s="357"/>
    </row>
    <row r="472" spans="1:18" s="115" customFormat="1">
      <c r="A472" s="357"/>
      <c r="B472" s="357"/>
      <c r="C472" s="1887"/>
      <c r="D472" s="360"/>
      <c r="E472" s="360"/>
      <c r="F472" s="360"/>
      <c r="G472" s="1888" t="s">
        <v>3276</v>
      </c>
      <c r="H472" s="1883">
        <v>2019</v>
      </c>
      <c r="I472" s="1883" t="s">
        <v>4071</v>
      </c>
      <c r="J472" s="360" t="s">
        <v>3039</v>
      </c>
      <c r="K472" s="360"/>
      <c r="L472" s="1887"/>
      <c r="M472" s="360"/>
      <c r="N472" s="1883"/>
      <c r="O472" s="1757">
        <v>1</v>
      </c>
      <c r="P472" s="1757"/>
      <c r="Q472" s="360"/>
      <c r="R472" s="357"/>
    </row>
    <row r="473" spans="1:18" s="115" customFormat="1">
      <c r="A473" s="357"/>
      <c r="B473" s="357"/>
      <c r="C473" s="1887"/>
      <c r="D473" s="360"/>
      <c r="E473" s="360"/>
      <c r="F473" s="360"/>
      <c r="G473" s="1888" t="s">
        <v>340</v>
      </c>
      <c r="H473" s="1883" t="s">
        <v>1611</v>
      </c>
      <c r="I473" s="1886" t="s">
        <v>2455</v>
      </c>
      <c r="J473" s="360" t="s">
        <v>3032</v>
      </c>
      <c r="K473" s="360"/>
      <c r="L473" s="1887"/>
      <c r="M473" s="360"/>
      <c r="N473" s="1883"/>
      <c r="O473" s="1757">
        <v>1</v>
      </c>
      <c r="P473" s="1757"/>
      <c r="Q473" s="360"/>
      <c r="R473" s="357"/>
    </row>
    <row r="474" spans="1:18" s="115" customFormat="1">
      <c r="A474" s="357"/>
      <c r="B474" s="357"/>
      <c r="C474" s="1887"/>
      <c r="D474" s="360"/>
      <c r="E474" s="360"/>
      <c r="F474" s="360"/>
      <c r="G474" s="1888" t="s">
        <v>1634</v>
      </c>
      <c r="H474" s="1883">
        <v>2020</v>
      </c>
      <c r="I474" s="1883" t="s">
        <v>4071</v>
      </c>
      <c r="J474" s="360" t="s">
        <v>3033</v>
      </c>
      <c r="K474" s="360"/>
      <c r="L474" s="1887"/>
      <c r="M474" s="360"/>
      <c r="N474" s="1883"/>
      <c r="O474" s="1757">
        <v>1</v>
      </c>
      <c r="P474" s="1757"/>
      <c r="Q474" s="360"/>
      <c r="R474" s="357"/>
    </row>
    <row r="475" spans="1:18" s="115" customFormat="1">
      <c r="A475" s="357"/>
      <c r="B475" s="357"/>
      <c r="C475" s="1887"/>
      <c r="D475" s="360"/>
      <c r="E475" s="360"/>
      <c r="F475" s="360"/>
      <c r="G475" s="1888" t="s">
        <v>1910</v>
      </c>
      <c r="H475" s="1883" t="s">
        <v>4072</v>
      </c>
      <c r="I475" s="1886" t="s">
        <v>2455</v>
      </c>
      <c r="J475" s="360" t="s">
        <v>3034</v>
      </c>
      <c r="K475" s="360"/>
      <c r="L475" s="1887"/>
      <c r="M475" s="360"/>
      <c r="N475" s="1883"/>
      <c r="O475" s="1757">
        <v>1</v>
      </c>
      <c r="P475" s="1757"/>
      <c r="Q475" s="360"/>
      <c r="R475" s="357"/>
    </row>
    <row r="476" spans="1:18" s="115" customFormat="1">
      <c r="A476" s="357"/>
      <c r="B476" s="357"/>
      <c r="C476" s="360"/>
      <c r="D476" s="360"/>
      <c r="E476" s="360"/>
      <c r="F476" s="360"/>
      <c r="G476" s="1888" t="s">
        <v>82</v>
      </c>
      <c r="H476" s="1883" t="s">
        <v>4072</v>
      </c>
      <c r="I476" s="1886" t="s">
        <v>2455</v>
      </c>
      <c r="J476" s="360" t="s">
        <v>3035</v>
      </c>
      <c r="K476" s="360"/>
      <c r="L476" s="1887"/>
      <c r="M476" s="360"/>
      <c r="N476" s="1883"/>
      <c r="O476" s="1757">
        <v>1</v>
      </c>
      <c r="P476" s="1757"/>
      <c r="Q476" s="360"/>
      <c r="R476" s="357"/>
    </row>
    <row r="477" spans="1:18" s="115" customFormat="1">
      <c r="A477" s="357"/>
      <c r="B477" s="357"/>
      <c r="C477" s="360"/>
      <c r="D477" s="360"/>
      <c r="E477" s="360"/>
      <c r="F477" s="360"/>
      <c r="G477" s="1888" t="s">
        <v>837</v>
      </c>
      <c r="H477" s="1883">
        <v>2019</v>
      </c>
      <c r="I477" s="1883" t="s">
        <v>4071</v>
      </c>
      <c r="J477" s="360" t="s">
        <v>3038</v>
      </c>
      <c r="K477" s="360"/>
      <c r="L477" s="1887"/>
      <c r="M477" s="360"/>
      <c r="N477" s="1883"/>
      <c r="O477" s="1757">
        <v>1</v>
      </c>
      <c r="P477" s="1757"/>
      <c r="Q477" s="360"/>
      <c r="R477" s="357"/>
    </row>
    <row r="478" spans="1:18" s="115" customFormat="1">
      <c r="A478" s="807" t="s">
        <v>2501</v>
      </c>
      <c r="B478" s="357"/>
      <c r="C478" s="360"/>
      <c r="D478" s="360"/>
      <c r="E478" s="360"/>
      <c r="F478" s="360"/>
      <c r="G478" s="1888" t="s">
        <v>1987</v>
      </c>
      <c r="H478" s="1883" t="s">
        <v>4072</v>
      </c>
      <c r="I478" s="1886" t="s">
        <v>2455</v>
      </c>
      <c r="J478" s="360" t="s">
        <v>3036</v>
      </c>
      <c r="K478" s="360"/>
      <c r="L478" s="1887"/>
      <c r="M478" s="360"/>
      <c r="N478" s="1883"/>
      <c r="O478" s="1757">
        <v>1</v>
      </c>
      <c r="P478" s="1757"/>
      <c r="Q478" s="360"/>
      <c r="R478" s="357"/>
    </row>
    <row r="479" spans="1:18" s="115" customFormat="1">
      <c r="A479" s="807" t="s">
        <v>2516</v>
      </c>
      <c r="B479" s="357"/>
      <c r="C479" s="360"/>
      <c r="D479" s="360"/>
      <c r="E479" s="360"/>
      <c r="F479" s="360"/>
      <c r="G479" s="1888" t="s">
        <v>1908</v>
      </c>
      <c r="H479" s="1883">
        <v>2019</v>
      </c>
      <c r="I479" s="1883" t="s">
        <v>4071</v>
      </c>
      <c r="J479" s="360" t="s">
        <v>3037</v>
      </c>
      <c r="K479" s="360"/>
      <c r="L479" s="1887"/>
      <c r="M479" s="360"/>
      <c r="N479" s="1883"/>
      <c r="O479" s="1757">
        <v>1</v>
      </c>
      <c r="P479" s="1757"/>
      <c r="Q479" s="360"/>
      <c r="R479" s="357"/>
    </row>
    <row r="480" spans="1:18" s="115" customFormat="1">
      <c r="A480" s="1889" t="s">
        <v>3008</v>
      </c>
      <c r="B480" s="357"/>
      <c r="C480" s="360"/>
      <c r="D480" s="1887"/>
      <c r="E480" s="1887">
        <v>3</v>
      </c>
      <c r="F480" s="360"/>
      <c r="G480" s="1888" t="s">
        <v>322</v>
      </c>
      <c r="H480" s="1883">
        <v>2019</v>
      </c>
      <c r="I480" s="1883" t="s">
        <v>4071</v>
      </c>
      <c r="J480" s="360"/>
      <c r="K480" s="360"/>
      <c r="L480" s="1887"/>
      <c r="M480" s="360"/>
      <c r="N480" s="1883"/>
      <c r="O480" s="1757"/>
      <c r="P480" s="1757"/>
      <c r="Q480" s="360"/>
      <c r="R480" s="357"/>
    </row>
    <row r="481" spans="1:18" s="115" customFormat="1">
      <c r="A481" s="1889" t="s">
        <v>3009</v>
      </c>
      <c r="B481" s="357"/>
      <c r="C481" s="360"/>
      <c r="D481" s="1887"/>
      <c r="E481" s="1887">
        <v>2</v>
      </c>
      <c r="F481" s="360"/>
      <c r="G481" s="1888" t="s">
        <v>815</v>
      </c>
      <c r="H481" s="1883">
        <v>2019</v>
      </c>
      <c r="I481" s="1883" t="s">
        <v>4071</v>
      </c>
      <c r="J481" s="360"/>
      <c r="K481" s="360"/>
      <c r="L481" s="1887"/>
      <c r="M481" s="360"/>
      <c r="N481" s="1883"/>
      <c r="O481" s="1757"/>
      <c r="P481" s="1757"/>
      <c r="Q481" s="360"/>
      <c r="R481" s="357"/>
    </row>
    <row r="482" spans="1:18" s="115" customFormat="1">
      <c r="A482" s="1889" t="s">
        <v>3010</v>
      </c>
      <c r="B482" s="357"/>
      <c r="C482" s="360"/>
      <c r="D482" s="1887"/>
      <c r="E482" s="1887">
        <v>10</v>
      </c>
      <c r="F482" s="360"/>
      <c r="G482" s="1888" t="s">
        <v>1789</v>
      </c>
      <c r="H482" s="1883">
        <v>2019</v>
      </c>
      <c r="I482" s="1883" t="s">
        <v>4071</v>
      </c>
      <c r="J482" s="1890" t="s">
        <v>3264</v>
      </c>
      <c r="K482" s="360"/>
      <c r="L482" s="1887"/>
      <c r="M482" s="360"/>
      <c r="N482" s="1883"/>
      <c r="O482" s="1757"/>
      <c r="P482" s="1757"/>
      <c r="Q482" s="360"/>
      <c r="R482" s="357"/>
    </row>
    <row r="483" spans="1:18" s="115" customFormat="1">
      <c r="A483" s="1889" t="s">
        <v>2517</v>
      </c>
      <c r="B483" s="357"/>
      <c r="C483" s="360"/>
      <c r="D483" s="1887"/>
      <c r="E483" s="1887"/>
      <c r="F483" s="360"/>
      <c r="G483" s="1888" t="s">
        <v>395</v>
      </c>
      <c r="H483" s="1883">
        <v>2019</v>
      </c>
      <c r="I483" s="1883" t="s">
        <v>4071</v>
      </c>
      <c r="J483" s="360" t="s">
        <v>3341</v>
      </c>
      <c r="K483" s="360"/>
      <c r="L483" s="1887"/>
      <c r="M483" s="360"/>
      <c r="N483" s="1883"/>
      <c r="O483" s="1757"/>
      <c r="P483" s="1757"/>
      <c r="Q483" s="360"/>
      <c r="R483" s="357"/>
    </row>
    <row r="484" spans="1:18" s="115" customFormat="1">
      <c r="A484" s="357"/>
      <c r="B484" s="357"/>
      <c r="C484" s="1887"/>
      <c r="D484" s="360"/>
      <c r="E484" s="360"/>
      <c r="F484" s="360"/>
      <c r="G484" s="1888" t="s">
        <v>922</v>
      </c>
      <c r="H484" s="1883">
        <v>2020</v>
      </c>
      <c r="I484" s="1883" t="s">
        <v>4071</v>
      </c>
      <c r="J484" s="360" t="s">
        <v>3336</v>
      </c>
      <c r="K484" s="360"/>
      <c r="L484" s="1887"/>
      <c r="M484" s="360"/>
      <c r="N484" s="1883"/>
      <c r="O484" s="1757"/>
      <c r="P484" s="1757"/>
      <c r="Q484" s="360"/>
      <c r="R484" s="357"/>
    </row>
    <row r="485" spans="1:18" s="115" customFormat="1">
      <c r="A485" s="357"/>
      <c r="B485" s="357"/>
      <c r="C485" s="1887"/>
      <c r="D485" s="360"/>
      <c r="E485" s="360"/>
      <c r="F485" s="360"/>
      <c r="G485" s="1888" t="s">
        <v>532</v>
      </c>
      <c r="H485" s="1883">
        <v>2020</v>
      </c>
      <c r="I485" s="1883" t="s">
        <v>4071</v>
      </c>
      <c r="J485" s="360" t="s">
        <v>3257</v>
      </c>
      <c r="K485" s="360"/>
      <c r="L485" s="1887"/>
      <c r="M485" s="360"/>
      <c r="N485" s="1883"/>
      <c r="O485" s="1757"/>
      <c r="P485" s="1757"/>
      <c r="Q485" s="360"/>
      <c r="R485" s="357"/>
    </row>
    <row r="486" spans="1:18" s="115" customFormat="1">
      <c r="A486" s="357"/>
      <c r="B486" s="357"/>
      <c r="C486" s="1887"/>
      <c r="D486" s="360"/>
      <c r="E486" s="360"/>
      <c r="F486" s="360"/>
      <c r="G486" s="1888" t="s">
        <v>809</v>
      </c>
      <c r="H486" s="1883" t="s">
        <v>4072</v>
      </c>
      <c r="I486" s="1886" t="s">
        <v>2455</v>
      </c>
      <c r="J486" s="360" t="s">
        <v>3332</v>
      </c>
      <c r="K486" s="360"/>
      <c r="L486" s="1887"/>
      <c r="M486" s="360"/>
      <c r="N486" s="1883"/>
      <c r="O486" s="1757"/>
      <c r="P486" s="1757"/>
      <c r="Q486" s="360"/>
      <c r="R486" s="357"/>
    </row>
    <row r="487" spans="1:18" s="115" customFormat="1">
      <c r="A487" s="357"/>
      <c r="B487" s="357"/>
      <c r="C487" s="1887"/>
      <c r="D487" s="360"/>
      <c r="E487" s="360"/>
      <c r="F487" s="360"/>
      <c r="G487" s="1888" t="s">
        <v>3022</v>
      </c>
      <c r="H487" s="1883">
        <v>2019</v>
      </c>
      <c r="I487" s="1883" t="s">
        <v>4071</v>
      </c>
      <c r="J487" s="360" t="s">
        <v>3258</v>
      </c>
      <c r="K487" s="360"/>
      <c r="L487" s="1887"/>
      <c r="M487" s="360"/>
      <c r="N487" s="1883"/>
      <c r="O487" s="1757"/>
      <c r="P487" s="1757"/>
      <c r="Q487" s="360"/>
      <c r="R487" s="357"/>
    </row>
    <row r="488" spans="1:18" s="115" customFormat="1">
      <c r="A488" s="357"/>
      <c r="B488" s="357"/>
      <c r="C488" s="360"/>
      <c r="D488" s="360"/>
      <c r="E488" s="360"/>
      <c r="F488" s="360"/>
      <c r="G488" s="1888" t="s">
        <v>764</v>
      </c>
      <c r="H488" s="1883">
        <v>2019</v>
      </c>
      <c r="I488" s="1883" t="s">
        <v>4071</v>
      </c>
      <c r="J488" s="360" t="s">
        <v>3333</v>
      </c>
      <c r="K488" s="360"/>
      <c r="L488" s="1887"/>
      <c r="M488" s="360"/>
      <c r="N488" s="1883"/>
      <c r="O488" s="1757"/>
      <c r="P488" s="1757"/>
      <c r="Q488" s="360"/>
      <c r="R488" s="357"/>
    </row>
    <row r="489" spans="1:18" s="115" customFormat="1">
      <c r="A489" s="357"/>
      <c r="B489" s="357"/>
      <c r="C489" s="360"/>
      <c r="D489" s="360"/>
      <c r="E489" s="360"/>
      <c r="F489" s="360"/>
      <c r="G489" s="1888" t="s">
        <v>172</v>
      </c>
      <c r="H489" s="1883">
        <v>2019</v>
      </c>
      <c r="I489" s="1883" t="s">
        <v>4071</v>
      </c>
      <c r="J489" s="360" t="s">
        <v>3259</v>
      </c>
      <c r="K489" s="360"/>
      <c r="L489" s="360"/>
      <c r="M489" s="360"/>
      <c r="N489" s="1883"/>
      <c r="O489" s="1757"/>
      <c r="P489" s="1757"/>
      <c r="Q489" s="360"/>
      <c r="R489" s="357"/>
    </row>
    <row r="490" spans="1:18" s="115" customFormat="1">
      <c r="A490" s="357"/>
      <c r="B490" s="357"/>
      <c r="C490" s="360"/>
      <c r="D490" s="360"/>
      <c r="E490" s="360"/>
      <c r="F490" s="360"/>
      <c r="G490" s="1888" t="s">
        <v>3350</v>
      </c>
      <c r="H490" s="1883" t="s">
        <v>4072</v>
      </c>
      <c r="I490" s="1886" t="s">
        <v>2455</v>
      </c>
      <c r="J490" s="360" t="s">
        <v>3334</v>
      </c>
      <c r="K490" s="360"/>
      <c r="L490" s="1887"/>
      <c r="M490" s="360"/>
      <c r="N490" s="1883"/>
      <c r="O490" s="1757"/>
      <c r="P490" s="1757"/>
      <c r="Q490" s="360"/>
      <c r="R490" s="357"/>
    </row>
    <row r="491" spans="1:18" s="115" customFormat="1">
      <c r="A491" s="357"/>
      <c r="B491" s="357"/>
      <c r="C491" s="360"/>
      <c r="D491" s="360"/>
      <c r="E491" s="360"/>
      <c r="F491" s="360"/>
      <c r="G491" s="1888" t="s">
        <v>507</v>
      </c>
      <c r="H491" s="1883">
        <v>2020</v>
      </c>
      <c r="I491" s="1883" t="s">
        <v>4071</v>
      </c>
      <c r="J491" s="360" t="s">
        <v>3337</v>
      </c>
      <c r="K491" s="360"/>
      <c r="L491" s="1887"/>
      <c r="M491" s="360"/>
      <c r="N491" s="1883"/>
      <c r="O491" s="1757"/>
      <c r="P491" s="1757"/>
      <c r="Q491" s="360"/>
      <c r="R491" s="357"/>
    </row>
    <row r="492" spans="1:18" s="115" customFormat="1">
      <c r="A492" s="357"/>
      <c r="B492" s="357"/>
      <c r="C492" s="360"/>
      <c r="D492" s="360"/>
      <c r="E492" s="360"/>
      <c r="F492" s="360"/>
      <c r="G492" s="1888" t="s">
        <v>376</v>
      </c>
      <c r="H492" s="1883">
        <v>2020</v>
      </c>
      <c r="I492" s="1883" t="s">
        <v>4071</v>
      </c>
      <c r="J492" s="360" t="s">
        <v>3340</v>
      </c>
      <c r="K492" s="360"/>
      <c r="L492" s="360"/>
      <c r="M492" s="360"/>
      <c r="N492" s="1883"/>
      <c r="O492" s="1757"/>
      <c r="P492" s="1757"/>
      <c r="Q492" s="360"/>
      <c r="R492" s="357"/>
    </row>
    <row r="493" spans="1:18" s="115" customFormat="1">
      <c r="A493" s="357"/>
      <c r="B493" s="357"/>
      <c r="C493" s="360"/>
      <c r="D493" s="1891"/>
      <c r="E493" s="360"/>
      <c r="F493" s="360"/>
      <c r="G493" s="1888" t="s">
        <v>1350</v>
      </c>
      <c r="H493" s="1883" t="s">
        <v>4072</v>
      </c>
      <c r="I493" s="1886" t="s">
        <v>2455</v>
      </c>
      <c r="J493" s="360" t="s">
        <v>3260</v>
      </c>
      <c r="K493" s="360"/>
      <c r="L493" s="1887"/>
      <c r="M493" s="360"/>
      <c r="N493" s="1883"/>
      <c r="O493" s="1757"/>
      <c r="P493" s="1757"/>
      <c r="Q493" s="360"/>
      <c r="R493" s="357"/>
    </row>
    <row r="494" spans="1:18" s="115" customFormat="1">
      <c r="A494" s="357"/>
      <c r="B494" s="357"/>
      <c r="C494" s="360"/>
      <c r="D494" s="1891"/>
      <c r="E494" s="360"/>
      <c r="F494" s="360"/>
      <c r="G494" s="1888" t="s">
        <v>1708</v>
      </c>
      <c r="H494" s="1883" t="s">
        <v>4072</v>
      </c>
      <c r="I494" s="1886" t="s">
        <v>2455</v>
      </c>
      <c r="J494" s="360" t="s">
        <v>3261</v>
      </c>
      <c r="K494" s="360"/>
      <c r="L494" s="1887"/>
      <c r="M494" s="360"/>
      <c r="N494" s="1883"/>
      <c r="O494" s="1757"/>
      <c r="P494" s="1757"/>
      <c r="Q494" s="360"/>
      <c r="R494" s="357"/>
    </row>
    <row r="495" spans="1:18" s="115" customFormat="1">
      <c r="A495" s="357"/>
      <c r="B495" s="357"/>
      <c r="C495" s="360"/>
      <c r="D495" s="360"/>
      <c r="E495" s="360"/>
      <c r="F495" s="360"/>
      <c r="G495" s="1888" t="s">
        <v>1970</v>
      </c>
      <c r="H495" s="1883">
        <v>2020</v>
      </c>
      <c r="I495" s="1883" t="s">
        <v>4071</v>
      </c>
      <c r="J495" s="360" t="s">
        <v>3335</v>
      </c>
      <c r="K495" s="360"/>
      <c r="L495" s="1887"/>
      <c r="M495" s="360"/>
      <c r="N495" s="1883"/>
      <c r="O495" s="1757"/>
      <c r="P495" s="1757"/>
      <c r="Q495" s="360"/>
      <c r="R495" s="357"/>
    </row>
    <row r="496" spans="1:18" s="115" customFormat="1">
      <c r="A496" s="357"/>
      <c r="B496" s="357"/>
      <c r="C496" s="360"/>
      <c r="D496" s="360"/>
      <c r="E496" s="360"/>
      <c r="F496" s="360"/>
      <c r="G496" s="1888" t="s">
        <v>1353</v>
      </c>
      <c r="H496" s="1883">
        <v>2019</v>
      </c>
      <c r="I496" s="1883" t="s">
        <v>4071</v>
      </c>
      <c r="J496" s="360" t="s">
        <v>3338</v>
      </c>
      <c r="K496" s="360"/>
      <c r="L496" s="360"/>
      <c r="M496" s="360"/>
      <c r="N496" s="1883"/>
      <c r="O496" s="1757"/>
      <c r="P496" s="1757"/>
      <c r="Q496" s="360"/>
      <c r="R496" s="357"/>
    </row>
    <row r="497" spans="1:18" s="115" customFormat="1">
      <c r="A497" s="357"/>
      <c r="B497" s="357"/>
      <c r="C497" s="360"/>
      <c r="D497" s="360"/>
      <c r="E497" s="360"/>
      <c r="F497" s="360"/>
      <c r="G497" s="1888" t="s">
        <v>235</v>
      </c>
      <c r="H497" s="1883">
        <v>2019</v>
      </c>
      <c r="I497" s="1883" t="s">
        <v>4071</v>
      </c>
      <c r="J497" s="360" t="s">
        <v>3339</v>
      </c>
      <c r="K497" s="360"/>
      <c r="L497" s="1887"/>
      <c r="M497" s="360"/>
      <c r="N497" s="1883"/>
      <c r="O497" s="1757"/>
      <c r="P497" s="1757"/>
      <c r="Q497" s="360"/>
      <c r="R497" s="357"/>
    </row>
    <row r="498" spans="1:18" s="115" customFormat="1">
      <c r="A498" s="357"/>
      <c r="B498" s="357"/>
      <c r="C498" s="360"/>
      <c r="D498" s="360"/>
      <c r="E498" s="360"/>
      <c r="F498" s="360"/>
      <c r="G498" s="1888" t="s">
        <v>979</v>
      </c>
      <c r="H498" s="1883">
        <v>2020</v>
      </c>
      <c r="I498" s="1883" t="s">
        <v>4071</v>
      </c>
      <c r="J498" s="360" t="s">
        <v>3262</v>
      </c>
      <c r="K498" s="360"/>
      <c r="L498" s="1887"/>
      <c r="M498" s="360"/>
      <c r="N498" s="1883"/>
      <c r="O498" s="1757"/>
      <c r="P498" s="1757"/>
      <c r="Q498" s="360"/>
      <c r="R498" s="357"/>
    </row>
    <row r="499" spans="1:18" s="115" customFormat="1">
      <c r="A499" s="357"/>
      <c r="B499" s="357"/>
      <c r="C499" s="1891"/>
      <c r="D499" s="360"/>
      <c r="E499" s="360"/>
      <c r="F499" s="360"/>
      <c r="G499" s="1888" t="s">
        <v>2097</v>
      </c>
      <c r="H499" s="1883">
        <v>2020</v>
      </c>
      <c r="I499" s="1883" t="s">
        <v>4071</v>
      </c>
      <c r="J499" s="360" t="s">
        <v>3263</v>
      </c>
      <c r="K499" s="360"/>
      <c r="L499" s="1887"/>
      <c r="M499" s="360"/>
      <c r="N499" s="1883"/>
      <c r="O499" s="1757"/>
      <c r="P499" s="1757"/>
      <c r="Q499" s="360"/>
      <c r="R499" s="357"/>
    </row>
    <row r="500" spans="1:18" s="115" customFormat="1">
      <c r="A500" s="357"/>
      <c r="B500" s="357"/>
      <c r="C500" s="1891"/>
      <c r="D500" s="360"/>
      <c r="E500" s="360"/>
      <c r="F500" s="360"/>
      <c r="G500" s="1888" t="s">
        <v>4066</v>
      </c>
      <c r="H500" s="1883" t="s">
        <v>4072</v>
      </c>
      <c r="I500" s="1886" t="s">
        <v>2455</v>
      </c>
      <c r="J500" s="360"/>
      <c r="K500" s="360"/>
      <c r="L500" s="1887"/>
      <c r="M500" s="360"/>
      <c r="N500" s="1883"/>
      <c r="O500" s="1757"/>
      <c r="P500" s="1757"/>
      <c r="Q500" s="360"/>
      <c r="R500" s="357"/>
    </row>
    <row r="501" spans="1:18" s="115" customFormat="1">
      <c r="A501" s="357"/>
      <c r="B501" s="357"/>
      <c r="C501" s="1891"/>
      <c r="D501" s="360"/>
      <c r="E501" s="360"/>
      <c r="F501" s="360"/>
      <c r="G501" s="1888" t="s">
        <v>1749</v>
      </c>
      <c r="H501" s="1883" t="s">
        <v>4072</v>
      </c>
      <c r="I501" s="1886" t="s">
        <v>2455</v>
      </c>
      <c r="J501" s="360"/>
      <c r="K501" s="360"/>
      <c r="L501" s="1887"/>
      <c r="M501" s="360"/>
      <c r="N501" s="1883"/>
      <c r="O501" s="1757"/>
      <c r="P501" s="1757"/>
      <c r="Q501" s="360"/>
      <c r="R501" s="357"/>
    </row>
    <row r="502" spans="1:18" s="115" customFormat="1">
      <c r="A502" s="357"/>
      <c r="B502" s="357"/>
      <c r="C502" s="1891"/>
      <c r="D502" s="360"/>
      <c r="E502" s="360"/>
      <c r="F502" s="360"/>
      <c r="G502" s="1888" t="s">
        <v>472</v>
      </c>
      <c r="H502" s="1883" t="s">
        <v>4072</v>
      </c>
      <c r="I502" s="1886" t="s">
        <v>2455</v>
      </c>
      <c r="J502" s="360"/>
      <c r="K502" s="360"/>
      <c r="L502" s="1887"/>
      <c r="M502" s="360"/>
      <c r="N502" s="1883"/>
      <c r="O502" s="1757"/>
      <c r="P502" s="1757"/>
      <c r="Q502" s="360"/>
      <c r="R502" s="357"/>
    </row>
    <row r="503" spans="1:18" s="115" customFormat="1">
      <c r="A503" s="357"/>
      <c r="B503" s="357"/>
      <c r="C503" s="1891"/>
      <c r="D503" s="360"/>
      <c r="E503" s="360"/>
      <c r="F503" s="360"/>
      <c r="G503" s="1888" t="s">
        <v>1952</v>
      </c>
      <c r="H503" s="1883" t="s">
        <v>4072</v>
      </c>
      <c r="I503" s="1886" t="s">
        <v>2455</v>
      </c>
      <c r="J503" s="360"/>
      <c r="K503" s="360"/>
      <c r="L503" s="1887"/>
      <c r="M503" s="360"/>
      <c r="N503" s="1883"/>
      <c r="O503" s="1757"/>
      <c r="P503" s="1757"/>
      <c r="Q503" s="360"/>
      <c r="R503" s="357"/>
    </row>
    <row r="504" spans="1:18" s="115" customFormat="1">
      <c r="A504" s="357"/>
      <c r="B504" s="357"/>
      <c r="C504" s="1891"/>
      <c r="D504" s="360"/>
      <c r="E504" s="360"/>
      <c r="F504" s="360"/>
      <c r="G504" s="1888" t="s">
        <v>2089</v>
      </c>
      <c r="H504" s="1883">
        <v>2020</v>
      </c>
      <c r="I504" s="1883" t="s">
        <v>4071</v>
      </c>
      <c r="J504" s="360"/>
      <c r="K504" s="360"/>
      <c r="L504" s="1887"/>
      <c r="M504" s="360"/>
      <c r="N504" s="1883"/>
      <c r="O504" s="1757"/>
      <c r="P504" s="1757"/>
      <c r="Q504" s="360"/>
      <c r="R504" s="357"/>
    </row>
    <row r="505" spans="1:18" s="115" customFormat="1">
      <c r="A505" s="357"/>
      <c r="B505" s="357"/>
      <c r="C505" s="1891"/>
      <c r="D505" s="360"/>
      <c r="E505" s="360"/>
      <c r="F505" s="360"/>
      <c r="G505" s="1888" t="s">
        <v>1975</v>
      </c>
      <c r="H505" s="1883">
        <v>2020</v>
      </c>
      <c r="I505" s="1883" t="s">
        <v>4071</v>
      </c>
      <c r="J505" s="360"/>
      <c r="K505" s="360"/>
      <c r="L505" s="360"/>
      <c r="M505" s="360"/>
      <c r="N505" s="1883"/>
      <c r="O505" s="1757"/>
      <c r="P505" s="1757"/>
      <c r="Q505" s="360"/>
      <c r="R505" s="357"/>
    </row>
    <row r="506" spans="1:18" s="115" customFormat="1">
      <c r="A506" s="357"/>
      <c r="B506" s="357"/>
      <c r="C506" s="360"/>
      <c r="D506" s="360"/>
      <c r="E506" s="360"/>
      <c r="F506" s="360"/>
      <c r="G506" s="1888" t="s">
        <v>2155</v>
      </c>
      <c r="H506" s="1883">
        <v>2019</v>
      </c>
      <c r="I506" s="1883" t="s">
        <v>4071</v>
      </c>
      <c r="J506" s="360"/>
      <c r="K506" s="360"/>
      <c r="L506" s="360"/>
      <c r="M506" s="360"/>
      <c r="N506" s="1883"/>
      <c r="O506" s="1757"/>
      <c r="P506" s="1757"/>
      <c r="Q506" s="360"/>
      <c r="R506" s="357"/>
    </row>
    <row r="507" spans="1:18" s="115" customFormat="1">
      <c r="A507" s="357"/>
      <c r="B507" s="357"/>
      <c r="C507" s="360"/>
      <c r="D507" s="360"/>
      <c r="E507" s="360"/>
      <c r="F507" s="360"/>
      <c r="G507" s="1888" t="s">
        <v>4067</v>
      </c>
      <c r="H507" s="360"/>
      <c r="I507" s="360"/>
      <c r="J507" s="360"/>
      <c r="K507" s="360"/>
      <c r="L507" s="360"/>
      <c r="M507" s="360"/>
      <c r="N507" s="1883"/>
      <c r="O507" s="1757"/>
      <c r="P507" s="1757"/>
      <c r="Q507" s="360"/>
      <c r="R507" s="357"/>
    </row>
    <row r="508" spans="1:18" s="115" customFormat="1">
      <c r="A508" s="357"/>
      <c r="B508" s="357"/>
      <c r="C508" s="360"/>
      <c r="D508" s="360"/>
      <c r="E508" s="360"/>
      <c r="F508" s="360"/>
      <c r="G508" s="1888" t="s">
        <v>1575</v>
      </c>
      <c r="H508" s="1883">
        <v>2019</v>
      </c>
      <c r="I508" s="1883" t="s">
        <v>4071</v>
      </c>
      <c r="J508" s="360"/>
      <c r="K508" s="360"/>
      <c r="L508" s="360"/>
      <c r="M508" s="360"/>
      <c r="N508" s="1883"/>
      <c r="O508" s="1757"/>
      <c r="P508" s="1757"/>
      <c r="Q508" s="360"/>
      <c r="R508" s="357"/>
    </row>
    <row r="509" spans="1:18" s="115" customFormat="1">
      <c r="A509" s="357"/>
      <c r="B509" s="357"/>
      <c r="C509" s="360"/>
      <c r="D509" s="360"/>
      <c r="E509" s="360"/>
      <c r="F509" s="360"/>
      <c r="G509" s="1888" t="s">
        <v>1578</v>
      </c>
      <c r="H509" s="1883">
        <v>2020</v>
      </c>
      <c r="I509" s="1883" t="s">
        <v>4071</v>
      </c>
      <c r="J509" s="360"/>
      <c r="K509" s="360"/>
      <c r="L509" s="360"/>
      <c r="M509" s="360"/>
      <c r="N509" s="1883"/>
      <c r="O509" s="1757"/>
      <c r="P509" s="1757"/>
      <c r="Q509" s="360"/>
      <c r="R509" s="357"/>
    </row>
    <row r="510" spans="1:18" s="115" customFormat="1">
      <c r="A510" s="357"/>
      <c r="B510" s="357"/>
      <c r="C510" s="360"/>
      <c r="D510" s="360"/>
      <c r="E510" s="360"/>
      <c r="F510" s="360"/>
      <c r="G510" s="1888" t="s">
        <v>1583</v>
      </c>
      <c r="H510" s="1883">
        <v>2020</v>
      </c>
      <c r="I510" s="1883" t="s">
        <v>4071</v>
      </c>
      <c r="J510" s="360"/>
      <c r="K510" s="360"/>
      <c r="L510" s="360"/>
      <c r="M510" s="360"/>
      <c r="N510" s="1883"/>
      <c r="O510" s="1757"/>
      <c r="P510" s="1757"/>
      <c r="Q510" s="360"/>
      <c r="R510" s="357"/>
    </row>
    <row r="511" spans="1:18" s="115" customFormat="1">
      <c r="A511" s="357"/>
      <c r="B511" s="357"/>
      <c r="C511" s="360"/>
      <c r="D511" s="360"/>
      <c r="E511" s="360"/>
      <c r="F511" s="360"/>
      <c r="G511" s="1888" t="s">
        <v>1591</v>
      </c>
      <c r="H511" s="1883">
        <v>2020</v>
      </c>
      <c r="I511" s="1883" t="s">
        <v>4071</v>
      </c>
      <c r="J511" s="360"/>
      <c r="K511" s="360"/>
      <c r="L511" s="360"/>
      <c r="M511" s="360"/>
      <c r="N511" s="1883"/>
      <c r="O511" s="1757"/>
      <c r="P511" s="1757"/>
      <c r="Q511" s="360"/>
      <c r="R511" s="357"/>
    </row>
    <row r="512" spans="1:18" s="115" customFormat="1">
      <c r="A512" s="357"/>
      <c r="B512" s="357"/>
      <c r="C512" s="360"/>
      <c r="D512" s="360"/>
      <c r="E512" s="360"/>
      <c r="F512" s="360"/>
      <c r="G512" s="1888" t="s">
        <v>1592</v>
      </c>
      <c r="H512" s="1883">
        <v>2019</v>
      </c>
      <c r="I512" s="1883" t="s">
        <v>4071</v>
      </c>
      <c r="J512" s="360"/>
      <c r="K512" s="360"/>
      <c r="L512" s="360"/>
      <c r="M512" s="360"/>
      <c r="N512" s="1883"/>
      <c r="O512" s="1757"/>
      <c r="P512" s="1757"/>
      <c r="Q512" s="360"/>
      <c r="R512" s="357"/>
    </row>
    <row r="513" spans="1:18" s="115" customFormat="1">
      <c r="A513" s="357"/>
      <c r="B513" s="357"/>
      <c r="C513" s="360"/>
      <c r="D513" s="360"/>
      <c r="E513" s="360"/>
      <c r="F513" s="360"/>
      <c r="G513" s="1888" t="s">
        <v>100</v>
      </c>
      <c r="H513" s="1883">
        <v>2020</v>
      </c>
      <c r="I513" s="1883" t="s">
        <v>4071</v>
      </c>
      <c r="J513" s="360"/>
      <c r="K513" s="360"/>
      <c r="L513" s="360"/>
      <c r="M513" s="360"/>
      <c r="N513" s="1883"/>
      <c r="O513" s="1757"/>
      <c r="P513" s="1757"/>
      <c r="Q513" s="360"/>
      <c r="R513" s="357"/>
    </row>
    <row r="514" spans="1:18" s="115" customFormat="1">
      <c r="A514" s="357"/>
      <c r="B514" s="357"/>
      <c r="C514" s="360"/>
      <c r="D514" s="360"/>
      <c r="E514" s="360"/>
      <c r="F514" s="360"/>
      <c r="G514" s="1888" t="s">
        <v>285</v>
      </c>
      <c r="H514" s="1883">
        <v>2020</v>
      </c>
      <c r="I514" s="1883" t="s">
        <v>4071</v>
      </c>
      <c r="J514" s="360"/>
      <c r="K514" s="360"/>
      <c r="L514" s="360"/>
      <c r="M514" s="360"/>
      <c r="N514" s="1883"/>
      <c r="O514" s="1757"/>
      <c r="P514" s="1757"/>
      <c r="Q514" s="360"/>
      <c r="R514" s="357"/>
    </row>
    <row r="515" spans="1:18" s="115" customFormat="1">
      <c r="A515" s="357"/>
      <c r="B515" s="357"/>
      <c r="C515" s="360"/>
      <c r="D515" s="360"/>
      <c r="E515" s="360"/>
      <c r="F515" s="360"/>
      <c r="G515" s="1888" t="s">
        <v>1443</v>
      </c>
      <c r="H515" s="1883" t="s">
        <v>4072</v>
      </c>
      <c r="I515" s="1886" t="s">
        <v>2455</v>
      </c>
      <c r="J515" s="360"/>
      <c r="K515" s="360"/>
      <c r="L515" s="360"/>
      <c r="M515" s="360"/>
      <c r="N515" s="1883"/>
      <c r="O515" s="1757"/>
      <c r="P515" s="1757"/>
      <c r="Q515" s="360"/>
      <c r="R515" s="357"/>
    </row>
    <row r="516" spans="1:18" s="115" customFormat="1" ht="30" customHeight="1">
      <c r="A516" s="357"/>
      <c r="B516" s="357"/>
      <c r="C516" s="360"/>
      <c r="D516" s="360"/>
      <c r="E516" s="360"/>
      <c r="F516" s="360"/>
      <c r="G516" s="1888"/>
      <c r="H516" s="360"/>
      <c r="I516" s="360"/>
      <c r="J516" s="360"/>
      <c r="K516" s="360"/>
      <c r="L516" s="357"/>
      <c r="M516" s="357"/>
      <c r="N516" s="357"/>
      <c r="O516" s="357"/>
      <c r="P516" s="357"/>
      <c r="Q516" s="357"/>
      <c r="R516" s="357"/>
    </row>
    <row r="517" spans="1:18" s="115" customFormat="1">
      <c r="A517" s="357"/>
      <c r="B517" s="357"/>
      <c r="C517" s="357"/>
      <c r="D517" s="357"/>
      <c r="E517" s="357"/>
      <c r="F517" s="357"/>
      <c r="G517" s="357"/>
      <c r="H517" s="357"/>
      <c r="I517" s="357"/>
      <c r="J517" s="357"/>
      <c r="K517" s="357"/>
      <c r="L517" s="357"/>
      <c r="M517" s="357"/>
      <c r="N517" s="1750"/>
      <c r="O517" s="1892"/>
      <c r="P517" s="1892"/>
    </row>
    <row r="518" spans="1:18" s="115" customFormat="1">
      <c r="A518" s="357"/>
      <c r="B518" s="357"/>
      <c r="C518" s="357"/>
      <c r="D518" s="357"/>
      <c r="E518" s="357"/>
      <c r="F518" s="357"/>
      <c r="G518" s="357"/>
      <c r="H518" s="357"/>
      <c r="I518" s="357"/>
      <c r="J518" s="357"/>
      <c r="K518" s="357"/>
      <c r="L518" s="357"/>
      <c r="M518" s="357"/>
      <c r="N518" s="1750"/>
      <c r="O518" s="1892"/>
      <c r="P518" s="1892"/>
    </row>
    <row r="519" spans="1:18" s="115" customFormat="1">
      <c r="A519" s="357"/>
      <c r="B519" s="357"/>
      <c r="C519" s="357"/>
      <c r="D519" s="357"/>
      <c r="E519" s="357"/>
      <c r="F519" s="357"/>
      <c r="G519" s="357"/>
      <c r="H519" s="357"/>
      <c r="I519" s="357"/>
      <c r="J519" s="357"/>
      <c r="K519" s="357"/>
      <c r="L519" s="357"/>
      <c r="M519" s="357"/>
      <c r="N519" s="1750"/>
      <c r="O519" s="1892"/>
      <c r="P519" s="1892"/>
    </row>
    <row r="520" spans="1:18" s="115" customFormat="1">
      <c r="A520" s="357"/>
      <c r="B520" s="357"/>
      <c r="C520" s="357"/>
      <c r="D520" s="357"/>
      <c r="E520" s="357"/>
      <c r="F520" s="357"/>
      <c r="G520" s="357"/>
      <c r="H520" s="357"/>
      <c r="I520" s="357"/>
      <c r="J520" s="357"/>
      <c r="K520" s="357"/>
      <c r="L520" s="357"/>
      <c r="M520" s="357"/>
      <c r="N520" s="1750"/>
      <c r="O520" s="1892"/>
      <c r="P520" s="1892"/>
    </row>
    <row r="521" spans="1:18" s="115" customFormat="1">
      <c r="A521" s="357"/>
      <c r="B521" s="357"/>
      <c r="C521" s="357"/>
      <c r="D521" s="357"/>
      <c r="E521" s="357"/>
      <c r="F521" s="357"/>
      <c r="G521" s="357"/>
      <c r="H521" s="357"/>
      <c r="I521" s="357"/>
      <c r="J521" s="357"/>
      <c r="K521" s="357"/>
      <c r="L521" s="357"/>
      <c r="M521" s="357"/>
      <c r="N521" s="1750"/>
      <c r="O521" s="1892"/>
      <c r="P521" s="1892"/>
    </row>
    <row r="522" spans="1:18" s="115" customFormat="1">
      <c r="A522" s="357"/>
      <c r="B522" s="357"/>
      <c r="C522" s="357"/>
      <c r="D522" s="357"/>
      <c r="E522" s="357"/>
      <c r="F522" s="357"/>
      <c r="G522" s="357"/>
      <c r="H522" s="357"/>
      <c r="I522" s="357"/>
      <c r="J522" s="357"/>
      <c r="K522" s="357"/>
      <c r="L522" s="357"/>
      <c r="M522" s="357"/>
      <c r="N522" s="1750"/>
      <c r="O522" s="1892"/>
      <c r="P522" s="1892"/>
    </row>
    <row r="523" spans="1:18" s="115" customFormat="1">
      <c r="A523" s="357"/>
      <c r="B523" s="357"/>
      <c r="C523" s="357"/>
      <c r="D523" s="357"/>
      <c r="E523" s="357"/>
      <c r="F523" s="357"/>
      <c r="G523" s="357"/>
      <c r="H523" s="357"/>
      <c r="I523" s="357"/>
      <c r="J523" s="357"/>
      <c r="K523" s="357"/>
      <c r="L523" s="357"/>
      <c r="M523" s="357"/>
      <c r="N523" s="1750"/>
      <c r="O523" s="1892"/>
      <c r="P523" s="1892"/>
    </row>
    <row r="524" spans="1:18" s="115" customFormat="1">
      <c r="A524" s="357"/>
      <c r="B524" s="357"/>
      <c r="C524" s="357"/>
      <c r="D524" s="357"/>
      <c r="E524" s="357"/>
      <c r="F524" s="357"/>
      <c r="G524" s="357"/>
      <c r="H524" s="357"/>
      <c r="I524" s="357"/>
      <c r="J524" s="357"/>
      <c r="K524" s="357"/>
      <c r="L524" s="357"/>
      <c r="M524" s="357"/>
      <c r="N524" s="1750"/>
      <c r="O524" s="1892"/>
      <c r="P524" s="1892"/>
    </row>
    <row r="525" spans="1:18" s="115" customFormat="1">
      <c r="A525" s="357"/>
      <c r="B525" s="357"/>
      <c r="C525" s="357"/>
      <c r="D525" s="357"/>
      <c r="E525" s="357"/>
      <c r="F525" s="357"/>
      <c r="G525" s="357"/>
      <c r="H525" s="357"/>
      <c r="I525" s="357"/>
      <c r="J525" s="357"/>
      <c r="K525" s="357"/>
      <c r="L525" s="357"/>
      <c r="M525" s="357"/>
      <c r="N525" s="1750"/>
      <c r="O525" s="1892"/>
      <c r="P525" s="1892"/>
    </row>
    <row r="526" spans="1:18" s="115" customFormat="1">
      <c r="A526" s="357"/>
      <c r="B526" s="357"/>
      <c r="C526" s="357"/>
      <c r="D526" s="357"/>
      <c r="E526" s="357"/>
      <c r="F526" s="357"/>
      <c r="G526" s="357"/>
      <c r="H526" s="357"/>
      <c r="I526" s="357"/>
      <c r="J526" s="357"/>
      <c r="K526" s="357"/>
      <c r="L526" s="357"/>
      <c r="M526" s="357"/>
      <c r="N526" s="1750"/>
      <c r="O526" s="1892"/>
      <c r="P526" s="1892"/>
    </row>
    <row r="527" spans="1:18" s="115" customFormat="1">
      <c r="A527" s="357"/>
      <c r="B527" s="357"/>
      <c r="C527" s="357"/>
      <c r="D527" s="357"/>
      <c r="E527" s="357"/>
      <c r="F527" s="357"/>
      <c r="G527" s="357"/>
      <c r="H527" s="357"/>
      <c r="I527" s="357"/>
      <c r="J527" s="357"/>
      <c r="K527" s="357"/>
      <c r="L527" s="357"/>
      <c r="M527" s="357"/>
      <c r="N527" s="1750"/>
      <c r="O527" s="1892"/>
      <c r="P527" s="1892"/>
    </row>
    <row r="528" spans="1:18" s="115" customFormat="1">
      <c r="A528" s="357"/>
      <c r="B528" s="357"/>
      <c r="C528" s="357"/>
      <c r="D528" s="357"/>
      <c r="E528" s="357"/>
      <c r="F528" s="357"/>
      <c r="G528" s="357"/>
      <c r="H528" s="357"/>
      <c r="I528" s="357"/>
      <c r="J528" s="357"/>
      <c r="K528" s="357"/>
      <c r="L528" s="357"/>
      <c r="M528" s="357"/>
      <c r="N528" s="1750"/>
      <c r="O528" s="1892"/>
      <c r="P528" s="1892"/>
    </row>
    <row r="529" spans="1:21" s="115" customFormat="1">
      <c r="A529" s="357"/>
      <c r="B529" s="357"/>
      <c r="C529" s="357"/>
      <c r="D529" s="357"/>
      <c r="E529" s="357"/>
      <c r="F529" s="357"/>
      <c r="G529" s="357"/>
      <c r="H529" s="357"/>
      <c r="I529" s="357"/>
      <c r="J529" s="357"/>
      <c r="K529" s="357"/>
      <c r="L529" s="357"/>
      <c r="M529" s="357"/>
      <c r="N529" s="1750"/>
      <c r="O529" s="1892"/>
      <c r="P529" s="1892"/>
    </row>
    <row r="530" spans="1:21" s="115" customFormat="1">
      <c r="A530" s="357"/>
      <c r="B530" s="357"/>
      <c r="C530" s="357"/>
      <c r="D530" s="357"/>
      <c r="E530" s="357"/>
      <c r="F530" s="357"/>
      <c r="G530" s="357"/>
      <c r="H530" s="357"/>
      <c r="I530" s="357"/>
      <c r="J530" s="357"/>
      <c r="K530" s="357"/>
      <c r="L530" s="357"/>
      <c r="M530" s="357"/>
      <c r="N530" s="1750"/>
      <c r="O530" s="1892"/>
      <c r="P530" s="1892"/>
    </row>
    <row r="531" spans="1:21">
      <c r="A531" s="357"/>
      <c r="B531" s="357"/>
      <c r="C531" s="357"/>
      <c r="D531" s="357"/>
      <c r="E531" s="357"/>
      <c r="F531" s="357"/>
      <c r="G531" s="357"/>
      <c r="H531" s="357"/>
      <c r="I531" s="357"/>
      <c r="J531" s="357"/>
      <c r="K531" s="357"/>
      <c r="L531" s="357"/>
      <c r="M531" s="357"/>
      <c r="N531" s="1750"/>
      <c r="O531" s="1892"/>
      <c r="P531" s="1892"/>
      <c r="Q531" s="115"/>
      <c r="R531" s="115"/>
      <c r="S531" s="115"/>
      <c r="T531" s="115"/>
      <c r="U531" s="115"/>
    </row>
    <row r="532" spans="1:21">
      <c r="A532" s="357"/>
      <c r="B532" s="357"/>
      <c r="C532" s="357"/>
      <c r="D532" s="357"/>
      <c r="E532" s="357"/>
      <c r="F532" s="357"/>
      <c r="G532" s="357"/>
      <c r="H532" s="357"/>
      <c r="I532" s="357"/>
      <c r="J532" s="357"/>
      <c r="K532" s="357"/>
      <c r="L532" s="357"/>
      <c r="M532" s="357"/>
      <c r="N532" s="1750"/>
      <c r="O532" s="1892"/>
      <c r="P532" s="1892"/>
      <c r="Q532" s="115"/>
      <c r="R532" s="115"/>
      <c r="S532" s="115"/>
      <c r="T532" s="115"/>
      <c r="U532" s="115"/>
    </row>
    <row r="533" spans="1:21">
      <c r="A533" s="357"/>
      <c r="B533" s="357"/>
      <c r="C533" s="357"/>
      <c r="D533" s="357"/>
      <c r="E533" s="357"/>
      <c r="F533" s="357"/>
      <c r="G533" s="357"/>
      <c r="H533" s="357"/>
      <c r="I533" s="357"/>
      <c r="J533" s="357"/>
      <c r="K533" s="357"/>
      <c r="L533" s="357"/>
      <c r="M533" s="357"/>
      <c r="N533" s="1750"/>
      <c r="O533" s="1892"/>
      <c r="P533" s="1892"/>
      <c r="Q533" s="115"/>
      <c r="R533" s="115"/>
      <c r="S533" s="115"/>
      <c r="T533" s="115"/>
      <c r="U533" s="115"/>
    </row>
    <row r="534" spans="1:21">
      <c r="A534" s="357"/>
      <c r="B534" s="357"/>
      <c r="C534" s="357"/>
      <c r="D534" s="357"/>
      <c r="E534" s="357"/>
      <c r="F534" s="357"/>
      <c r="G534" s="357"/>
      <c r="H534" s="357"/>
      <c r="I534" s="357"/>
      <c r="J534" s="357"/>
      <c r="K534" s="357"/>
      <c r="L534" s="357"/>
      <c r="M534" s="357"/>
      <c r="N534" s="1750"/>
      <c r="O534" s="1892"/>
      <c r="P534" s="1892"/>
      <c r="Q534" s="115"/>
      <c r="R534" s="115"/>
      <c r="S534" s="115"/>
      <c r="T534" s="115"/>
      <c r="U534" s="115"/>
    </row>
    <row r="535" spans="1:21">
      <c r="A535" s="357"/>
      <c r="B535" s="357"/>
      <c r="C535" s="357"/>
      <c r="D535" s="357"/>
      <c r="E535" s="357"/>
      <c r="F535" s="357"/>
      <c r="G535" s="357"/>
      <c r="H535" s="357"/>
      <c r="I535" s="357"/>
      <c r="J535" s="357"/>
      <c r="K535" s="357"/>
      <c r="L535" s="357"/>
      <c r="M535" s="357"/>
      <c r="N535" s="1750"/>
      <c r="O535" s="1892"/>
      <c r="P535" s="1892"/>
      <c r="Q535" s="115"/>
      <c r="R535" s="115"/>
      <c r="S535" s="115"/>
      <c r="T535" s="115"/>
      <c r="U535" s="115"/>
    </row>
    <row r="536" spans="1:21">
      <c r="A536" s="357"/>
      <c r="B536" s="357"/>
      <c r="C536" s="357"/>
      <c r="D536" s="357"/>
      <c r="E536" s="357"/>
      <c r="F536" s="357"/>
      <c r="G536" s="357"/>
      <c r="H536" s="357"/>
      <c r="I536" s="357"/>
      <c r="J536" s="357"/>
      <c r="K536" s="357"/>
      <c r="L536" s="357"/>
      <c r="M536" s="357"/>
      <c r="N536" s="1750"/>
      <c r="O536" s="1892"/>
      <c r="P536" s="1892"/>
      <c r="Q536" s="115"/>
      <c r="R536" s="115"/>
      <c r="S536" s="115"/>
      <c r="T536" s="115"/>
      <c r="U536" s="115"/>
    </row>
    <row r="537" spans="1:21">
      <c r="A537" s="357"/>
      <c r="B537" s="357"/>
      <c r="C537" s="357"/>
      <c r="D537" s="357"/>
      <c r="E537" s="357"/>
      <c r="F537" s="357"/>
      <c r="G537" s="357"/>
      <c r="H537" s="357"/>
      <c r="I537" s="357"/>
      <c r="J537" s="357"/>
      <c r="K537" s="357"/>
      <c r="L537" s="357"/>
      <c r="M537" s="357"/>
      <c r="N537" s="1750"/>
      <c r="O537" s="1892"/>
      <c r="P537" s="1892"/>
      <c r="Q537" s="115"/>
      <c r="R537" s="115"/>
      <c r="S537" s="115"/>
      <c r="T537" s="115"/>
      <c r="U537" s="115"/>
    </row>
    <row r="538" spans="1:21">
      <c r="A538" s="357"/>
      <c r="B538" s="357"/>
      <c r="C538" s="357"/>
      <c r="D538" s="357"/>
      <c r="E538" s="357"/>
      <c r="F538" s="357"/>
      <c r="G538" s="357"/>
      <c r="H538" s="357"/>
      <c r="I538" s="357"/>
      <c r="J538" s="357"/>
      <c r="K538" s="357"/>
      <c r="L538" s="357"/>
      <c r="M538" s="357"/>
      <c r="N538" s="1750"/>
      <c r="O538" s="1892"/>
      <c r="P538" s="1892"/>
      <c r="Q538" s="115"/>
      <c r="R538" s="115"/>
      <c r="S538" s="115"/>
      <c r="T538" s="115"/>
      <c r="U538" s="115"/>
    </row>
    <row r="539" spans="1:21">
      <c r="A539" s="357"/>
      <c r="B539" s="357"/>
      <c r="C539" s="357"/>
      <c r="D539" s="357"/>
      <c r="E539" s="357"/>
      <c r="F539" s="357"/>
      <c r="G539" s="357"/>
      <c r="H539" s="357"/>
      <c r="I539" s="357"/>
      <c r="J539" s="357"/>
      <c r="K539" s="357"/>
      <c r="L539" s="357"/>
      <c r="M539" s="357"/>
      <c r="N539" s="1750"/>
      <c r="O539" s="1892"/>
      <c r="P539" s="1892"/>
      <c r="Q539" s="115"/>
      <c r="R539" s="115"/>
      <c r="S539" s="115"/>
      <c r="T539" s="115"/>
      <c r="U539" s="115"/>
    </row>
    <row r="540" spans="1:21">
      <c r="A540" s="357"/>
      <c r="B540" s="357"/>
      <c r="C540" s="357"/>
      <c r="D540" s="357"/>
      <c r="E540" s="357"/>
      <c r="F540" s="357"/>
      <c r="G540" s="357"/>
      <c r="H540" s="357"/>
      <c r="I540" s="357"/>
      <c r="J540" s="357"/>
      <c r="K540" s="357"/>
      <c r="L540" s="357"/>
      <c r="M540" s="357"/>
      <c r="N540" s="1750"/>
      <c r="O540" s="1892"/>
      <c r="P540" s="1892"/>
      <c r="Q540" s="115"/>
      <c r="R540" s="115"/>
      <c r="S540" s="115"/>
      <c r="T540" s="115"/>
      <c r="U540" s="115"/>
    </row>
    <row r="541" spans="1:21">
      <c r="A541" s="357"/>
      <c r="B541" s="357"/>
      <c r="C541" s="357"/>
      <c r="D541" s="357"/>
      <c r="E541" s="357"/>
      <c r="F541" s="357"/>
      <c r="G541" s="357"/>
      <c r="H541" s="357"/>
      <c r="I541" s="357"/>
      <c r="J541" s="357"/>
      <c r="K541" s="357"/>
      <c r="L541" s="357"/>
      <c r="M541" s="357"/>
      <c r="N541" s="1750"/>
      <c r="O541" s="1892"/>
      <c r="P541" s="1892"/>
      <c r="Q541" s="115"/>
      <c r="R541" s="115"/>
      <c r="S541" s="115"/>
      <c r="T541" s="115"/>
      <c r="U541" s="115"/>
    </row>
    <row r="542" spans="1:21">
      <c r="A542" s="357"/>
      <c r="B542" s="357"/>
      <c r="C542" s="357"/>
      <c r="D542" s="357"/>
      <c r="E542" s="357"/>
      <c r="F542" s="357"/>
      <c r="G542" s="357"/>
      <c r="H542" s="357"/>
      <c r="I542" s="357"/>
      <c r="J542" s="357"/>
      <c r="K542" s="357"/>
      <c r="L542" s="357"/>
      <c r="M542" s="357"/>
      <c r="N542" s="1750"/>
      <c r="O542" s="1892"/>
      <c r="P542" s="1892"/>
      <c r="Q542" s="115"/>
      <c r="R542" s="115"/>
      <c r="S542" s="115"/>
      <c r="T542" s="115"/>
      <c r="U542" s="115"/>
    </row>
    <row r="543" spans="1:21">
      <c r="A543" s="357"/>
      <c r="B543" s="357"/>
      <c r="C543" s="357"/>
      <c r="D543" s="357"/>
      <c r="E543" s="357"/>
      <c r="F543" s="357"/>
      <c r="G543" s="357"/>
      <c r="H543" s="357"/>
      <c r="I543" s="357"/>
      <c r="J543" s="357"/>
      <c r="K543" s="357"/>
      <c r="L543" s="357"/>
      <c r="M543" s="357"/>
      <c r="N543" s="1750"/>
      <c r="O543" s="1892"/>
      <c r="P543" s="1892"/>
    </row>
    <row r="544" spans="1:21">
      <c r="A544" s="357"/>
      <c r="B544" s="357"/>
      <c r="C544" s="357"/>
      <c r="D544" s="357"/>
      <c r="E544" s="357"/>
      <c r="F544" s="357"/>
      <c r="G544" s="357"/>
      <c r="H544" s="357"/>
      <c r="I544" s="357"/>
      <c r="J544" s="357"/>
      <c r="K544" s="357"/>
      <c r="L544" s="357"/>
      <c r="M544" s="357"/>
      <c r="N544" s="1750"/>
      <c r="O544" s="1892"/>
      <c r="P544" s="1892"/>
    </row>
    <row r="545" spans="1:16">
      <c r="A545" s="357"/>
      <c r="B545" s="357"/>
      <c r="C545" s="357"/>
      <c r="D545" s="357"/>
      <c r="E545" s="357"/>
      <c r="F545" s="357"/>
      <c r="G545" s="357"/>
      <c r="H545" s="357"/>
      <c r="I545" s="357"/>
      <c r="J545" s="357"/>
      <c r="K545" s="357"/>
      <c r="L545" s="357"/>
      <c r="M545" s="357"/>
      <c r="N545" s="1750"/>
      <c r="O545" s="1892"/>
      <c r="P545" s="1892"/>
    </row>
    <row r="546" spans="1:16">
      <c r="A546" s="357"/>
      <c r="B546" s="357"/>
      <c r="C546" s="357"/>
      <c r="D546" s="357"/>
      <c r="E546" s="357"/>
      <c r="F546" s="357"/>
      <c r="G546" s="357"/>
      <c r="H546" s="357"/>
      <c r="I546" s="357"/>
      <c r="J546" s="357"/>
      <c r="K546" s="357"/>
      <c r="L546" s="357"/>
      <c r="M546" s="357"/>
      <c r="N546" s="1750"/>
      <c r="O546" s="1892"/>
      <c r="P546" s="1892"/>
    </row>
    <row r="547" spans="1:16">
      <c r="A547" s="357"/>
      <c r="B547" s="357"/>
      <c r="C547" s="357"/>
      <c r="D547" s="357"/>
      <c r="E547" s="357"/>
      <c r="F547" s="357"/>
      <c r="G547" s="357"/>
      <c r="H547" s="357"/>
      <c r="I547" s="357"/>
      <c r="J547" s="357"/>
      <c r="K547" s="357"/>
      <c r="L547" s="357"/>
      <c r="M547" s="357"/>
      <c r="N547" s="1750"/>
      <c r="O547" s="1892"/>
      <c r="P547" s="1892"/>
    </row>
    <row r="548" spans="1:16">
      <c r="A548" s="357"/>
      <c r="B548" s="357"/>
      <c r="C548" s="357"/>
      <c r="D548" s="357"/>
      <c r="E548" s="357"/>
      <c r="F548" s="357"/>
      <c r="G548" s="357"/>
      <c r="H548" s="357"/>
      <c r="I548" s="357"/>
      <c r="J548" s="357"/>
      <c r="K548" s="357"/>
      <c r="L548" s="357"/>
      <c r="M548" s="357"/>
      <c r="N548" s="1750"/>
      <c r="O548" s="1892"/>
      <c r="P548" s="1892"/>
    </row>
    <row r="549" spans="1:16">
      <c r="A549" s="357"/>
      <c r="B549" s="357"/>
      <c r="C549" s="357"/>
      <c r="D549" s="357"/>
      <c r="E549" s="357"/>
      <c r="F549" s="357"/>
      <c r="G549" s="357"/>
      <c r="H549" s="357"/>
      <c r="I549" s="357"/>
      <c r="J549" s="357"/>
      <c r="K549" s="357"/>
      <c r="L549" s="357"/>
      <c r="M549" s="357"/>
      <c r="N549" s="1750"/>
      <c r="O549" s="1892"/>
      <c r="P549" s="1892"/>
    </row>
    <row r="550" spans="1:16">
      <c r="A550" s="357"/>
      <c r="B550" s="357"/>
      <c r="C550" s="357"/>
      <c r="D550" s="357"/>
      <c r="E550" s="357"/>
      <c r="F550" s="357"/>
      <c r="G550" s="357"/>
      <c r="H550" s="357"/>
      <c r="I550" s="357"/>
      <c r="J550" s="357"/>
      <c r="K550" s="357"/>
      <c r="L550" s="357"/>
      <c r="M550" s="357"/>
      <c r="N550" s="1750"/>
      <c r="O550" s="1892"/>
      <c r="P550" s="1892"/>
    </row>
    <row r="551" spans="1:16">
      <c r="A551" s="357"/>
      <c r="B551" s="357"/>
      <c r="C551" s="357"/>
      <c r="D551" s="357"/>
      <c r="E551" s="357"/>
      <c r="F551" s="357"/>
      <c r="G551" s="357"/>
      <c r="H551" s="357"/>
      <c r="I551" s="357"/>
      <c r="J551" s="357"/>
      <c r="K551" s="357"/>
      <c r="L551" s="357"/>
      <c r="M551" s="357"/>
      <c r="N551" s="1750"/>
      <c r="O551" s="1892"/>
      <c r="P551" s="1892"/>
    </row>
    <row r="552" spans="1:16">
      <c r="A552" s="357"/>
      <c r="B552" s="357"/>
      <c r="C552" s="357"/>
      <c r="D552" s="357"/>
      <c r="E552" s="357"/>
      <c r="F552" s="357"/>
      <c r="G552" s="357"/>
      <c r="H552" s="357"/>
      <c r="I552" s="357"/>
      <c r="J552" s="357"/>
      <c r="K552" s="357"/>
      <c r="L552" s="357"/>
      <c r="M552" s="357"/>
      <c r="N552" s="1750"/>
      <c r="O552" s="1892"/>
      <c r="P552" s="1892"/>
    </row>
    <row r="553" spans="1:16">
      <c r="A553" s="357"/>
      <c r="B553" s="357"/>
      <c r="C553" s="357"/>
      <c r="D553" s="357"/>
      <c r="E553" s="357"/>
      <c r="F553" s="357"/>
      <c r="G553" s="357"/>
      <c r="H553" s="357"/>
      <c r="I553" s="357"/>
      <c r="J553" s="357"/>
      <c r="K553" s="357"/>
      <c r="L553" s="357"/>
      <c r="M553" s="357"/>
      <c r="N553" s="1750"/>
      <c r="O553" s="1892"/>
      <c r="P553" s="1892"/>
    </row>
    <row r="554" spans="1:16">
      <c r="A554" s="357"/>
      <c r="B554" s="357"/>
      <c r="C554" s="357"/>
      <c r="D554" s="357"/>
      <c r="E554" s="357"/>
      <c r="F554" s="357"/>
      <c r="G554" s="357"/>
      <c r="H554" s="357"/>
      <c r="I554" s="357"/>
      <c r="J554" s="357"/>
      <c r="K554" s="357"/>
      <c r="L554" s="357"/>
      <c r="M554" s="357"/>
      <c r="N554" s="1750"/>
      <c r="O554" s="1892"/>
      <c r="P554" s="1892"/>
    </row>
    <row r="555" spans="1:16">
      <c r="A555" s="357"/>
      <c r="B555" s="357"/>
      <c r="C555" s="357"/>
      <c r="D555" s="357"/>
      <c r="E555" s="357"/>
      <c r="F555" s="357"/>
      <c r="G555" s="357"/>
      <c r="H555" s="357"/>
      <c r="I555" s="357"/>
      <c r="J555" s="357"/>
      <c r="K555" s="357"/>
      <c r="L555" s="357"/>
      <c r="M555" s="357"/>
      <c r="N555" s="1750"/>
      <c r="O555" s="1892"/>
      <c r="P555" s="1892"/>
    </row>
    <row r="556" spans="1:16">
      <c r="A556" s="357"/>
      <c r="B556" s="357"/>
      <c r="C556" s="357"/>
      <c r="D556" s="357"/>
      <c r="E556" s="357"/>
      <c r="F556" s="357"/>
      <c r="G556" s="357"/>
      <c r="H556" s="357"/>
      <c r="I556" s="357"/>
      <c r="J556" s="357"/>
      <c r="K556" s="357"/>
      <c r="L556" s="357"/>
      <c r="M556" s="357"/>
      <c r="N556" s="1750"/>
      <c r="O556" s="1892"/>
      <c r="P556" s="1892"/>
    </row>
    <row r="557" spans="1:16">
      <c r="A557" s="357"/>
      <c r="B557" s="357"/>
      <c r="C557" s="357"/>
      <c r="D557" s="357"/>
      <c r="E557" s="357"/>
      <c r="F557" s="357"/>
      <c r="G557" s="357"/>
      <c r="H557" s="357"/>
      <c r="I557" s="357"/>
      <c r="J557" s="357"/>
      <c r="K557" s="357"/>
      <c r="L557" s="357"/>
      <c r="M557" s="357"/>
      <c r="N557" s="1750"/>
      <c r="O557" s="1892"/>
      <c r="P557" s="1892"/>
    </row>
    <row r="558" spans="1:16">
      <c r="A558" s="357"/>
      <c r="B558" s="357"/>
      <c r="C558" s="357"/>
      <c r="D558" s="357"/>
      <c r="E558" s="357"/>
      <c r="F558" s="357"/>
      <c r="G558" s="357"/>
      <c r="H558" s="357"/>
      <c r="I558" s="357"/>
      <c r="J558" s="357"/>
      <c r="K558" s="357"/>
      <c r="L558" s="357"/>
      <c r="M558" s="357"/>
      <c r="N558" s="1750"/>
      <c r="O558" s="1892"/>
      <c r="P558" s="1892"/>
    </row>
    <row r="559" spans="1:16">
      <c r="A559" s="357"/>
      <c r="B559" s="357"/>
      <c r="C559" s="357"/>
      <c r="D559" s="357"/>
      <c r="E559" s="357"/>
      <c r="F559" s="357"/>
      <c r="G559" s="357"/>
      <c r="H559" s="357"/>
      <c r="I559" s="357"/>
      <c r="J559" s="357"/>
      <c r="K559" s="357"/>
      <c r="L559" s="357"/>
      <c r="M559" s="357"/>
      <c r="N559" s="1750"/>
      <c r="O559" s="1892"/>
      <c r="P559" s="1892"/>
    </row>
    <row r="560" spans="1:16">
      <c r="A560" s="357"/>
      <c r="B560" s="357"/>
      <c r="C560" s="357"/>
      <c r="D560" s="357"/>
      <c r="E560" s="357"/>
      <c r="F560" s="357"/>
      <c r="G560" s="357"/>
      <c r="H560" s="357"/>
      <c r="I560" s="357"/>
      <c r="J560" s="357"/>
      <c r="K560" s="357"/>
      <c r="L560" s="357"/>
      <c r="M560" s="357"/>
      <c r="N560" s="1750"/>
      <c r="O560" s="1892"/>
      <c r="P560" s="1892"/>
    </row>
    <row r="561" spans="1:16">
      <c r="A561" s="357"/>
      <c r="B561" s="357"/>
      <c r="C561" s="357"/>
      <c r="D561" s="357"/>
      <c r="E561" s="357"/>
      <c r="F561" s="357"/>
      <c r="G561" s="357"/>
      <c r="H561" s="357"/>
      <c r="I561" s="357"/>
      <c r="J561" s="357"/>
      <c r="K561" s="357"/>
      <c r="L561" s="357"/>
      <c r="M561" s="357"/>
      <c r="N561" s="1750"/>
      <c r="O561" s="1892"/>
      <c r="P561" s="1892"/>
    </row>
    <row r="562" spans="1:16">
      <c r="A562" s="357"/>
      <c r="B562" s="357"/>
      <c r="C562" s="357"/>
      <c r="D562" s="357"/>
      <c r="E562" s="357"/>
      <c r="F562" s="357"/>
      <c r="G562" s="357"/>
      <c r="H562" s="357"/>
      <c r="I562" s="357"/>
      <c r="J562" s="357"/>
      <c r="K562" s="357"/>
      <c r="L562" s="357"/>
      <c r="M562" s="357"/>
      <c r="N562" s="1750"/>
      <c r="O562" s="1892"/>
      <c r="P562" s="1892"/>
    </row>
    <row r="563" spans="1:16">
      <c r="A563" s="357"/>
      <c r="B563" s="357"/>
      <c r="C563" s="357"/>
      <c r="D563" s="357"/>
      <c r="E563" s="357"/>
      <c r="F563" s="357"/>
      <c r="G563" s="357"/>
      <c r="H563" s="357"/>
      <c r="I563" s="357"/>
      <c r="J563" s="357"/>
      <c r="K563" s="357"/>
      <c r="L563" s="357"/>
      <c r="M563" s="357"/>
      <c r="N563" s="1750"/>
      <c r="O563" s="1892"/>
      <c r="P563" s="1892"/>
    </row>
    <row r="564" spans="1:16">
      <c r="A564" s="357"/>
      <c r="B564" s="357"/>
      <c r="C564" s="357"/>
      <c r="D564" s="357"/>
      <c r="E564" s="357"/>
      <c r="F564" s="357"/>
      <c r="G564" s="357"/>
      <c r="H564" s="357"/>
      <c r="I564" s="357"/>
      <c r="J564" s="357"/>
      <c r="K564" s="357"/>
      <c r="L564" s="357"/>
      <c r="M564" s="357"/>
      <c r="N564" s="1750"/>
      <c r="O564" s="1892"/>
      <c r="P564" s="1892"/>
    </row>
    <row r="565" spans="1:16">
      <c r="A565" s="357"/>
      <c r="B565" s="357"/>
      <c r="C565" s="357"/>
      <c r="D565" s="357"/>
      <c r="E565" s="357"/>
      <c r="F565" s="357"/>
      <c r="G565" s="357"/>
      <c r="H565" s="357"/>
      <c r="I565" s="357"/>
      <c r="J565" s="357"/>
      <c r="K565" s="357"/>
      <c r="L565" s="357"/>
      <c r="M565" s="357"/>
      <c r="N565" s="1750"/>
      <c r="O565" s="1892"/>
      <c r="P565" s="1892"/>
    </row>
    <row r="566" spans="1:16">
      <c r="A566" s="357"/>
      <c r="B566" s="357"/>
      <c r="C566" s="357"/>
      <c r="D566" s="357"/>
      <c r="E566" s="357"/>
      <c r="F566" s="357"/>
      <c r="G566" s="357"/>
      <c r="H566" s="357"/>
      <c r="I566" s="357"/>
      <c r="J566" s="357"/>
      <c r="K566" s="357"/>
      <c r="L566" s="357"/>
      <c r="M566" s="357"/>
      <c r="N566" s="1750"/>
      <c r="O566" s="1892"/>
      <c r="P566" s="1892"/>
    </row>
    <row r="567" spans="1:16">
      <c r="A567" s="357"/>
      <c r="B567" s="357"/>
      <c r="C567" s="357"/>
      <c r="D567" s="357"/>
      <c r="E567" s="357"/>
      <c r="F567" s="357"/>
      <c r="G567" s="357"/>
      <c r="H567" s="357"/>
      <c r="I567" s="357"/>
      <c r="J567" s="357"/>
      <c r="K567" s="357"/>
      <c r="L567" s="357"/>
      <c r="M567" s="357"/>
      <c r="N567" s="1750"/>
      <c r="O567" s="1892"/>
      <c r="P567" s="1892"/>
    </row>
    <row r="568" spans="1:16">
      <c r="A568" s="357"/>
      <c r="B568" s="357"/>
      <c r="C568" s="357"/>
      <c r="D568" s="357"/>
      <c r="E568" s="357"/>
      <c r="F568" s="357"/>
      <c r="G568" s="357"/>
      <c r="H568" s="357"/>
      <c r="I568" s="357"/>
      <c r="J568" s="357"/>
      <c r="K568" s="357"/>
      <c r="L568" s="357"/>
      <c r="M568" s="357"/>
      <c r="N568" s="1750"/>
      <c r="O568" s="1892"/>
      <c r="P568" s="1892"/>
    </row>
    <row r="569" spans="1:16">
      <c r="A569" s="357"/>
      <c r="B569" s="357"/>
      <c r="C569" s="357"/>
      <c r="D569" s="357"/>
      <c r="E569" s="357"/>
      <c r="F569" s="357"/>
      <c r="G569" s="357"/>
      <c r="H569" s="357"/>
      <c r="I569" s="357"/>
      <c r="J569" s="357"/>
      <c r="K569" s="357"/>
      <c r="L569" s="357"/>
      <c r="M569" s="357"/>
      <c r="N569" s="1750"/>
      <c r="O569" s="1892"/>
      <c r="P569" s="1892"/>
    </row>
    <row r="570" spans="1:16">
      <c r="A570" s="357"/>
      <c r="B570" s="357"/>
      <c r="C570" s="357"/>
      <c r="D570" s="357"/>
      <c r="E570" s="357"/>
      <c r="F570" s="357"/>
      <c r="G570" s="357"/>
      <c r="H570" s="357"/>
      <c r="I570" s="357"/>
      <c r="J570" s="357"/>
      <c r="K570" s="357"/>
      <c r="L570" s="357"/>
      <c r="M570" s="357"/>
      <c r="N570" s="1750"/>
      <c r="O570" s="1892"/>
      <c r="P570" s="1892"/>
    </row>
    <row r="571" spans="1:16">
      <c r="A571" s="357"/>
      <c r="B571" s="357"/>
      <c r="C571" s="357"/>
      <c r="D571" s="357"/>
      <c r="E571" s="357"/>
      <c r="F571" s="357"/>
      <c r="G571" s="357"/>
      <c r="H571" s="357"/>
      <c r="I571" s="357"/>
      <c r="J571" s="357"/>
      <c r="K571" s="357"/>
      <c r="L571" s="357"/>
      <c r="M571" s="357"/>
      <c r="N571" s="1750"/>
      <c r="O571" s="1892"/>
      <c r="P571" s="1892"/>
    </row>
    <row r="572" spans="1:16">
      <c r="A572" s="357"/>
      <c r="B572" s="357"/>
      <c r="C572" s="357"/>
      <c r="D572" s="357"/>
      <c r="E572" s="357"/>
      <c r="F572" s="357"/>
      <c r="G572" s="357"/>
      <c r="H572" s="357"/>
      <c r="I572" s="357"/>
      <c r="J572" s="357"/>
      <c r="K572" s="357"/>
      <c r="L572" s="357"/>
      <c r="M572" s="357"/>
      <c r="N572" s="1750"/>
      <c r="O572" s="1892"/>
      <c r="P572" s="1892"/>
    </row>
    <row r="573" spans="1:16">
      <c r="A573" s="357"/>
      <c r="B573" s="357"/>
      <c r="C573" s="357"/>
      <c r="D573" s="357"/>
      <c r="E573" s="357"/>
      <c r="F573" s="357"/>
      <c r="G573" s="357"/>
      <c r="H573" s="357"/>
      <c r="I573" s="357"/>
      <c r="J573" s="357"/>
      <c r="K573" s="357"/>
      <c r="L573" s="357"/>
      <c r="M573" s="357"/>
      <c r="N573" s="1750"/>
      <c r="O573" s="1892"/>
      <c r="P573" s="1892"/>
    </row>
    <row r="574" spans="1:16">
      <c r="A574" s="357"/>
      <c r="B574" s="357"/>
      <c r="C574" s="357"/>
      <c r="D574" s="357"/>
      <c r="E574" s="357"/>
      <c r="F574" s="357"/>
      <c r="G574" s="357"/>
      <c r="H574" s="357"/>
      <c r="I574" s="357"/>
      <c r="J574" s="357"/>
      <c r="K574" s="357"/>
      <c r="L574" s="357"/>
      <c r="M574" s="357"/>
      <c r="N574" s="1750"/>
      <c r="O574" s="1892"/>
      <c r="P574" s="1892"/>
    </row>
    <row r="575" spans="1:16">
      <c r="A575" s="357"/>
      <c r="B575" s="357"/>
      <c r="C575" s="357"/>
      <c r="D575" s="357"/>
      <c r="E575" s="357"/>
      <c r="F575" s="357"/>
      <c r="G575" s="357"/>
      <c r="H575" s="357"/>
      <c r="I575" s="357"/>
      <c r="J575" s="357"/>
      <c r="K575" s="357"/>
      <c r="L575" s="357"/>
      <c r="M575" s="357"/>
      <c r="N575" s="1750"/>
      <c r="O575" s="1892"/>
      <c r="P575" s="1892"/>
    </row>
    <row r="576" spans="1:16">
      <c r="A576" s="357"/>
      <c r="B576" s="357"/>
      <c r="C576" s="357"/>
      <c r="D576" s="357"/>
      <c r="E576" s="357"/>
      <c r="F576" s="357"/>
      <c r="G576" s="357"/>
      <c r="H576" s="357"/>
      <c r="I576" s="357"/>
      <c r="J576" s="357"/>
      <c r="K576" s="357"/>
      <c r="L576" s="357"/>
      <c r="M576" s="357"/>
      <c r="N576" s="1750"/>
      <c r="O576" s="1892"/>
      <c r="P576" s="1892"/>
    </row>
    <row r="577" spans="1:16">
      <c r="A577" s="357"/>
      <c r="B577" s="357"/>
      <c r="C577" s="357"/>
      <c r="D577" s="357"/>
      <c r="E577" s="357"/>
      <c r="F577" s="357"/>
      <c r="G577" s="357"/>
      <c r="H577" s="357"/>
      <c r="I577" s="357"/>
      <c r="J577" s="357"/>
      <c r="K577" s="357"/>
      <c r="L577" s="357"/>
      <c r="M577" s="357"/>
      <c r="N577" s="1750"/>
      <c r="O577" s="1892"/>
      <c r="P577" s="1892"/>
    </row>
    <row r="578" spans="1:16">
      <c r="A578" s="357"/>
      <c r="B578" s="357"/>
      <c r="C578" s="357"/>
      <c r="D578" s="357"/>
      <c r="E578" s="357"/>
      <c r="F578" s="357"/>
      <c r="G578" s="357"/>
      <c r="H578" s="357"/>
      <c r="I578" s="357"/>
      <c r="J578" s="357"/>
      <c r="K578" s="357"/>
      <c r="L578" s="357"/>
      <c r="M578" s="357"/>
      <c r="N578" s="1750"/>
      <c r="O578" s="1892"/>
      <c r="P578" s="1892"/>
    </row>
    <row r="579" spans="1:16">
      <c r="A579" s="357"/>
      <c r="B579" s="357"/>
      <c r="C579" s="357"/>
      <c r="D579" s="357"/>
      <c r="E579" s="357"/>
      <c r="F579" s="357"/>
      <c r="G579" s="357"/>
      <c r="H579" s="357"/>
      <c r="I579" s="357"/>
      <c r="J579" s="357"/>
      <c r="K579" s="357"/>
      <c r="L579" s="357"/>
      <c r="M579" s="357"/>
      <c r="N579" s="1750"/>
      <c r="O579" s="1892"/>
      <c r="P579" s="1892"/>
    </row>
    <row r="580" spans="1:16">
      <c r="A580" s="357"/>
      <c r="B580" s="357"/>
      <c r="C580" s="357"/>
      <c r="D580" s="357"/>
      <c r="E580" s="357"/>
      <c r="F580" s="357"/>
      <c r="G580" s="357"/>
      <c r="H580" s="357"/>
      <c r="I580" s="357"/>
      <c r="J580" s="357"/>
      <c r="K580" s="357"/>
      <c r="L580" s="357"/>
      <c r="M580" s="357"/>
      <c r="N580" s="1750"/>
      <c r="O580" s="1892"/>
      <c r="P580" s="1892"/>
    </row>
    <row r="581" spans="1:16">
      <c r="A581" s="357"/>
      <c r="B581" s="357"/>
      <c r="C581" s="357"/>
      <c r="D581" s="357"/>
      <c r="E581" s="357"/>
      <c r="F581" s="357"/>
      <c r="G581" s="357"/>
      <c r="H581" s="357"/>
      <c r="I581" s="357"/>
      <c r="J581" s="357"/>
      <c r="K581" s="357"/>
      <c r="L581" s="357"/>
      <c r="M581" s="357"/>
      <c r="N581" s="1750"/>
      <c r="O581" s="1892"/>
      <c r="P581" s="1892"/>
    </row>
    <row r="582" spans="1:16">
      <c r="A582" s="357"/>
      <c r="B582" s="357"/>
      <c r="C582" s="357"/>
      <c r="D582" s="357"/>
      <c r="E582" s="357"/>
      <c r="F582" s="357"/>
      <c r="G582" s="357"/>
      <c r="H582" s="357"/>
      <c r="I582" s="357"/>
      <c r="J582" s="357"/>
      <c r="K582" s="357"/>
      <c r="L582" s="357"/>
      <c r="M582" s="357"/>
      <c r="N582" s="1750"/>
      <c r="O582" s="1892"/>
      <c r="P582" s="1892"/>
    </row>
    <row r="583" spans="1:16">
      <c r="A583" s="357"/>
      <c r="B583" s="357"/>
      <c r="C583" s="357"/>
      <c r="D583" s="357"/>
      <c r="E583" s="357"/>
      <c r="F583" s="357"/>
      <c r="G583" s="357"/>
      <c r="H583" s="357"/>
      <c r="I583" s="357"/>
      <c r="J583" s="357"/>
      <c r="K583" s="357"/>
      <c r="L583" s="357"/>
      <c r="M583" s="357"/>
      <c r="N583" s="1750"/>
      <c r="O583" s="1892"/>
      <c r="P583" s="1892"/>
    </row>
    <row r="584" spans="1:16">
      <c r="A584" s="357"/>
      <c r="B584" s="357"/>
      <c r="C584" s="357"/>
      <c r="D584" s="357"/>
      <c r="E584" s="357"/>
      <c r="F584" s="357"/>
      <c r="G584" s="357"/>
      <c r="H584" s="357"/>
      <c r="I584" s="357"/>
      <c r="J584" s="357"/>
      <c r="K584" s="357"/>
      <c r="L584" s="357"/>
      <c r="M584" s="357"/>
      <c r="N584" s="1750"/>
      <c r="O584" s="1892"/>
      <c r="P584" s="1892"/>
    </row>
    <row r="585" spans="1:16">
      <c r="A585" s="357"/>
      <c r="B585" s="357"/>
      <c r="C585" s="357"/>
      <c r="D585" s="357"/>
      <c r="E585" s="357"/>
      <c r="F585" s="357"/>
      <c r="G585" s="357"/>
      <c r="H585" s="357"/>
      <c r="I585" s="357"/>
      <c r="J585" s="357"/>
      <c r="K585" s="357"/>
      <c r="L585" s="357"/>
      <c r="M585" s="357"/>
      <c r="N585" s="1750"/>
      <c r="O585" s="1892"/>
      <c r="P585" s="1892"/>
    </row>
    <row r="586" spans="1:16">
      <c r="A586" s="357"/>
      <c r="B586" s="357"/>
      <c r="C586" s="357"/>
      <c r="D586" s="357"/>
      <c r="E586" s="357"/>
      <c r="F586" s="357"/>
      <c r="G586" s="357"/>
      <c r="H586" s="357"/>
      <c r="I586" s="357"/>
      <c r="J586" s="357"/>
      <c r="K586" s="357"/>
      <c r="L586" s="357"/>
      <c r="M586" s="357"/>
      <c r="N586" s="1750"/>
      <c r="O586" s="1892"/>
      <c r="P586" s="1892"/>
    </row>
    <row r="587" spans="1:16">
      <c r="A587" s="357"/>
      <c r="B587" s="357"/>
      <c r="C587" s="357"/>
      <c r="D587" s="357"/>
      <c r="E587" s="357"/>
      <c r="F587" s="357"/>
      <c r="G587" s="357"/>
      <c r="H587" s="357"/>
      <c r="I587" s="357"/>
      <c r="J587" s="357"/>
      <c r="K587" s="357"/>
      <c r="L587" s="357"/>
      <c r="M587" s="357"/>
      <c r="N587" s="1750"/>
      <c r="O587" s="1892"/>
      <c r="P587" s="1892"/>
    </row>
    <row r="588" spans="1:16">
      <c r="A588" s="357"/>
      <c r="B588" s="357"/>
      <c r="C588" s="357"/>
      <c r="D588" s="357"/>
      <c r="E588" s="357"/>
      <c r="F588" s="357"/>
      <c r="G588" s="357"/>
      <c r="H588" s="357"/>
      <c r="I588" s="357"/>
      <c r="J588" s="357"/>
      <c r="K588" s="357"/>
      <c r="L588" s="357"/>
      <c r="M588" s="357"/>
      <c r="N588" s="1750"/>
      <c r="O588" s="1892"/>
      <c r="P588" s="1892"/>
    </row>
    <row r="589" spans="1:16">
      <c r="A589" s="357"/>
      <c r="B589" s="357"/>
      <c r="C589" s="357"/>
      <c r="D589" s="357"/>
      <c r="E589" s="357"/>
      <c r="F589" s="357"/>
      <c r="G589" s="357"/>
      <c r="H589" s="357"/>
      <c r="I589" s="357"/>
      <c r="J589" s="357"/>
      <c r="K589" s="357"/>
      <c r="L589" s="357"/>
      <c r="M589" s="357"/>
      <c r="N589" s="1750"/>
      <c r="O589" s="1892"/>
      <c r="P589" s="1892"/>
    </row>
    <row r="590" spans="1:16">
      <c r="A590" s="357"/>
      <c r="B590" s="357"/>
      <c r="C590" s="357"/>
      <c r="D590" s="357"/>
      <c r="E590" s="357"/>
      <c r="F590" s="357"/>
      <c r="G590" s="357"/>
      <c r="H590" s="357"/>
      <c r="I590" s="357"/>
      <c r="J590" s="357"/>
      <c r="K590" s="357"/>
      <c r="L590" s="357"/>
      <c r="M590" s="357"/>
      <c r="N590" s="1750"/>
      <c r="O590" s="1892"/>
      <c r="P590" s="1892"/>
    </row>
    <row r="591" spans="1:16">
      <c r="A591" s="357"/>
      <c r="B591" s="357"/>
      <c r="C591" s="357"/>
      <c r="D591" s="357"/>
      <c r="E591" s="357"/>
      <c r="F591" s="357"/>
      <c r="G591" s="357"/>
      <c r="H591" s="357"/>
      <c r="I591" s="357"/>
      <c r="J591" s="357"/>
      <c r="K591" s="357"/>
      <c r="L591" s="357"/>
      <c r="M591" s="357"/>
      <c r="N591" s="1750"/>
      <c r="O591" s="1892"/>
      <c r="P591" s="1892"/>
    </row>
    <row r="592" spans="1:16">
      <c r="A592" s="357"/>
      <c r="B592" s="357"/>
      <c r="C592" s="357"/>
      <c r="D592" s="357"/>
      <c r="E592" s="357"/>
      <c r="F592" s="357"/>
      <c r="G592" s="357"/>
      <c r="H592" s="357"/>
      <c r="I592" s="357"/>
      <c r="J592" s="357"/>
      <c r="K592" s="357"/>
      <c r="L592" s="357"/>
      <c r="M592" s="357"/>
      <c r="N592" s="1750"/>
      <c r="O592" s="1892"/>
      <c r="P592" s="1892"/>
    </row>
    <row r="593" spans="1:16">
      <c r="A593" s="357"/>
      <c r="B593" s="357"/>
      <c r="C593" s="357"/>
      <c r="D593" s="357"/>
      <c r="E593" s="357"/>
      <c r="F593" s="357"/>
      <c r="G593" s="357"/>
      <c r="H593" s="357"/>
      <c r="I593" s="357"/>
      <c r="J593" s="357"/>
      <c r="K593" s="357"/>
      <c r="L593" s="357"/>
      <c r="M593" s="357"/>
      <c r="N593" s="1750"/>
      <c r="O593" s="1892"/>
      <c r="P593" s="1892"/>
    </row>
    <row r="594" spans="1:16">
      <c r="A594" s="357"/>
      <c r="B594" s="357"/>
      <c r="C594" s="357"/>
      <c r="D594" s="357"/>
      <c r="E594" s="357"/>
      <c r="F594" s="357"/>
      <c r="G594" s="357"/>
      <c r="H594" s="357"/>
      <c r="I594" s="357"/>
      <c r="J594" s="357"/>
      <c r="K594" s="357"/>
      <c r="L594" s="357"/>
      <c r="M594" s="357"/>
      <c r="N594" s="1750"/>
      <c r="O594" s="1892"/>
      <c r="P594" s="1892"/>
    </row>
    <row r="595" spans="1:16">
      <c r="A595" s="357"/>
      <c r="B595" s="357"/>
      <c r="C595" s="357"/>
      <c r="D595" s="357"/>
      <c r="E595" s="357"/>
      <c r="F595" s="357"/>
      <c r="G595" s="357"/>
      <c r="H595" s="357"/>
      <c r="I595" s="357"/>
      <c r="J595" s="357"/>
      <c r="K595" s="357"/>
      <c r="L595" s="357"/>
      <c r="M595" s="357"/>
      <c r="N595" s="1750"/>
      <c r="O595" s="1892"/>
      <c r="P595" s="1892"/>
    </row>
    <row r="596" spans="1:16">
      <c r="A596" s="357"/>
      <c r="B596" s="357"/>
      <c r="C596" s="357"/>
      <c r="D596" s="357"/>
      <c r="E596" s="357"/>
      <c r="F596" s="357"/>
      <c r="G596" s="357"/>
      <c r="H596" s="357"/>
      <c r="I596" s="357"/>
      <c r="J596" s="357"/>
      <c r="K596" s="357"/>
      <c r="L596" s="357"/>
      <c r="M596" s="357"/>
      <c r="N596" s="1750"/>
      <c r="O596" s="1892"/>
      <c r="P596" s="1892"/>
    </row>
    <row r="597" spans="1:16">
      <c r="A597" s="357"/>
      <c r="B597" s="357"/>
      <c r="C597" s="357"/>
      <c r="D597" s="357"/>
      <c r="E597" s="357"/>
      <c r="F597" s="357"/>
      <c r="G597" s="357"/>
      <c r="H597" s="357"/>
      <c r="I597" s="357"/>
      <c r="J597" s="357"/>
      <c r="K597" s="357"/>
      <c r="L597" s="357"/>
      <c r="M597" s="357"/>
      <c r="N597" s="1750"/>
      <c r="O597" s="1892"/>
      <c r="P597" s="1892"/>
    </row>
    <row r="598" spans="1:16">
      <c r="A598" s="357"/>
      <c r="B598" s="357"/>
      <c r="C598" s="357"/>
      <c r="D598" s="357"/>
      <c r="E598" s="357"/>
      <c r="F598" s="357"/>
      <c r="G598" s="357"/>
      <c r="H598" s="357"/>
      <c r="I598" s="357"/>
      <c r="J598" s="357"/>
      <c r="K598" s="357"/>
      <c r="L598" s="357"/>
      <c r="M598" s="357"/>
      <c r="N598" s="1750"/>
      <c r="O598" s="1892"/>
      <c r="P598" s="1892"/>
    </row>
    <row r="599" spans="1:16">
      <c r="A599" s="357"/>
      <c r="B599" s="357"/>
      <c r="C599" s="357"/>
      <c r="D599" s="357"/>
      <c r="E599" s="357"/>
      <c r="F599" s="357"/>
      <c r="G599" s="357"/>
      <c r="H599" s="357"/>
      <c r="I599" s="357"/>
      <c r="J599" s="357"/>
      <c r="K599" s="357"/>
      <c r="L599" s="357"/>
      <c r="M599" s="357"/>
      <c r="N599" s="1750"/>
      <c r="O599" s="1892"/>
      <c r="P599" s="1892"/>
    </row>
    <row r="600" spans="1:16">
      <c r="A600" s="357"/>
      <c r="B600" s="357"/>
      <c r="C600" s="357"/>
      <c r="D600" s="357"/>
      <c r="E600" s="357"/>
      <c r="F600" s="357"/>
      <c r="G600" s="357"/>
      <c r="H600" s="357"/>
      <c r="I600" s="357"/>
      <c r="J600" s="357"/>
      <c r="K600" s="357"/>
      <c r="L600" s="357"/>
      <c r="M600" s="357"/>
      <c r="N600" s="1750"/>
      <c r="O600" s="1892"/>
      <c r="P600" s="1892"/>
    </row>
    <row r="601" spans="1:16">
      <c r="A601" s="357"/>
      <c r="B601" s="357"/>
      <c r="C601" s="357"/>
      <c r="D601" s="357"/>
      <c r="E601" s="357"/>
      <c r="F601" s="357"/>
      <c r="G601" s="357"/>
      <c r="H601" s="357"/>
      <c r="I601" s="357"/>
      <c r="J601" s="357"/>
      <c r="K601" s="357"/>
      <c r="L601" s="357"/>
      <c r="M601" s="357"/>
      <c r="N601" s="1750"/>
      <c r="O601" s="1892"/>
      <c r="P601" s="1892"/>
    </row>
    <row r="602" spans="1:16">
      <c r="A602" s="357"/>
      <c r="B602" s="357"/>
      <c r="C602" s="357"/>
      <c r="D602" s="357"/>
      <c r="E602" s="357"/>
      <c r="F602" s="357"/>
      <c r="G602" s="357"/>
      <c r="H602" s="357"/>
      <c r="I602" s="357"/>
      <c r="J602" s="357"/>
      <c r="K602" s="357"/>
      <c r="L602" s="357"/>
      <c r="M602" s="357"/>
      <c r="N602" s="1750"/>
      <c r="O602" s="1892"/>
      <c r="P602" s="1892"/>
    </row>
    <row r="603" spans="1:16">
      <c r="A603" s="357"/>
      <c r="B603" s="357"/>
      <c r="C603" s="357"/>
      <c r="D603" s="357"/>
      <c r="E603" s="357"/>
      <c r="F603" s="357"/>
      <c r="G603" s="357"/>
      <c r="H603" s="357"/>
      <c r="I603" s="357"/>
      <c r="J603" s="357"/>
      <c r="K603" s="357"/>
      <c r="L603" s="357"/>
      <c r="M603" s="357"/>
      <c r="N603" s="1750"/>
      <c r="O603" s="1892"/>
      <c r="P603" s="1892"/>
    </row>
    <row r="604" spans="1:16">
      <c r="A604" s="357"/>
      <c r="B604" s="357"/>
      <c r="C604" s="357"/>
      <c r="D604" s="357"/>
      <c r="E604" s="357"/>
      <c r="F604" s="357"/>
      <c r="G604" s="357"/>
      <c r="H604" s="357"/>
      <c r="I604" s="357"/>
      <c r="J604" s="357"/>
      <c r="K604" s="357"/>
      <c r="L604" s="357"/>
      <c r="M604" s="357"/>
      <c r="N604" s="1750"/>
      <c r="O604" s="1892"/>
      <c r="P604" s="1892"/>
    </row>
    <row r="605" spans="1:16">
      <c r="A605" s="357"/>
      <c r="B605" s="357"/>
      <c r="C605" s="357"/>
      <c r="D605" s="357"/>
      <c r="E605" s="357"/>
      <c r="F605" s="357"/>
      <c r="G605" s="357"/>
      <c r="H605" s="357"/>
      <c r="I605" s="357"/>
      <c r="J605" s="357"/>
      <c r="K605" s="357"/>
      <c r="L605" s="357"/>
      <c r="M605" s="357"/>
      <c r="N605" s="1750"/>
      <c r="O605" s="1892"/>
      <c r="P605" s="1892"/>
    </row>
    <row r="606" spans="1:16">
      <c r="A606" s="357"/>
      <c r="B606" s="357"/>
      <c r="C606" s="357"/>
      <c r="D606" s="357"/>
      <c r="E606" s="357"/>
      <c r="F606" s="357"/>
      <c r="G606" s="357"/>
      <c r="H606" s="357"/>
      <c r="I606" s="357"/>
      <c r="J606" s="357"/>
      <c r="K606" s="357"/>
      <c r="L606" s="357"/>
      <c r="M606" s="357"/>
      <c r="N606" s="1750"/>
      <c r="O606" s="1892"/>
      <c r="P606" s="1892"/>
    </row>
    <row r="607" spans="1:16">
      <c r="A607" s="357"/>
      <c r="B607" s="357"/>
      <c r="C607" s="357"/>
      <c r="D607" s="357"/>
      <c r="E607" s="357"/>
      <c r="F607" s="357"/>
      <c r="G607" s="357"/>
      <c r="H607" s="357"/>
      <c r="I607" s="357"/>
      <c r="J607" s="357"/>
      <c r="K607" s="357"/>
      <c r="L607" s="357"/>
      <c r="M607" s="357"/>
      <c r="N607" s="1750"/>
      <c r="O607" s="1892"/>
      <c r="P607" s="1892"/>
    </row>
    <row r="608" spans="1:16">
      <c r="A608" s="357"/>
      <c r="B608" s="357"/>
      <c r="C608" s="357"/>
      <c r="D608" s="357"/>
      <c r="E608" s="357"/>
      <c r="F608" s="357"/>
      <c r="G608" s="357"/>
      <c r="H608" s="357"/>
      <c r="I608" s="357"/>
      <c r="J608" s="357"/>
      <c r="K608" s="357"/>
      <c r="L608" s="357"/>
      <c r="M608" s="357"/>
      <c r="N608" s="1750"/>
      <c r="O608" s="1892"/>
      <c r="P608" s="1892"/>
    </row>
    <row r="609" spans="1:16">
      <c r="A609" s="357"/>
      <c r="B609" s="357"/>
      <c r="C609" s="357"/>
      <c r="D609" s="357"/>
      <c r="E609" s="357"/>
      <c r="F609" s="357"/>
      <c r="G609" s="357"/>
      <c r="H609" s="357"/>
      <c r="I609" s="357"/>
      <c r="J609" s="357"/>
      <c r="K609" s="357"/>
      <c r="L609" s="357"/>
      <c r="M609" s="357"/>
      <c r="N609" s="1750"/>
      <c r="O609" s="1892"/>
      <c r="P609" s="1892"/>
    </row>
    <row r="610" spans="1:16">
      <c r="A610" s="357"/>
      <c r="B610" s="357"/>
      <c r="C610" s="357"/>
      <c r="D610" s="357"/>
      <c r="E610" s="357"/>
      <c r="F610" s="357"/>
      <c r="G610" s="357"/>
      <c r="H610" s="357"/>
      <c r="I610" s="357"/>
      <c r="J610" s="357"/>
      <c r="K610" s="357"/>
      <c r="L610" s="357"/>
      <c r="M610" s="357"/>
      <c r="N610" s="1750"/>
      <c r="O610" s="1892"/>
      <c r="P610" s="1892"/>
    </row>
    <row r="611" spans="1:16">
      <c r="A611" s="357"/>
      <c r="B611" s="357"/>
      <c r="C611" s="357"/>
      <c r="D611" s="357"/>
      <c r="E611" s="357"/>
      <c r="F611" s="357"/>
      <c r="G611" s="357"/>
      <c r="H611" s="357"/>
      <c r="I611" s="357"/>
      <c r="J611" s="357"/>
      <c r="K611" s="357"/>
      <c r="L611" s="357"/>
      <c r="M611" s="357"/>
      <c r="N611" s="1750"/>
      <c r="O611" s="1892"/>
      <c r="P611" s="1892"/>
    </row>
    <row r="612" spans="1:16">
      <c r="A612" s="357"/>
      <c r="B612" s="357"/>
      <c r="C612" s="357"/>
      <c r="D612" s="357"/>
      <c r="E612" s="357"/>
      <c r="F612" s="357"/>
      <c r="G612" s="357"/>
      <c r="H612" s="357"/>
      <c r="I612" s="357"/>
      <c r="J612" s="357"/>
      <c r="K612" s="357"/>
      <c r="L612" s="357"/>
      <c r="M612" s="357"/>
      <c r="N612" s="1750"/>
      <c r="O612" s="1892"/>
      <c r="P612" s="1892"/>
    </row>
    <row r="613" spans="1:16">
      <c r="A613" s="357"/>
      <c r="B613" s="357"/>
      <c r="C613" s="357"/>
      <c r="D613" s="357"/>
      <c r="E613" s="357"/>
      <c r="F613" s="357"/>
      <c r="G613" s="357"/>
      <c r="H613" s="357"/>
      <c r="I613" s="357"/>
      <c r="J613" s="357"/>
      <c r="K613" s="357"/>
      <c r="L613" s="357"/>
      <c r="M613" s="357"/>
      <c r="N613" s="1750"/>
      <c r="O613" s="1892"/>
      <c r="P613" s="1892"/>
    </row>
    <row r="614" spans="1:16">
      <c r="A614" s="357"/>
      <c r="B614" s="357"/>
      <c r="C614" s="357"/>
      <c r="D614" s="357"/>
      <c r="E614" s="357"/>
      <c r="F614" s="357"/>
      <c r="G614" s="357"/>
      <c r="H614" s="357"/>
      <c r="I614" s="357"/>
      <c r="J614" s="357"/>
      <c r="K614" s="357"/>
      <c r="L614" s="357"/>
      <c r="M614" s="357"/>
      <c r="N614" s="1750"/>
      <c r="O614" s="1892"/>
      <c r="P614" s="1892"/>
    </row>
    <row r="615" spans="1:16">
      <c r="A615" s="357"/>
      <c r="B615" s="357"/>
      <c r="C615" s="357"/>
      <c r="D615" s="357"/>
      <c r="E615" s="357"/>
      <c r="F615" s="357"/>
      <c r="G615" s="357"/>
      <c r="H615" s="357"/>
      <c r="I615" s="357"/>
      <c r="J615" s="357"/>
      <c r="K615" s="357"/>
      <c r="L615" s="357"/>
      <c r="M615" s="357"/>
      <c r="N615" s="1750"/>
      <c r="O615" s="1892"/>
      <c r="P615" s="1892"/>
    </row>
    <row r="616" spans="1:16">
      <c r="A616" s="357"/>
      <c r="B616" s="357"/>
      <c r="C616" s="357"/>
      <c r="D616" s="357"/>
      <c r="E616" s="357"/>
      <c r="F616" s="357"/>
      <c r="G616" s="357"/>
      <c r="H616" s="357"/>
      <c r="I616" s="357"/>
      <c r="J616" s="357"/>
      <c r="K616" s="357"/>
      <c r="L616" s="357"/>
      <c r="M616" s="357"/>
      <c r="N616" s="1750"/>
      <c r="O616" s="1892"/>
      <c r="P616" s="1892"/>
    </row>
    <row r="617" spans="1:16">
      <c r="A617" s="357"/>
      <c r="B617" s="357"/>
      <c r="C617" s="357"/>
      <c r="D617" s="357"/>
      <c r="E617" s="357"/>
      <c r="F617" s="357"/>
      <c r="G617" s="357"/>
      <c r="H617" s="357"/>
      <c r="I617" s="357"/>
      <c r="J617" s="357"/>
      <c r="K617" s="357"/>
      <c r="L617" s="357"/>
      <c r="M617" s="357"/>
      <c r="N617" s="1750"/>
      <c r="O617" s="1892"/>
      <c r="P617" s="1892"/>
    </row>
    <row r="618" spans="1:16">
      <c r="A618" s="357"/>
      <c r="B618" s="357"/>
      <c r="C618" s="357"/>
      <c r="D618" s="357"/>
      <c r="E618" s="357"/>
      <c r="F618" s="357"/>
      <c r="G618" s="357"/>
      <c r="H618" s="357"/>
      <c r="I618" s="357"/>
      <c r="J618" s="357"/>
      <c r="K618" s="357"/>
      <c r="L618" s="357"/>
      <c r="M618" s="357"/>
      <c r="N618" s="1750"/>
      <c r="O618" s="1892"/>
      <c r="P618" s="1892"/>
    </row>
    <row r="619" spans="1:16">
      <c r="A619" s="357"/>
      <c r="B619" s="357"/>
      <c r="C619" s="357"/>
      <c r="D619" s="357"/>
      <c r="E619" s="357"/>
      <c r="F619" s="357"/>
      <c r="G619" s="357"/>
      <c r="H619" s="357"/>
      <c r="I619" s="357"/>
      <c r="J619" s="357"/>
      <c r="K619" s="357"/>
      <c r="L619" s="357"/>
      <c r="M619" s="357"/>
      <c r="N619" s="1750"/>
      <c r="O619" s="1892"/>
      <c r="P619" s="1892"/>
    </row>
    <row r="620" spans="1:16">
      <c r="A620" s="357"/>
      <c r="B620" s="357"/>
      <c r="C620" s="357"/>
      <c r="D620" s="357"/>
      <c r="E620" s="357"/>
      <c r="F620" s="357"/>
      <c r="G620" s="357"/>
      <c r="H620" s="357"/>
      <c r="I620" s="357"/>
      <c r="J620" s="357"/>
      <c r="K620" s="357"/>
      <c r="L620" s="357"/>
      <c r="M620" s="357"/>
      <c r="N620" s="1750"/>
      <c r="O620" s="1892"/>
      <c r="P620" s="1892"/>
    </row>
    <row r="621" spans="1:16">
      <c r="A621" s="357"/>
      <c r="B621" s="357"/>
      <c r="C621" s="357"/>
      <c r="D621" s="357"/>
      <c r="E621" s="357"/>
      <c r="F621" s="357"/>
      <c r="G621" s="357"/>
      <c r="H621" s="357"/>
      <c r="I621" s="357"/>
      <c r="J621" s="357"/>
      <c r="K621" s="357"/>
      <c r="L621" s="357"/>
      <c r="M621" s="357"/>
      <c r="N621" s="1750"/>
      <c r="O621" s="1892"/>
      <c r="P621" s="1892"/>
    </row>
    <row r="622" spans="1:16">
      <c r="A622" s="357"/>
      <c r="B622" s="357"/>
      <c r="C622" s="357"/>
      <c r="D622" s="357"/>
      <c r="E622" s="357"/>
      <c r="F622" s="357"/>
      <c r="G622" s="357"/>
      <c r="H622" s="357"/>
      <c r="I622" s="357"/>
      <c r="J622" s="357"/>
      <c r="K622" s="357"/>
      <c r="L622" s="357"/>
      <c r="M622" s="357"/>
      <c r="N622" s="1750"/>
      <c r="O622" s="1892"/>
      <c r="P622" s="1892"/>
    </row>
    <row r="623" spans="1:16">
      <c r="A623" s="357"/>
      <c r="B623" s="357"/>
      <c r="C623" s="357"/>
      <c r="D623" s="357"/>
      <c r="E623" s="357"/>
      <c r="F623" s="357"/>
      <c r="G623" s="357"/>
      <c r="H623" s="357"/>
      <c r="I623" s="357"/>
      <c r="J623" s="357"/>
      <c r="K623" s="357"/>
      <c r="L623" s="357"/>
      <c r="M623" s="357"/>
      <c r="N623" s="1750"/>
      <c r="O623" s="1892"/>
      <c r="P623" s="1892"/>
    </row>
    <row r="624" spans="1:16">
      <c r="A624" s="357"/>
      <c r="B624" s="357"/>
      <c r="C624" s="357"/>
      <c r="D624" s="357"/>
      <c r="E624" s="357"/>
      <c r="F624" s="357"/>
      <c r="G624" s="357"/>
      <c r="H624" s="357"/>
      <c r="I624" s="357"/>
      <c r="J624" s="357"/>
      <c r="K624" s="357"/>
      <c r="L624" s="357"/>
      <c r="M624" s="357"/>
      <c r="N624" s="1750"/>
      <c r="O624" s="1892"/>
      <c r="P624" s="1892"/>
    </row>
    <row r="625" spans="1:16">
      <c r="A625" s="357"/>
      <c r="B625" s="357"/>
      <c r="C625" s="357"/>
      <c r="D625" s="357"/>
      <c r="E625" s="357"/>
      <c r="F625" s="357"/>
      <c r="G625" s="357"/>
      <c r="H625" s="357"/>
      <c r="I625" s="357"/>
      <c r="J625" s="357"/>
      <c r="K625" s="357"/>
      <c r="L625" s="357"/>
      <c r="M625" s="357"/>
      <c r="N625" s="1750"/>
      <c r="O625" s="1892"/>
      <c r="P625" s="1892"/>
    </row>
    <row r="626" spans="1:16">
      <c r="A626" s="357"/>
      <c r="B626" s="357"/>
      <c r="C626" s="357"/>
      <c r="D626" s="357"/>
      <c r="E626" s="357"/>
      <c r="F626" s="357"/>
      <c r="G626" s="357"/>
      <c r="H626" s="357"/>
      <c r="I626" s="357"/>
      <c r="J626" s="357"/>
      <c r="K626" s="357"/>
      <c r="L626" s="357"/>
      <c r="M626" s="357"/>
      <c r="N626" s="1750"/>
      <c r="O626" s="1892"/>
      <c r="P626" s="1892"/>
    </row>
    <row r="627" spans="1:16">
      <c r="A627" s="357"/>
      <c r="B627" s="357"/>
      <c r="C627" s="357"/>
      <c r="D627" s="357"/>
      <c r="E627" s="357"/>
      <c r="F627" s="357"/>
      <c r="G627" s="357"/>
      <c r="H627" s="357"/>
      <c r="I627" s="357"/>
      <c r="J627" s="357"/>
      <c r="K627" s="357"/>
      <c r="L627" s="357"/>
      <c r="M627" s="357"/>
      <c r="N627" s="1750"/>
      <c r="O627" s="1892"/>
      <c r="P627" s="1892"/>
    </row>
    <row r="628" spans="1:16">
      <c r="A628" s="357"/>
      <c r="B628" s="357"/>
      <c r="C628" s="357"/>
      <c r="D628" s="357"/>
      <c r="E628" s="357"/>
      <c r="F628" s="357"/>
      <c r="G628" s="357"/>
      <c r="H628" s="357"/>
      <c r="I628" s="357"/>
      <c r="J628" s="357"/>
      <c r="K628" s="357"/>
      <c r="L628" s="357"/>
      <c r="M628" s="357"/>
      <c r="N628" s="1750"/>
      <c r="O628" s="1892"/>
      <c r="P628" s="1892"/>
    </row>
    <row r="629" spans="1:16">
      <c r="A629" s="357"/>
      <c r="B629" s="357"/>
      <c r="C629" s="357"/>
      <c r="D629" s="357"/>
      <c r="E629" s="357"/>
      <c r="F629" s="357"/>
      <c r="G629" s="357"/>
      <c r="H629" s="357"/>
      <c r="I629" s="357"/>
      <c r="J629" s="357"/>
      <c r="K629" s="357"/>
      <c r="L629" s="357"/>
      <c r="M629" s="357"/>
      <c r="N629" s="1750"/>
      <c r="O629" s="1892"/>
      <c r="P629" s="1892"/>
    </row>
    <row r="630" spans="1:16">
      <c r="A630" s="357"/>
      <c r="B630" s="357"/>
      <c r="C630" s="357"/>
      <c r="D630" s="357"/>
      <c r="E630" s="357"/>
      <c r="F630" s="357"/>
      <c r="G630" s="357"/>
      <c r="H630" s="357"/>
      <c r="I630" s="357"/>
      <c r="J630" s="357"/>
      <c r="K630" s="357"/>
      <c r="L630" s="357"/>
      <c r="M630" s="357"/>
      <c r="N630" s="1750"/>
      <c r="O630" s="1892"/>
      <c r="P630" s="1892"/>
    </row>
    <row r="631" spans="1:16">
      <c r="A631" s="357"/>
      <c r="B631" s="357"/>
      <c r="C631" s="357"/>
      <c r="D631" s="357"/>
      <c r="E631" s="357"/>
      <c r="F631" s="357"/>
      <c r="G631" s="357"/>
      <c r="H631" s="357"/>
      <c r="I631" s="357"/>
      <c r="J631" s="357"/>
      <c r="K631" s="357"/>
      <c r="L631" s="357"/>
      <c r="M631" s="357"/>
      <c r="N631" s="1750"/>
      <c r="O631" s="1892"/>
      <c r="P631" s="1892"/>
    </row>
    <row r="632" spans="1:16">
      <c r="A632" s="357"/>
      <c r="B632" s="357"/>
      <c r="C632" s="357"/>
      <c r="D632" s="357"/>
      <c r="E632" s="357"/>
      <c r="F632" s="357"/>
      <c r="G632" s="357"/>
      <c r="H632" s="357"/>
      <c r="I632" s="357"/>
      <c r="J632" s="357"/>
      <c r="K632" s="357"/>
      <c r="L632" s="357"/>
      <c r="M632" s="357"/>
      <c r="N632" s="1750"/>
      <c r="O632" s="1892"/>
      <c r="P632" s="1892"/>
    </row>
    <row r="633" spans="1:16">
      <c r="A633" s="357"/>
      <c r="B633" s="357"/>
      <c r="C633" s="357"/>
      <c r="D633" s="357"/>
      <c r="E633" s="357"/>
      <c r="F633" s="357"/>
      <c r="G633" s="357"/>
      <c r="H633" s="357"/>
      <c r="I633" s="357"/>
      <c r="J633" s="357"/>
      <c r="K633" s="357"/>
      <c r="L633" s="357"/>
      <c r="M633" s="357"/>
      <c r="N633" s="1750"/>
      <c r="O633" s="1892"/>
      <c r="P633" s="1892"/>
    </row>
    <row r="634" spans="1:16">
      <c r="A634" s="357"/>
      <c r="B634" s="357"/>
      <c r="C634" s="357"/>
      <c r="D634" s="357"/>
      <c r="E634" s="357"/>
      <c r="F634" s="357"/>
      <c r="G634" s="357"/>
      <c r="H634" s="357"/>
      <c r="I634" s="357"/>
      <c r="J634" s="357"/>
      <c r="K634" s="357"/>
      <c r="L634" s="357"/>
      <c r="M634" s="357"/>
      <c r="N634" s="1750"/>
      <c r="O634" s="1892"/>
      <c r="P634" s="1892"/>
    </row>
    <row r="635" spans="1:16">
      <c r="A635" s="357"/>
      <c r="B635" s="357"/>
      <c r="C635" s="357"/>
      <c r="D635" s="357"/>
      <c r="E635" s="357"/>
      <c r="F635" s="357"/>
      <c r="G635" s="357"/>
      <c r="H635" s="357"/>
      <c r="I635" s="357"/>
      <c r="J635" s="357"/>
      <c r="K635" s="357"/>
      <c r="L635" s="357"/>
      <c r="M635" s="357"/>
      <c r="N635" s="1750"/>
      <c r="O635" s="1892"/>
      <c r="P635" s="1892"/>
    </row>
    <row r="636" spans="1:16">
      <c r="A636" s="357"/>
      <c r="B636" s="357"/>
      <c r="C636" s="357"/>
      <c r="D636" s="357"/>
      <c r="E636" s="357"/>
      <c r="F636" s="357"/>
      <c r="G636" s="357"/>
      <c r="H636" s="357"/>
      <c r="I636" s="357"/>
      <c r="J636" s="357"/>
      <c r="K636" s="357"/>
      <c r="L636" s="357"/>
      <c r="M636" s="357"/>
      <c r="N636" s="1750"/>
      <c r="O636" s="1892"/>
      <c r="P636" s="1892"/>
    </row>
    <row r="637" spans="1:16">
      <c r="A637" s="357"/>
      <c r="B637" s="357"/>
      <c r="C637" s="357"/>
      <c r="D637" s="357"/>
      <c r="E637" s="357"/>
      <c r="F637" s="357"/>
      <c r="G637" s="357"/>
      <c r="H637" s="357"/>
      <c r="I637" s="357"/>
      <c r="J637" s="357"/>
      <c r="K637" s="357"/>
      <c r="L637" s="357"/>
      <c r="M637" s="357"/>
      <c r="N637" s="1750"/>
      <c r="O637" s="1892"/>
      <c r="P637" s="1892"/>
    </row>
    <row r="638" spans="1:16">
      <c r="A638" s="115"/>
      <c r="B638" s="115"/>
      <c r="C638" s="115"/>
      <c r="D638" s="115"/>
      <c r="E638" s="115"/>
      <c r="F638" s="115"/>
      <c r="G638" s="115"/>
      <c r="H638" s="115"/>
      <c r="I638" s="115"/>
      <c r="J638" s="115"/>
      <c r="K638" s="115"/>
      <c r="L638" s="115"/>
      <c r="M638" s="115"/>
      <c r="N638" s="92"/>
    </row>
    <row r="639" spans="1:16">
      <c r="A639" s="115"/>
      <c r="B639" s="115"/>
      <c r="C639" s="115"/>
      <c r="D639" s="115"/>
      <c r="E639" s="115"/>
      <c r="F639" s="115"/>
      <c r="G639" s="115"/>
      <c r="H639" s="115"/>
      <c r="I639" s="115"/>
      <c r="J639" s="115"/>
      <c r="K639" s="115"/>
      <c r="L639" s="115"/>
      <c r="M639" s="115"/>
      <c r="N639" s="92"/>
    </row>
    <row r="640" spans="1:16">
      <c r="A640" s="115"/>
      <c r="B640" s="115"/>
      <c r="C640" s="115"/>
      <c r="D640" s="115"/>
      <c r="E640" s="115"/>
      <c r="F640" s="115"/>
      <c r="G640" s="115"/>
      <c r="H640" s="115"/>
      <c r="I640" s="115"/>
      <c r="J640" s="115"/>
      <c r="K640" s="115"/>
      <c r="L640" s="115"/>
      <c r="M640" s="115"/>
      <c r="N640" s="92"/>
    </row>
    <row r="641" spans="1:16">
      <c r="A641" s="115"/>
      <c r="B641" s="115"/>
      <c r="C641" s="115"/>
      <c r="D641" s="115"/>
      <c r="E641" s="115"/>
      <c r="F641" s="115"/>
      <c r="G641" s="115"/>
      <c r="H641" s="115"/>
      <c r="I641" s="115"/>
      <c r="J641" s="115"/>
      <c r="K641" s="115"/>
      <c r="L641" s="115"/>
      <c r="M641" s="115"/>
      <c r="N641" s="92"/>
    </row>
    <row r="642" spans="1:16">
      <c r="A642" s="115"/>
      <c r="B642" s="115"/>
      <c r="C642" s="115"/>
      <c r="D642" s="115"/>
      <c r="E642" s="115"/>
      <c r="F642" s="115"/>
      <c r="G642" s="115"/>
      <c r="H642" s="115"/>
      <c r="I642" s="115"/>
      <c r="J642" s="115"/>
      <c r="K642" s="115"/>
      <c r="L642" s="115"/>
      <c r="M642" s="115"/>
      <c r="N642" s="92"/>
    </row>
    <row r="643" spans="1:16">
      <c r="A643" s="115"/>
      <c r="B643" s="115"/>
      <c r="C643" s="115"/>
      <c r="D643" s="115"/>
      <c r="E643" s="115"/>
      <c r="F643" s="115"/>
      <c r="G643" s="115"/>
      <c r="H643" s="115"/>
      <c r="I643" s="115"/>
      <c r="J643" s="115"/>
      <c r="K643" s="115"/>
      <c r="L643" s="115"/>
      <c r="M643" s="115"/>
      <c r="N643" s="92"/>
    </row>
    <row r="644" spans="1:16">
      <c r="A644" s="115"/>
      <c r="B644" s="115"/>
      <c r="C644" s="115"/>
      <c r="D644" s="115"/>
      <c r="E644" s="115"/>
      <c r="F644" s="115"/>
      <c r="G644" s="115"/>
      <c r="H644" s="115"/>
      <c r="I644" s="115"/>
      <c r="J644" s="115"/>
      <c r="K644" s="115"/>
      <c r="L644" s="115"/>
      <c r="M644" s="115"/>
      <c r="N644" s="92"/>
    </row>
    <row r="645" spans="1:16">
      <c r="A645" s="115"/>
      <c r="B645" s="115"/>
      <c r="C645" s="115"/>
      <c r="D645" s="115"/>
      <c r="E645" s="115"/>
      <c r="F645" s="115"/>
      <c r="G645" s="115"/>
      <c r="H645" s="115"/>
      <c r="I645" s="115"/>
      <c r="J645" s="115"/>
      <c r="K645" s="115"/>
      <c r="L645" s="115"/>
      <c r="M645" s="115"/>
      <c r="N645" s="92"/>
    </row>
    <row r="646" spans="1:16">
      <c r="A646" s="115"/>
      <c r="B646" s="115"/>
      <c r="C646" s="115"/>
      <c r="D646" s="115"/>
      <c r="E646" s="115"/>
      <c r="F646" s="115"/>
      <c r="G646" s="115"/>
      <c r="H646" s="115"/>
      <c r="I646" s="115"/>
      <c r="J646" s="115"/>
      <c r="K646" s="115"/>
      <c r="L646" s="115"/>
      <c r="M646" s="115"/>
      <c r="N646" s="92"/>
    </row>
    <row r="647" spans="1:16">
      <c r="A647" s="115"/>
      <c r="B647" s="115"/>
      <c r="C647" s="115"/>
      <c r="D647" s="115"/>
      <c r="E647" s="115"/>
      <c r="F647" s="115"/>
      <c r="G647" s="115"/>
      <c r="H647" s="115"/>
      <c r="I647" s="115"/>
      <c r="J647" s="115"/>
      <c r="K647" s="115"/>
      <c r="L647" s="115"/>
      <c r="M647" s="115"/>
      <c r="N647" s="92"/>
    </row>
    <row r="648" spans="1:16">
      <c r="A648" s="115"/>
      <c r="B648" s="115"/>
      <c r="C648" s="115"/>
      <c r="D648" s="115"/>
      <c r="E648" s="115"/>
      <c r="F648" s="115"/>
      <c r="G648" s="115"/>
      <c r="H648" s="115"/>
      <c r="I648" s="115"/>
      <c r="J648" s="115"/>
      <c r="K648" s="115"/>
      <c r="L648" s="115"/>
      <c r="M648" s="115"/>
      <c r="N648" s="92"/>
    </row>
    <row r="649" spans="1:16">
      <c r="A649" s="115"/>
      <c r="B649" s="115"/>
      <c r="C649" s="115"/>
      <c r="D649" s="115"/>
      <c r="E649" s="115"/>
      <c r="F649" s="115"/>
      <c r="G649" s="115"/>
      <c r="H649" s="115"/>
      <c r="I649" s="115"/>
      <c r="J649" s="115"/>
      <c r="K649" s="115"/>
      <c r="L649" s="115"/>
      <c r="M649" s="115"/>
      <c r="N649" s="92"/>
      <c r="P649"/>
    </row>
    <row r="650" spans="1:16">
      <c r="A650" s="115"/>
      <c r="B650" s="115"/>
      <c r="C650" s="115"/>
      <c r="D650" s="115"/>
      <c r="E650" s="115"/>
      <c r="F650" s="115"/>
      <c r="G650" s="115"/>
      <c r="H650" s="115"/>
      <c r="I650" s="115"/>
      <c r="J650" s="115"/>
      <c r="K650" s="115"/>
      <c r="L650" s="115"/>
      <c r="M650" s="115"/>
      <c r="N650" s="92"/>
      <c r="P650"/>
    </row>
    <row r="651" spans="1:16">
      <c r="A651" s="115"/>
      <c r="B651" s="115"/>
      <c r="C651" s="115"/>
      <c r="D651" s="115"/>
      <c r="E651" s="115"/>
      <c r="F651" s="115"/>
      <c r="G651" s="115"/>
      <c r="H651" s="115"/>
      <c r="I651" s="115"/>
      <c r="J651" s="115"/>
      <c r="K651" s="115"/>
      <c r="L651" s="115"/>
      <c r="M651" s="115"/>
      <c r="N651" s="92"/>
      <c r="P651"/>
    </row>
    <row r="652" spans="1:16">
      <c r="A652" s="115"/>
      <c r="B652" s="115"/>
      <c r="C652" s="115"/>
      <c r="D652" s="115"/>
      <c r="E652" s="115"/>
      <c r="F652" s="115"/>
      <c r="G652" s="115"/>
      <c r="H652" s="115"/>
      <c r="I652" s="115"/>
      <c r="J652" s="115"/>
      <c r="K652" s="115"/>
      <c r="L652" s="115"/>
      <c r="M652" s="115"/>
      <c r="N652" s="92"/>
      <c r="P652"/>
    </row>
    <row r="653" spans="1:16">
      <c r="A653" s="115"/>
      <c r="B653" s="115"/>
      <c r="C653" s="115"/>
      <c r="D653" s="115"/>
      <c r="E653" s="115"/>
      <c r="F653" s="115"/>
      <c r="G653" s="115"/>
      <c r="H653" s="115"/>
      <c r="I653" s="115"/>
      <c r="J653" s="115"/>
      <c r="K653" s="115"/>
      <c r="L653" s="115"/>
      <c r="M653" s="115"/>
      <c r="N653" s="92"/>
      <c r="P653"/>
    </row>
    <row r="654" spans="1:16">
      <c r="A654" s="115"/>
      <c r="B654" s="115"/>
      <c r="C654" s="115"/>
      <c r="D654" s="115"/>
      <c r="E654" s="115"/>
      <c r="F654" s="115"/>
      <c r="G654" s="115"/>
      <c r="H654" s="115"/>
      <c r="I654" s="115"/>
      <c r="J654" s="115"/>
      <c r="K654" s="115"/>
      <c r="L654" s="115"/>
      <c r="M654" s="115"/>
      <c r="N654" s="92"/>
      <c r="P654"/>
    </row>
    <row r="655" spans="1:16">
      <c r="A655" s="115"/>
      <c r="B655" s="115"/>
      <c r="C655" s="115"/>
      <c r="D655" s="115"/>
      <c r="E655" s="115"/>
      <c r="F655" s="115"/>
      <c r="G655" s="115"/>
      <c r="H655" s="115"/>
      <c r="I655" s="115"/>
      <c r="J655" s="115"/>
      <c r="K655" s="115"/>
      <c r="L655" s="115"/>
      <c r="M655" s="115"/>
      <c r="N655" s="92"/>
      <c r="P655"/>
    </row>
    <row r="656" spans="1:16">
      <c r="A656" s="115"/>
      <c r="B656" s="115"/>
      <c r="C656" s="115"/>
      <c r="D656" s="115"/>
      <c r="E656" s="115"/>
      <c r="F656" s="115"/>
      <c r="G656" s="115"/>
      <c r="H656" s="115"/>
      <c r="I656" s="115"/>
      <c r="J656" s="115"/>
      <c r="K656" s="115"/>
      <c r="L656" s="115"/>
      <c r="M656" s="115"/>
      <c r="N656" s="92"/>
      <c r="P656"/>
    </row>
    <row r="657" spans="1:16">
      <c r="A657" s="115"/>
      <c r="B657" s="115"/>
      <c r="C657" s="115"/>
      <c r="D657" s="115"/>
      <c r="E657" s="115"/>
      <c r="F657" s="115"/>
      <c r="G657" s="115"/>
      <c r="H657" s="115"/>
      <c r="I657" s="115"/>
      <c r="J657" s="115"/>
      <c r="K657" s="115"/>
      <c r="L657" s="115"/>
      <c r="M657" s="115"/>
      <c r="N657" s="92"/>
      <c r="P657"/>
    </row>
    <row r="658" spans="1:16">
      <c r="A658" s="115"/>
      <c r="B658" s="115"/>
      <c r="C658" s="115"/>
      <c r="D658" s="115"/>
      <c r="E658" s="115"/>
      <c r="F658" s="115"/>
      <c r="G658" s="115"/>
      <c r="H658" s="115"/>
      <c r="I658" s="115"/>
      <c r="J658" s="115"/>
      <c r="K658" s="115"/>
      <c r="L658" s="115"/>
      <c r="M658" s="115"/>
      <c r="N658" s="92"/>
      <c r="P658"/>
    </row>
    <row r="659" spans="1:16">
      <c r="A659" s="115"/>
      <c r="B659" s="115"/>
      <c r="C659" s="115"/>
      <c r="D659" s="115"/>
      <c r="E659" s="115"/>
      <c r="F659" s="115"/>
      <c r="G659" s="115"/>
      <c r="H659" s="115"/>
      <c r="I659" s="115"/>
      <c r="J659" s="115"/>
      <c r="K659" s="115"/>
      <c r="L659" s="115"/>
      <c r="M659" s="115"/>
      <c r="N659" s="92"/>
      <c r="P659"/>
    </row>
    <row r="660" spans="1:16">
      <c r="A660" s="115"/>
      <c r="B660" s="115"/>
      <c r="C660" s="115"/>
      <c r="D660" s="115"/>
      <c r="E660" s="115"/>
      <c r="F660" s="115"/>
      <c r="G660" s="115"/>
      <c r="H660" s="115"/>
      <c r="I660" s="115"/>
      <c r="J660" s="115"/>
      <c r="K660" s="115"/>
      <c r="L660" s="115"/>
      <c r="M660" s="115"/>
      <c r="N660" s="92"/>
      <c r="P660"/>
    </row>
    <row r="661" spans="1:16">
      <c r="A661" s="115"/>
      <c r="B661" s="115"/>
      <c r="C661" s="115"/>
      <c r="D661" s="115"/>
      <c r="E661" s="115"/>
      <c r="F661" s="115"/>
      <c r="G661" s="115"/>
      <c r="H661" s="115"/>
      <c r="I661" s="115"/>
      <c r="J661" s="115"/>
      <c r="K661" s="115"/>
      <c r="L661" s="115"/>
      <c r="M661" s="115"/>
      <c r="N661" s="92"/>
      <c r="P661"/>
    </row>
    <row r="662" spans="1:16">
      <c r="A662" s="115"/>
      <c r="B662" s="115"/>
      <c r="C662" s="115"/>
      <c r="D662" s="115"/>
      <c r="E662" s="115"/>
      <c r="F662" s="115"/>
      <c r="G662" s="115"/>
      <c r="H662" s="115"/>
      <c r="I662" s="115"/>
      <c r="J662" s="115"/>
      <c r="K662" s="115"/>
      <c r="L662" s="115"/>
      <c r="M662" s="115"/>
      <c r="N662" s="92"/>
      <c r="P662"/>
    </row>
    <row r="663" spans="1:16">
      <c r="A663" s="115"/>
      <c r="B663" s="115"/>
      <c r="C663" s="115"/>
      <c r="D663" s="115"/>
      <c r="E663" s="115"/>
      <c r="F663" s="115"/>
      <c r="G663" s="115"/>
      <c r="H663" s="115"/>
      <c r="I663" s="115"/>
      <c r="J663" s="115"/>
      <c r="K663" s="115"/>
      <c r="L663" s="115"/>
      <c r="M663" s="115"/>
      <c r="N663" s="92"/>
      <c r="P663"/>
    </row>
    <row r="664" spans="1:16">
      <c r="A664" s="115"/>
      <c r="B664" s="115"/>
      <c r="C664" s="115"/>
      <c r="D664" s="115"/>
      <c r="E664" s="115"/>
      <c r="F664" s="115"/>
      <c r="G664" s="115"/>
      <c r="H664" s="115"/>
      <c r="I664" s="115"/>
      <c r="J664" s="115"/>
      <c r="K664" s="115"/>
      <c r="L664" s="115"/>
      <c r="M664" s="115"/>
      <c r="N664" s="92"/>
      <c r="P664"/>
    </row>
    <row r="665" spans="1:16">
      <c r="A665" s="115"/>
      <c r="B665" s="115"/>
      <c r="C665" s="115"/>
      <c r="D665" s="115"/>
      <c r="E665" s="115"/>
      <c r="F665" s="115"/>
      <c r="G665" s="115"/>
      <c r="H665" s="115"/>
      <c r="I665" s="115"/>
      <c r="J665" s="115"/>
      <c r="K665" s="115"/>
      <c r="L665" s="115"/>
      <c r="M665" s="115"/>
      <c r="N665" s="92"/>
      <c r="P665"/>
    </row>
    <row r="666" spans="1:16">
      <c r="A666" s="115"/>
      <c r="B666" s="115"/>
      <c r="C666" s="115"/>
      <c r="D666" s="115"/>
      <c r="E666" s="115"/>
      <c r="F666" s="115"/>
      <c r="G666" s="115"/>
      <c r="H666" s="115"/>
      <c r="I666" s="115"/>
      <c r="J666" s="115"/>
      <c r="K666" s="115"/>
      <c r="L666" s="115"/>
      <c r="M666" s="115"/>
      <c r="N666" s="92"/>
      <c r="P666"/>
    </row>
    <row r="667" spans="1:16">
      <c r="A667" s="115"/>
      <c r="B667" s="115"/>
      <c r="C667" s="115"/>
      <c r="D667" s="115"/>
      <c r="E667" s="115"/>
      <c r="F667" s="115"/>
      <c r="G667" s="115"/>
      <c r="H667" s="115"/>
      <c r="I667" s="115"/>
      <c r="J667" s="115"/>
      <c r="K667" s="115"/>
      <c r="L667" s="115"/>
      <c r="M667" s="115"/>
      <c r="N667" s="92"/>
      <c r="P667"/>
    </row>
    <row r="668" spans="1:16">
      <c r="A668" s="115"/>
      <c r="B668" s="115"/>
      <c r="C668" s="115"/>
      <c r="D668" s="115"/>
      <c r="E668" s="115"/>
      <c r="F668" s="115"/>
      <c r="G668" s="115"/>
      <c r="H668" s="115"/>
      <c r="I668" s="115"/>
      <c r="J668" s="115"/>
      <c r="K668" s="115"/>
      <c r="L668" s="115"/>
      <c r="M668" s="115"/>
      <c r="N668" s="92"/>
      <c r="P668"/>
    </row>
    <row r="669" spans="1:16">
      <c r="A669" s="115"/>
      <c r="B669" s="115"/>
      <c r="C669" s="115"/>
      <c r="D669" s="115"/>
      <c r="E669" s="115"/>
      <c r="F669" s="115"/>
      <c r="G669" s="115"/>
      <c r="H669" s="115"/>
      <c r="I669" s="115"/>
      <c r="J669" s="115"/>
      <c r="K669" s="115"/>
      <c r="L669" s="115"/>
      <c r="M669" s="115"/>
      <c r="N669" s="92"/>
      <c r="P669"/>
    </row>
    <row r="670" spans="1:16">
      <c r="A670" s="115"/>
      <c r="B670" s="115"/>
      <c r="C670" s="115"/>
      <c r="D670" s="115"/>
      <c r="E670" s="115"/>
      <c r="F670" s="115"/>
      <c r="G670" s="115"/>
      <c r="H670" s="115"/>
      <c r="I670" s="115"/>
      <c r="J670" s="115"/>
      <c r="K670" s="115"/>
      <c r="L670" s="115"/>
      <c r="M670" s="115"/>
      <c r="N670" s="92"/>
      <c r="P670"/>
    </row>
    <row r="671" spans="1:16">
      <c r="A671" s="115"/>
      <c r="B671" s="115"/>
      <c r="C671" s="115"/>
      <c r="D671" s="115"/>
      <c r="E671" s="115"/>
      <c r="F671" s="115"/>
      <c r="G671" s="115"/>
      <c r="H671" s="115"/>
      <c r="I671" s="115"/>
      <c r="J671" s="115"/>
      <c r="K671" s="115"/>
      <c r="L671" s="115"/>
      <c r="M671" s="115"/>
      <c r="N671" s="92"/>
      <c r="P671"/>
    </row>
    <row r="672" spans="1:16">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sheetData>
  <sheetProtection algorithmName="SHA-512" hashValue="fEcV0PUrH/nfGoKo6GUZg/gWSFxcwM5yYBf+LaJP3/LDwqaQ+kuHqJCOj/BB9z8E1H3ZLAotKwoCbvhCLb4LnQ==" saltValue="Jni+iCKO1rnA7iXXglodBA=="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F104">
    <cfRule type="expression" dxfId="97" priority="168">
      <formula>AND($O$204&gt;0,$O$204&lt;4,OR($I$204="Statutory Redevelopment Plan",$I$204="Redevelopment Zone",$I$204="Local Redevelopment Plan"))</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I128">
    <cfRule type="containsText" dxfId="95" priority="48" operator="containsText" text="Pick A1 or A2!">
      <formula>NOT(ISERROR(SEARCH("Pick A1 or A2!",I128)))</formula>
    </cfRule>
  </conditionalFormatting>
  <conditionalFormatting sqref="K128">
    <cfRule type="containsText" dxfId="94" priority="47" operator="containsText" text="Pick A1 or A2!">
      <formula>NOT(ISERROR(SEARCH("Pick A1 or A2!",K128)))</formula>
    </cfRule>
  </conditionalFormatting>
  <conditionalFormatting sqref="L93:L94">
    <cfRule type="containsText" dxfId="93" priority="73" operator="containsText" text="CHOOSE EITHER A OR B, NOT BOTH!">
      <formula>NOT(ISERROR(SEARCH("CHOOSE EITHER A OR B, NOT BOTH!",L93)))</formula>
    </cfRule>
  </conditionalFormatting>
  <conditionalFormatting sqref="L183">
    <cfRule type="cellIs" dxfId="92" priority="91" stopIfTrue="1" operator="equal">
      <formula>"* * Check Score! * *"</formula>
    </cfRule>
  </conditionalFormatting>
  <conditionalFormatting sqref="L254">
    <cfRule type="cellIs" dxfId="91" priority="49" operator="equal">
      <formula>"Choose option 1 or 2 or 3 or 4!!!"</formula>
    </cfRule>
  </conditionalFormatting>
  <conditionalFormatting sqref="L262:L263">
    <cfRule type="cellIs" dxfId="90" priority="94" stopIfTrue="1" operator="equal">
      <formula>"* * Check Score! * *"</formula>
    </cfRule>
  </conditionalFormatting>
  <conditionalFormatting sqref="L265">
    <cfRule type="cellIs" dxfId="89" priority="95" stopIfTrue="1" operator="equal">
      <formula>"* * Check Score! * *"</formula>
    </cfRule>
  </conditionalFormatting>
  <conditionalFormatting sqref="L267">
    <cfRule type="cellIs" dxfId="88" priority="76" stopIfTrue="1" operator="equal">
      <formula>"* * Check Score! * *"</formula>
    </cfRule>
  </conditionalFormatting>
  <conditionalFormatting sqref="L348">
    <cfRule type="cellIs" dxfId="87" priority="87" stopIfTrue="1" operator="equal">
      <formula>"* * Check Score! * *"</formula>
    </cfRule>
  </conditionalFormatting>
  <conditionalFormatting sqref="L368">
    <cfRule type="cellIs" dxfId="86" priority="86" stopIfTrue="1" operator="equal">
      <formula>"* * Check Score! * *"</formula>
    </cfRule>
  </conditionalFormatting>
  <conditionalFormatting sqref="M134">
    <cfRule type="containsText" dxfId="85" priority="54" operator="containsText" text="Pick A1 or A2!">
      <formula>NOT(ISERROR(SEARCH("Pick A1 or A2!",M134)))</formula>
    </cfRule>
  </conditionalFormatting>
  <conditionalFormatting sqref="N333:N334">
    <cfRule type="cellIs" dxfId="84" priority="128" stopIfTrue="1" operator="equal">
      <formula>"* * Check Score! * *"</formula>
    </cfRule>
  </conditionalFormatting>
  <conditionalFormatting sqref="O88">
    <cfRule type="containsText" dxfId="83" priority="55" operator="containsText" text="AorB?">
      <formula>NOT(ISERROR(SEARCH("AorB?",O88)))</formula>
    </cfRule>
  </conditionalFormatting>
  <conditionalFormatting sqref="O93:O94">
    <cfRule type="cellIs" dxfId="82" priority="59" operator="notEqual">
      <formula>$M93</formula>
    </cfRule>
  </conditionalFormatting>
  <conditionalFormatting sqref="O105:O106">
    <cfRule type="cellIs" priority="105" operator="notEqual">
      <formula>$M105</formula>
    </cfRule>
  </conditionalFormatting>
  <conditionalFormatting sqref="O132">
    <cfRule type="cellIs" dxfId="81" priority="72" operator="notEqual">
      <formula>$M132</formula>
    </cfRule>
  </conditionalFormatting>
  <conditionalFormatting sqref="O138">
    <cfRule type="cellIs" dxfId="80" priority="171" operator="notEqual">
      <formula>$M138</formula>
    </cfRule>
  </conditionalFormatting>
  <conditionalFormatting sqref="O140 O142">
    <cfRule type="cellIs" dxfId="79" priority="71" operator="notEqual">
      <formula>$M140</formula>
    </cfRule>
  </conditionalFormatting>
  <conditionalFormatting sqref="O171">
    <cfRule type="cellIs" dxfId="78" priority="3" operator="notEqual">
      <formula>$M171</formula>
    </cfRule>
  </conditionalFormatting>
  <conditionalFormatting sqref="O179:O181">
    <cfRule type="cellIs" dxfId="77" priority="42" operator="notEqual">
      <formula>$M179</formula>
    </cfRule>
  </conditionalFormatting>
  <conditionalFormatting sqref="O183">
    <cfRule type="cellIs" dxfId="76" priority="60" operator="notEqual">
      <formula>$M183</formula>
    </cfRule>
  </conditionalFormatting>
  <conditionalFormatting sqref="O206">
    <cfRule type="cellIs" dxfId="75" priority="7" operator="greaterThan">
      <formula>$M206</formula>
    </cfRule>
  </conditionalFormatting>
  <conditionalFormatting sqref="O210">
    <cfRule type="cellIs" dxfId="74" priority="6" operator="greaterThan">
      <formula>$M210</formula>
    </cfRule>
  </conditionalFormatting>
  <conditionalFormatting sqref="O241">
    <cfRule type="cellIs" dxfId="73" priority="5" operator="notEqual">
      <formula>$M241</formula>
    </cfRule>
  </conditionalFormatting>
  <conditionalFormatting sqref="O151:P151">
    <cfRule type="cellIs" dxfId="72" priority="131" operator="greaterThan">
      <formula>M151</formula>
    </cfRule>
  </conditionalFormatting>
  <conditionalFormatting sqref="P171">
    <cfRule type="cellIs" dxfId="71" priority="2" operator="notEqual">
      <formula>$M171</formula>
    </cfRule>
  </conditionalFormatting>
  <conditionalFormatting sqref="P179:P181">
    <cfRule type="cellIs" dxfId="70" priority="41" operator="notEqual">
      <formula>$M179</formula>
    </cfRule>
  </conditionalFormatting>
  <conditionalFormatting sqref="Q136">
    <cfRule type="cellIs" dxfId="69" priority="129" stopIfTrue="1" operator="equal">
      <formula>"* * Check Score! * *"</formula>
    </cfRule>
  </conditionalFormatting>
  <conditionalFormatting sqref="R321:R324">
    <cfRule type="cellIs" dxfId="68" priority="57" stopIfTrue="1" operator="equal">
      <formula>"* * Check Score! * *"</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 N/A-4%"</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13" sqref="A1:XFD1048576"/>
    </sheetView>
  </sheetViews>
  <sheetFormatPr defaultColWidth="9.140625" defaultRowHeight="15"/>
  <cols>
    <col min="1" max="3" width="12.85546875" style="507" customWidth="1"/>
    <col min="4" max="4" width="15.42578125" style="507" customWidth="1"/>
    <col min="5" max="5" width="4.85546875" style="507" customWidth="1"/>
    <col min="6" max="9" width="12.85546875" style="507" customWidth="1"/>
    <col min="10" max="10" width="5.140625" style="507" customWidth="1"/>
    <col min="11" max="16384" width="9.140625" style="507"/>
  </cols>
  <sheetData>
    <row r="1" spans="1:16" ht="15.75">
      <c r="A1" s="3752" t="s">
        <v>2584</v>
      </c>
      <c r="B1" s="3752"/>
      <c r="C1" s="3752"/>
      <c r="D1" s="3752"/>
      <c r="E1" s="3752"/>
      <c r="F1" s="3752"/>
      <c r="G1" s="3752"/>
      <c r="H1" s="3752"/>
      <c r="I1" s="3752"/>
      <c r="J1" s="3752"/>
    </row>
    <row r="2" spans="1:16" ht="15.75">
      <c r="A2" s="3752" t="str">
        <f>'Sensitivity Analysis'!C8</f>
        <v>Harrison Village Apartments</v>
      </c>
      <c r="B2" s="3752"/>
      <c r="C2" s="3752"/>
      <c r="D2" s="3752"/>
      <c r="E2" s="3752"/>
      <c r="F2" s="3752"/>
      <c r="G2" s="3752"/>
      <c r="H2" s="3752"/>
      <c r="I2" s="3752"/>
      <c r="J2" s="3752"/>
    </row>
    <row r="3" spans="1:16" ht="15.75">
      <c r="A3" s="3752" t="str">
        <f>'Subsidy Layering Memo'!F14</f>
        <v>Gainesville, Hall</v>
      </c>
      <c r="B3" s="3752"/>
      <c r="C3" s="3752"/>
      <c r="D3" s="3752"/>
      <c r="E3" s="3752"/>
      <c r="F3" s="3752"/>
      <c r="G3" s="3752"/>
      <c r="H3" s="3752"/>
      <c r="I3" s="3752"/>
      <c r="J3" s="3752"/>
    </row>
    <row r="4" spans="1:16" ht="15.75">
      <c r="A4" s="3753" t="s">
        <v>2585</v>
      </c>
      <c r="B4" s="3752"/>
      <c r="C4" s="3752"/>
      <c r="D4" s="3752"/>
      <c r="E4" s="3752"/>
      <c r="F4" s="3752"/>
      <c r="G4" s="3752"/>
      <c r="H4" s="3752"/>
      <c r="I4" s="3752"/>
      <c r="J4" s="3752"/>
    </row>
    <row r="5" spans="1:16" ht="5.25" customHeight="1"/>
    <row r="6" spans="1:16" ht="5.25" customHeight="1"/>
    <row r="7" spans="1:16" ht="15.75">
      <c r="A7" s="3754" t="s">
        <v>2586</v>
      </c>
      <c r="B7" s="3754"/>
      <c r="C7" s="3755"/>
      <c r="M7" s="3746"/>
      <c r="N7" s="3746"/>
      <c r="O7" s="3746"/>
      <c r="P7" s="3746"/>
    </row>
    <row r="8" spans="1:16" ht="57" customHeight="1">
      <c r="A8" s="3747" t="s">
        <v>6160</v>
      </c>
      <c r="B8" s="3747"/>
      <c r="C8" s="3747"/>
      <c r="D8" s="3747"/>
      <c r="E8" s="3747"/>
      <c r="F8" s="3747"/>
      <c r="G8" s="3747"/>
      <c r="H8" s="3747"/>
      <c r="I8" s="3747"/>
      <c r="J8" s="3747"/>
      <c r="K8" s="508"/>
    </row>
    <row r="9" spans="1:16" ht="45.75" customHeight="1">
      <c r="A9" s="374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Gainesville, Hall County, Georgia, with the development of 120 units set aside for Family.</v>
      </c>
      <c r="B9" s="3747"/>
      <c r="C9" s="3747"/>
      <c r="D9" s="3747"/>
      <c r="E9" s="3747"/>
      <c r="F9" s="3747"/>
      <c r="G9" s="3747"/>
      <c r="H9" s="3747"/>
      <c r="I9" s="3747"/>
      <c r="J9" s="3747"/>
      <c r="K9" s="508"/>
    </row>
    <row r="10" spans="1:16" ht="15.75">
      <c r="A10" s="509" t="s">
        <v>2587</v>
      </c>
    </row>
    <row r="11" spans="1:16" ht="16.5" customHeight="1">
      <c r="A11" s="3747" t="str">
        <f>'Subsidy Layering Memo'!A50</f>
        <v xml:space="preserve">Ownership entity:  (NAME) LP, a Georgia Limited Partnership, will be the ownership entity for the proposed project. </v>
      </c>
      <c r="B11" s="3749"/>
      <c r="C11" s="3749"/>
      <c r="D11" s="3749"/>
      <c r="E11" s="3749"/>
      <c r="F11" s="3749"/>
      <c r="G11" s="3749"/>
      <c r="H11" s="3749"/>
      <c r="I11" s="3749"/>
      <c r="J11" s="3747"/>
    </row>
    <row r="12" spans="1:16" ht="63.75" customHeight="1">
      <c r="A12" s="374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747"/>
      <c r="C12" s="3747"/>
      <c r="D12" s="3747"/>
      <c r="E12" s="3747"/>
      <c r="F12" s="3747"/>
      <c r="G12" s="3747"/>
      <c r="H12" s="3747"/>
      <c r="I12" s="3747"/>
      <c r="J12" s="3747"/>
    </row>
    <row r="13" spans="1:16" ht="48.75" customHeight="1">
      <c r="A13" s="374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747"/>
      <c r="C13" s="3747"/>
      <c r="D13" s="3747"/>
      <c r="E13" s="3747"/>
      <c r="F13" s="3747"/>
      <c r="G13" s="3747"/>
      <c r="H13" s="3747"/>
      <c r="I13" s="3747"/>
      <c r="J13" s="3747"/>
    </row>
    <row r="14" spans="1:16" ht="15.75">
      <c r="A14" s="509" t="s">
        <v>2588</v>
      </c>
      <c r="B14" s="510"/>
    </row>
    <row r="15" spans="1:16">
      <c r="A15" s="507" t="s">
        <v>2589</v>
      </c>
      <c r="D15" s="1022" t="s">
        <v>2590</v>
      </c>
    </row>
    <row r="16" spans="1:16">
      <c r="A16" s="507" t="s">
        <v>2591</v>
      </c>
      <c r="D16" s="1256">
        <f>'Sensitivity Analysis'!C25</f>
        <v>10500000</v>
      </c>
    </row>
    <row r="17" spans="1:11">
      <c r="A17" s="511" t="s">
        <v>2592</v>
      </c>
      <c r="D17" s="1257">
        <f>'Sensitivity Analysis'!C13</f>
        <v>120</v>
      </c>
    </row>
    <row r="18" spans="1:11" ht="14.25" customHeight="1"/>
    <row r="19" spans="1:11" ht="15.75">
      <c r="A19" s="509" t="s">
        <v>2593</v>
      </c>
      <c r="B19" s="510"/>
      <c r="C19" s="510"/>
    </row>
    <row r="20" spans="1:11" ht="48.75" customHeight="1">
      <c r="A20" s="375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750"/>
      <c r="C20" s="3750"/>
      <c r="D20" s="3750"/>
      <c r="E20" s="3750"/>
      <c r="F20" s="3750"/>
      <c r="G20" s="3750"/>
      <c r="H20" s="3750"/>
      <c r="I20" s="3750"/>
      <c r="J20" s="3750"/>
    </row>
    <row r="21" spans="1:11" ht="72.75" customHeight="1">
      <c r="A21" s="3747" t="str">
        <f>'Subsidy Layering Memo'!A67</f>
        <v xml:space="preserve"> will make a capital contribution totaling 13877516 via the syndication of the 2021 Federal LIHTC allocation of 1734863 per annum. will make a capital contribution totaling 11970555 via the syndication of the 2021 State LIHTC allocation of 1734863 per annum.</v>
      </c>
      <c r="B21" s="3747"/>
      <c r="C21" s="3747"/>
      <c r="D21" s="3747"/>
      <c r="E21" s="3747"/>
      <c r="F21" s="3747"/>
      <c r="G21" s="3747"/>
      <c r="H21" s="3747"/>
      <c r="I21" s="3747"/>
      <c r="J21" s="3747"/>
    </row>
    <row r="22" spans="1:11" ht="43.5" customHeight="1">
      <c r="A22" s="3751" t="str">
        <f>'Subsidy Layering Memo'!A68</f>
        <v xml:space="preserve">The total equity price per credit will be 1.489 (0.8 Federal tax credit and 0.689 State tax credit) for a (X%) ownership interest of the Federal Credits and a (X%) ownership interest of the State Credits. </v>
      </c>
      <c r="B22" s="3751"/>
      <c r="C22" s="3751"/>
      <c r="D22" s="3751"/>
      <c r="E22" s="3751"/>
      <c r="F22" s="3751"/>
      <c r="G22" s="3751"/>
      <c r="H22" s="3751"/>
      <c r="I22" s="3751"/>
      <c r="J22" s="3751"/>
    </row>
    <row r="23" spans="1:11" ht="15.75">
      <c r="A23" s="509" t="s">
        <v>6161</v>
      </c>
      <c r="B23" s="510"/>
      <c r="C23" s="510"/>
      <c r="D23" s="510"/>
      <c r="E23" s="510"/>
      <c r="F23" s="510"/>
    </row>
    <row r="24" spans="1:11" ht="102.75" customHeight="1">
      <c r="A24" s="374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747"/>
      <c r="C24" s="3747"/>
      <c r="D24" s="3747"/>
      <c r="E24" s="3747"/>
      <c r="F24" s="3747"/>
      <c r="G24" s="3747"/>
      <c r="H24" s="3747"/>
      <c r="I24" s="3747"/>
      <c r="J24" s="3747"/>
    </row>
    <row r="25" spans="1:11" ht="15" customHeight="1">
      <c r="A25" s="3748"/>
      <c r="B25" s="3748"/>
      <c r="C25" s="3748"/>
      <c r="D25" s="3748"/>
      <c r="E25" s="3748"/>
      <c r="F25" s="3748"/>
      <c r="G25" s="3748"/>
      <c r="H25" s="3748"/>
      <c r="I25" s="3748"/>
      <c r="J25" s="3748"/>
      <c r="K25" s="507" t="s">
        <v>233</v>
      </c>
    </row>
    <row r="26" spans="1:11" ht="15" customHeight="1">
      <c r="B26" s="1021"/>
      <c r="C26" s="1021"/>
      <c r="D26" s="1021"/>
      <c r="E26" s="1021"/>
      <c r="F26" s="1021"/>
      <c r="G26" s="1021"/>
      <c r="H26" s="1021"/>
      <c r="I26" s="1021" t="s">
        <v>233</v>
      </c>
      <c r="J26" s="1021"/>
    </row>
    <row r="27" spans="1:11" ht="15.75">
      <c r="A27" s="510" t="s">
        <v>2594</v>
      </c>
    </row>
    <row r="29" spans="1:11" ht="15.75" thickBot="1">
      <c r="A29" s="512"/>
      <c r="B29" s="512"/>
      <c r="C29" s="512"/>
      <c r="D29" s="512"/>
      <c r="F29" s="512"/>
      <c r="G29" s="512"/>
      <c r="H29" s="512"/>
      <c r="I29" s="512"/>
    </row>
    <row r="30" spans="1:11">
      <c r="A30" s="507" t="s">
        <v>2595</v>
      </c>
      <c r="D30" s="507" t="s">
        <v>867</v>
      </c>
      <c r="F30" s="507" t="s">
        <v>2596</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zoomScaleNormal="100" workbookViewId="0">
      <selection activeCell="I34" sqref="I34"/>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85546875" customWidth="1"/>
    <col min="8" max="8" width="6.5703125" customWidth="1"/>
    <col min="9" max="9" width="19.140625" customWidth="1"/>
    <col min="10" max="10" width="6.5703125" customWidth="1"/>
    <col min="11" max="11" width="18.85546875" customWidth="1"/>
    <col min="12" max="12" width="7.5703125" customWidth="1"/>
    <col min="13" max="17" width="10.85546875" customWidth="1"/>
  </cols>
  <sheetData>
    <row r="1" spans="1:14" s="10" customFormat="1" ht="18">
      <c r="A1" s="968" t="s">
        <v>2648</v>
      </c>
      <c r="B1" s="550"/>
      <c r="C1" s="550"/>
      <c r="D1" s="550"/>
      <c r="E1" s="550"/>
      <c r="F1" s="550"/>
      <c r="G1" s="550"/>
      <c r="H1" s="550"/>
      <c r="I1" s="550"/>
      <c r="J1" s="550"/>
      <c r="K1" s="550"/>
      <c r="L1" s="510"/>
      <c r="M1" s="510"/>
    </row>
    <row r="2" spans="1:14" s="10" customFormat="1" ht="18">
      <c r="A2" s="968" t="str">
        <f>+"Financial Analysis for:  "&amp;E8&amp;"  "&amp;C8</f>
        <v>Financial Analysis for:  2022-522  Harrison Village Apartments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2649</v>
      </c>
      <c r="B7" s="567"/>
      <c r="C7" s="1991"/>
      <c r="D7" s="567"/>
      <c r="E7" s="567"/>
      <c r="F7" s="576" t="s">
        <v>2961</v>
      </c>
      <c r="G7" s="567"/>
      <c r="H7" s="375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3757"/>
      <c r="J7" s="3757"/>
      <c r="K7" s="3757"/>
      <c r="L7" s="567"/>
      <c r="M7" s="507"/>
    </row>
    <row r="8" spans="1:14" ht="15.75">
      <c r="A8" s="576" t="s">
        <v>2650</v>
      </c>
      <c r="B8" s="576"/>
      <c r="C8" s="3757" t="str">
        <f>'Part I-Project Identification'!$F$29</f>
        <v>Harrison Village Apartments</v>
      </c>
      <c r="D8" s="3757"/>
      <c r="E8" s="1992" t="str">
        <f>'Part I-Project Identification'!$O$7</f>
        <v>2022-522</v>
      </c>
      <c r="F8" s="576" t="s">
        <v>2651</v>
      </c>
      <c r="G8" s="567"/>
      <c r="H8" s="3757" t="str">
        <f>CONCATENATE('Part I-Project Identification'!$F$30,", ",'Part I-Project Identification'!$J$30)</f>
        <v>Gainesville, Hall</v>
      </c>
      <c r="I8" s="3757"/>
      <c r="J8" s="3757"/>
      <c r="K8" s="3757"/>
      <c r="L8" s="567"/>
      <c r="M8" s="545"/>
    </row>
    <row r="9" spans="1:14" ht="15.75">
      <c r="A9" s="576" t="s">
        <v>2653</v>
      </c>
      <c r="B9" s="576"/>
      <c r="C9" s="3757" t="s">
        <v>1647</v>
      </c>
      <c r="D9" s="3757"/>
      <c r="E9" s="567"/>
      <c r="F9" s="576" t="s">
        <v>2654</v>
      </c>
      <c r="G9" s="567"/>
      <c r="H9" s="3766"/>
      <c r="I9" s="3766"/>
      <c r="J9" s="3766"/>
      <c r="K9" s="3766"/>
      <c r="L9" s="3766"/>
      <c r="M9" s="545"/>
    </row>
    <row r="10" spans="1:14" ht="15.75">
      <c r="A10" s="576" t="s">
        <v>2656</v>
      </c>
      <c r="B10" s="567"/>
      <c r="C10" s="3767"/>
      <c r="D10" s="3767"/>
      <c r="E10" s="567"/>
      <c r="F10" s="576" t="s">
        <v>3135</v>
      </c>
      <c r="G10" s="567"/>
      <c r="H10" s="3762"/>
      <c r="I10" s="3762"/>
      <c r="J10" s="3762"/>
      <c r="K10" s="3762"/>
      <c r="L10" s="3762"/>
    </row>
    <row r="11" spans="1:14" ht="15.75">
      <c r="A11" s="576" t="s">
        <v>2657</v>
      </c>
      <c r="B11" s="567"/>
      <c r="C11" s="3761"/>
      <c r="D11" s="3761"/>
      <c r="E11" s="2006"/>
      <c r="F11" s="576" t="s">
        <v>606</v>
      </c>
      <c r="G11" s="567"/>
      <c r="H11" s="3762"/>
      <c r="I11" s="3762"/>
      <c r="J11" s="3762"/>
      <c r="K11" s="3762"/>
      <c r="L11" s="3762"/>
      <c r="M11" s="3763"/>
      <c r="N11" s="3764"/>
    </row>
    <row r="12" spans="1:14" ht="15.75">
      <c r="A12" s="576" t="s">
        <v>2658</v>
      </c>
      <c r="B12" s="567"/>
      <c r="C12" s="3761"/>
      <c r="D12" s="3761"/>
      <c r="E12" s="567"/>
      <c r="F12" s="576" t="s">
        <v>2659</v>
      </c>
      <c r="G12" s="567"/>
      <c r="H12" s="3761"/>
      <c r="I12" s="3761"/>
      <c r="J12" s="3761"/>
      <c r="K12" s="3761"/>
      <c r="L12" s="3761"/>
      <c r="M12" s="507"/>
    </row>
    <row r="13" spans="1:14" ht="15.75">
      <c r="A13" s="576" t="s">
        <v>2660</v>
      </c>
      <c r="B13" s="576"/>
      <c r="C13" s="1993">
        <f>'Part V-Revenues &amp; Expenses'!$P$67</f>
        <v>120</v>
      </c>
      <c r="D13" s="26"/>
      <c r="E13" s="1994">
        <f>'Part V-Revenues &amp; Expenses'!$P$63</f>
        <v>120</v>
      </c>
      <c r="F13" s="576" t="s">
        <v>3455</v>
      </c>
      <c r="G13" s="567"/>
      <c r="H13" s="2004"/>
      <c r="I13" s="1996"/>
      <c r="J13" s="1996"/>
      <c r="K13" s="1995">
        <f>'Part V-Revenues &amp; Expenses'!$K$175</f>
        <v>155630</v>
      </c>
      <c r="L13" s="567"/>
      <c r="M13" s="507"/>
    </row>
    <row r="14" spans="1:14" ht="15.75">
      <c r="A14" s="576" t="s">
        <v>2952</v>
      </c>
      <c r="B14" s="567"/>
      <c r="C14" s="1995" t="str">
        <f>'Part VII-Threshold Criteria'!J35</f>
        <v>Family</v>
      </c>
      <c r="D14" s="3757" t="str">
        <f>IF('Part VII-Threshold Criteria'!$N$35=0,"",'Part VII-Threshold Criteria'!$N$35)</f>
        <v/>
      </c>
      <c r="E14" s="3757"/>
      <c r="F14" s="576" t="s">
        <v>2661</v>
      </c>
      <c r="G14" s="567"/>
      <c r="H14" s="3765" t="s">
        <v>3103</v>
      </c>
      <c r="I14" s="3765"/>
      <c r="J14" s="3765"/>
      <c r="K14" s="3765" t="s">
        <v>3103</v>
      </c>
      <c r="L14" s="3765"/>
      <c r="M14" s="507"/>
    </row>
    <row r="15" spans="1:14" ht="15.75">
      <c r="A15" s="576" t="s">
        <v>2662</v>
      </c>
      <c r="B15" s="567"/>
      <c r="C15" s="1997" t="s">
        <v>1647</v>
      </c>
      <c r="D15" s="567"/>
      <c r="E15" s="567"/>
      <c r="F15" s="576" t="s">
        <v>2953</v>
      </c>
      <c r="G15" s="567"/>
      <c r="H15" s="1992" t="str">
        <f>'Part I-Project Identification'!K32</f>
        <v>Urban</v>
      </c>
      <c r="I15" s="567"/>
      <c r="J15" s="567"/>
      <c r="K15" s="567"/>
      <c r="L15" s="567"/>
      <c r="M15" s="507"/>
    </row>
    <row r="16" spans="1:14" ht="15.75">
      <c r="A16" s="576" t="s">
        <v>3130</v>
      </c>
      <c r="B16" s="567"/>
      <c r="C16" s="1992" t="str">
        <f>'Part VIII Scoring Criteria'!$P$41</f>
        <v>No</v>
      </c>
      <c r="D16" s="1998" t="s">
        <v>2445</v>
      </c>
      <c r="E16" s="1992" t="str">
        <f>'Part VIII Scoring Criteria'!$P$47</f>
        <v>No</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2955</v>
      </c>
      <c r="B18" s="567"/>
      <c r="C18" s="1999">
        <f>'Part III-A-Uses of Funds'!$G$146</f>
        <v>36348071</v>
      </c>
      <c r="D18" s="2000">
        <f>IF(C18=0,"",$C$29/C18)</f>
        <v>0.28887365164440226</v>
      </c>
      <c r="E18" s="567" t="s">
        <v>2956</v>
      </c>
      <c r="F18" s="576" t="s">
        <v>6814</v>
      </c>
      <c r="G18" s="567"/>
      <c r="H18" s="3756">
        <f>'Part III-A-Uses of Funds'!$C$49</f>
        <v>25038091</v>
      </c>
      <c r="I18" s="3756"/>
      <c r="J18" s="2001">
        <f>IF(H18=0,"",$C$29/H18)</f>
        <v>0.41936104473779573</v>
      </c>
      <c r="K18" s="3757" t="s">
        <v>2958</v>
      </c>
      <c r="L18" s="3757"/>
      <c r="M18" s="507"/>
    </row>
    <row r="19" spans="1:13" ht="15.75">
      <c r="A19" s="576" t="s">
        <v>2663</v>
      </c>
      <c r="B19" s="567"/>
      <c r="C19" s="2002">
        <f>C18/C13</f>
        <v>302900.59166666667</v>
      </c>
      <c r="D19" s="567"/>
      <c r="E19" s="567"/>
      <c r="F19" s="576" t="s">
        <v>2663</v>
      </c>
      <c r="G19" s="567"/>
      <c r="H19" s="3758">
        <f>H18/C13</f>
        <v>208650.75833333333</v>
      </c>
      <c r="I19" s="3758"/>
      <c r="J19" s="567"/>
      <c r="K19" s="567"/>
      <c r="L19" s="567"/>
      <c r="M19" s="507"/>
    </row>
    <row r="20" spans="1:13" ht="15.75">
      <c r="A20" s="576" t="s">
        <v>2664</v>
      </c>
      <c r="B20" s="567"/>
      <c r="C20" s="1992">
        <f>C18/K13</f>
        <v>233.55439825226497</v>
      </c>
      <c r="D20" s="2003"/>
      <c r="E20" s="2003"/>
      <c r="F20" s="576" t="s">
        <v>2664</v>
      </c>
      <c r="G20" s="567"/>
      <c r="H20" s="3757">
        <f>H18/K13</f>
        <v>160.88216282207802</v>
      </c>
      <c r="I20" s="3758"/>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2665</v>
      </c>
      <c r="B23" s="540"/>
      <c r="C23" s="540"/>
      <c r="D23" s="540"/>
      <c r="E23" s="507"/>
      <c r="F23" s="507"/>
      <c r="G23" s="507"/>
      <c r="H23" s="507"/>
      <c r="I23" s="507"/>
      <c r="J23" s="507"/>
      <c r="K23" s="507"/>
      <c r="L23" s="507"/>
      <c r="M23" s="545"/>
    </row>
    <row r="24" spans="1:13" ht="27" customHeight="1">
      <c r="A24" s="507"/>
      <c r="B24" s="507"/>
      <c r="C24" s="507"/>
      <c r="D24" s="551" t="s">
        <v>2666</v>
      </c>
      <c r="E24" s="507"/>
      <c r="F24" s="507"/>
      <c r="G24" s="507"/>
      <c r="H24" s="507"/>
      <c r="I24" s="507"/>
      <c r="J24" s="507"/>
      <c r="K24" s="507"/>
      <c r="L24" s="507"/>
      <c r="M24" s="545"/>
    </row>
    <row r="25" spans="1:13" ht="15.75">
      <c r="A25" s="510" t="s">
        <v>2667</v>
      </c>
      <c r="B25" s="552" t="str">
        <f>'Part II-Sources of Funds'!E40</f>
        <v>Bellwether (Freddie TEL)</v>
      </c>
      <c r="C25" s="553">
        <f>'Part II-Sources of Funds'!I40</f>
        <v>10500000</v>
      </c>
      <c r="D25" s="554" t="s">
        <v>2668</v>
      </c>
      <c r="E25" s="507"/>
      <c r="F25" s="507"/>
      <c r="G25" s="507" t="s">
        <v>2669</v>
      </c>
      <c r="H25" s="507"/>
      <c r="I25" s="507"/>
      <c r="K25" s="553"/>
      <c r="L25" s="507"/>
      <c r="M25" s="545"/>
    </row>
    <row r="26" spans="1:13" ht="15">
      <c r="A26" s="507"/>
      <c r="B26" s="552"/>
      <c r="C26" s="553"/>
      <c r="D26" s="554"/>
      <c r="E26" s="507"/>
      <c r="F26" s="507"/>
      <c r="G26" s="507" t="s">
        <v>2670</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2671</v>
      </c>
      <c r="H28" s="507"/>
      <c r="I28" s="507"/>
      <c r="K28" s="553"/>
      <c r="L28" s="507"/>
      <c r="M28" s="507"/>
    </row>
    <row r="29" spans="1:13" ht="16.5" thickBot="1">
      <c r="A29" s="507"/>
      <c r="B29" s="556" t="s">
        <v>2672</v>
      </c>
      <c r="C29" s="1990">
        <f>SUM(C25:C27)</f>
        <v>10500000</v>
      </c>
      <c r="D29" s="507"/>
      <c r="E29" s="507"/>
      <c r="F29" s="507"/>
      <c r="G29" s="507" t="s">
        <v>2673</v>
      </c>
      <c r="H29" s="507"/>
      <c r="I29" s="507"/>
      <c r="K29" s="555" t="e">
        <f>C29/K28</f>
        <v>#DIV/0!</v>
      </c>
      <c r="L29" s="507"/>
      <c r="M29" s="507"/>
    </row>
    <row r="30" spans="1:13" ht="16.5" thickTop="1">
      <c r="A30" s="510" t="s">
        <v>2674</v>
      </c>
      <c r="B30" s="556"/>
      <c r="C30" s="558">
        <f>'Part II-Sources of Funds'!$I$51+'Part II-Sources of Funds'!$I$52</f>
        <v>25848071</v>
      </c>
      <c r="D30" s="507"/>
      <c r="E30" s="507"/>
      <c r="F30" s="507"/>
      <c r="G30" s="507"/>
      <c r="H30" s="507"/>
      <c r="I30" s="507"/>
      <c r="K30" s="559"/>
      <c r="L30" s="507"/>
      <c r="M30" s="507"/>
    </row>
    <row r="31" spans="1:13" ht="15">
      <c r="A31" s="560" t="s">
        <v>2675</v>
      </c>
      <c r="B31" s="552">
        <f>'Part II-Sources of Funds'!E41</f>
        <v>0</v>
      </c>
      <c r="C31" s="553">
        <f>'Part II-Sources of Funds'!I41</f>
        <v>0</v>
      </c>
      <c r="D31" s="554"/>
      <c r="E31" s="507"/>
      <c r="F31" s="507"/>
      <c r="G31" s="507"/>
      <c r="H31" s="507"/>
      <c r="I31" s="507"/>
      <c r="K31" s="507"/>
      <c r="L31" s="507"/>
      <c r="M31" s="507"/>
    </row>
    <row r="32" spans="1:13" ht="15">
      <c r="A32" s="560" t="s">
        <v>2675</v>
      </c>
      <c r="B32" s="552">
        <f>'Part II-Sources of Funds'!E42</f>
        <v>0</v>
      </c>
      <c r="C32" s="553">
        <f>'Part II-Sources of Funds'!I42</f>
        <v>0</v>
      </c>
      <c r="D32" s="554"/>
      <c r="E32" s="507" t="s">
        <v>233</v>
      </c>
      <c r="F32" s="507"/>
      <c r="G32" s="507" t="s">
        <v>2676</v>
      </c>
      <c r="H32" s="507"/>
      <c r="I32" s="507"/>
      <c r="K32" s="553"/>
      <c r="L32" s="507"/>
      <c r="M32" s="507"/>
    </row>
    <row r="33" spans="1:13" ht="15">
      <c r="A33" s="560" t="s">
        <v>2675</v>
      </c>
      <c r="B33" s="552">
        <f>'Part II-Sources of Funds'!E43</f>
        <v>0</v>
      </c>
      <c r="C33" s="553">
        <f>'Part II-Sources of Funds'!I43</f>
        <v>0</v>
      </c>
      <c r="D33" s="554"/>
      <c r="E33" s="507"/>
      <c r="F33" s="507"/>
      <c r="G33" s="975" t="s">
        <v>2677</v>
      </c>
      <c r="H33" s="975"/>
      <c r="I33" s="975"/>
      <c r="K33" s="555" t="e">
        <f>$C$29/K32</f>
        <v>#DIV/0!</v>
      </c>
      <c r="L33" s="507"/>
      <c r="M33" s="561"/>
    </row>
    <row r="34" spans="1:13" ht="15.75">
      <c r="A34" s="507"/>
      <c r="B34" s="556" t="s">
        <v>2678</v>
      </c>
      <c r="C34" s="558">
        <f>SUM(C31:C33)</f>
        <v>0</v>
      </c>
      <c r="D34" s="507"/>
      <c r="E34" s="507"/>
      <c r="F34" s="507"/>
      <c r="G34" s="507"/>
      <c r="H34" s="507"/>
      <c r="I34" s="507"/>
      <c r="K34" s="507"/>
      <c r="L34" s="507"/>
      <c r="M34" s="561"/>
    </row>
    <row r="35" spans="1:13" ht="15.75">
      <c r="A35" s="507"/>
      <c r="B35" s="556"/>
      <c r="C35" s="507"/>
      <c r="D35" s="507"/>
      <c r="E35" s="507"/>
      <c r="F35" s="507"/>
      <c r="G35" s="975" t="s">
        <v>2679</v>
      </c>
      <c r="H35" s="975"/>
      <c r="I35" s="975"/>
      <c r="K35" s="562" t="e">
        <f>(C36)/K25</f>
        <v>#DIV/0!</v>
      </c>
      <c r="L35" s="507"/>
      <c r="M35" s="507"/>
    </row>
    <row r="36" spans="1:13" ht="15.75">
      <c r="A36" s="507"/>
      <c r="B36" s="556" t="s">
        <v>2680</v>
      </c>
      <c r="C36" s="558">
        <f>C29+C34</f>
        <v>10500000</v>
      </c>
      <c r="D36" s="507"/>
      <c r="E36" s="507"/>
      <c r="F36" s="507"/>
      <c r="G36" s="507"/>
      <c r="H36" s="507"/>
      <c r="I36" s="507"/>
      <c r="K36" s="507"/>
      <c r="L36" s="507"/>
      <c r="M36" s="507"/>
    </row>
    <row r="37" spans="1:13" ht="15.75">
      <c r="A37" s="507"/>
      <c r="B37" s="556"/>
      <c r="C37" s="559"/>
      <c r="D37" s="507"/>
      <c r="E37" s="507"/>
      <c r="F37" s="507"/>
      <c r="G37" s="975" t="s">
        <v>2681</v>
      </c>
      <c r="H37" s="975"/>
      <c r="I37" s="975"/>
      <c r="K37" s="976" t="e">
        <f>+(C36)/K32</f>
        <v>#DIV/0!</v>
      </c>
      <c r="L37" s="507"/>
      <c r="M37" s="561"/>
    </row>
    <row r="38" spans="1:13" ht="15.75">
      <c r="A38" s="507"/>
      <c r="B38" s="556" t="s">
        <v>2682</v>
      </c>
      <c r="C38" s="563">
        <f>C36/C18</f>
        <v>0.28887365164440226</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2683</v>
      </c>
      <c r="C40" s="563">
        <f>C36/H18</f>
        <v>0.41936104473779573</v>
      </c>
      <c r="D40" s="507"/>
      <c r="E40" s="507"/>
      <c r="F40" s="510"/>
      <c r="G40" s="510" t="s">
        <v>2684</v>
      </c>
      <c r="H40" s="507"/>
      <c r="I40" s="507"/>
      <c r="K40" s="555">
        <f>C30/C18</f>
        <v>0.71112634835559774</v>
      </c>
      <c r="L40" s="507"/>
      <c r="M40" s="507"/>
    </row>
    <row r="46" spans="1:13" ht="15.75">
      <c r="A46" s="550" t="s">
        <v>2685</v>
      </c>
      <c r="B46" s="540"/>
      <c r="C46" s="540"/>
      <c r="D46" s="540"/>
      <c r="E46" s="540"/>
      <c r="F46" s="540"/>
      <c r="G46" s="540"/>
      <c r="H46" s="540"/>
      <c r="I46" s="540"/>
      <c r="J46" s="540"/>
      <c r="K46" s="540"/>
      <c r="L46" s="540"/>
      <c r="M46" s="507"/>
    </row>
    <row r="47" spans="1:13" ht="15.75">
      <c r="A47" s="550" t="str">
        <f>C8</f>
        <v>Harrison Village Apartments</v>
      </c>
      <c r="B47" s="540"/>
      <c r="C47" s="540"/>
      <c r="D47" s="540"/>
      <c r="E47" s="540"/>
      <c r="F47" s="540"/>
      <c r="G47" s="540"/>
      <c r="H47" s="540"/>
      <c r="I47" s="540"/>
      <c r="J47" s="540"/>
      <c r="K47" s="540"/>
      <c r="L47" s="540"/>
      <c r="M47" s="507"/>
    </row>
    <row r="50" spans="1:14" s="507" customFormat="1" ht="15.75">
      <c r="A50" s="510" t="s">
        <v>2686</v>
      </c>
      <c r="C50" s="561" t="s">
        <v>2687</v>
      </c>
      <c r="E50" s="564" t="s">
        <v>3104</v>
      </c>
      <c r="F50" s="565">
        <v>0.1</v>
      </c>
      <c r="G50" s="564" t="s">
        <v>3105</v>
      </c>
      <c r="H50" s="565">
        <v>0.05</v>
      </c>
      <c r="I50" s="564" t="s">
        <v>3106</v>
      </c>
      <c r="J50" s="565">
        <v>0.03</v>
      </c>
      <c r="K50" s="3759" t="s">
        <v>2688</v>
      </c>
      <c r="L50" s="3760"/>
      <c r="M50"/>
      <c r="N50"/>
    </row>
    <row r="51" spans="1:14" s="507" customFormat="1" ht="15.75">
      <c r="A51" s="510"/>
      <c r="C51" s="561"/>
      <c r="E51" s="561"/>
      <c r="F51" s="566"/>
      <c r="G51" s="561"/>
      <c r="H51" s="566"/>
      <c r="I51" s="561"/>
      <c r="J51" s="566"/>
      <c r="K51" s="561"/>
      <c r="M51"/>
      <c r="N51"/>
    </row>
    <row r="52" spans="1:14" s="507" customFormat="1" ht="18.75" customHeight="1">
      <c r="B52" s="567" t="s">
        <v>2689</v>
      </c>
      <c r="C52" s="568">
        <f>'Part VI-Pro Forma'!B15</f>
        <v>1876692</v>
      </c>
      <c r="D52" s="568"/>
      <c r="E52" s="568">
        <f>$C$52</f>
        <v>1876692</v>
      </c>
      <c r="F52" s="568"/>
      <c r="G52" s="568">
        <f>$C$52</f>
        <v>1876692</v>
      </c>
      <c r="H52" s="568"/>
      <c r="I52" s="568">
        <f>$C$52</f>
        <v>1876692</v>
      </c>
      <c r="J52" s="568"/>
      <c r="K52" s="568">
        <f>$C$52</f>
        <v>1876692</v>
      </c>
      <c r="L52" s="569"/>
      <c r="M52"/>
      <c r="N52"/>
    </row>
    <row r="53" spans="1:14" s="507" customFormat="1" ht="18.75" customHeight="1">
      <c r="B53" s="567" t="s">
        <v>2692</v>
      </c>
      <c r="C53" s="568">
        <f>'Part VI-Pro Forma'!B16</f>
        <v>37533.840000000004</v>
      </c>
      <c r="D53" s="568"/>
      <c r="E53" s="568">
        <f>$C$53</f>
        <v>37533.840000000004</v>
      </c>
      <c r="F53" s="568"/>
      <c r="G53" s="568">
        <f>$C$53</f>
        <v>37533.840000000004</v>
      </c>
      <c r="H53" s="568"/>
      <c r="I53" s="568">
        <f>$C$53</f>
        <v>37533.840000000004</v>
      </c>
      <c r="J53" s="568"/>
      <c r="K53" s="568">
        <f>$C$53</f>
        <v>37533.840000000004</v>
      </c>
      <c r="L53" s="569"/>
      <c r="M53"/>
      <c r="N53"/>
    </row>
    <row r="54" spans="1:14" s="507" customFormat="1" ht="18.75" customHeight="1">
      <c r="B54" s="567" t="s">
        <v>2690</v>
      </c>
      <c r="C54" s="568">
        <f>'Part VI-Pro Forma'!B17</f>
        <v>-133995.80880000003</v>
      </c>
      <c r="D54" s="568"/>
      <c r="E54" s="568">
        <f>-($C$52+E53)*F50</f>
        <v>-191422.58400000003</v>
      </c>
      <c r="F54" s="570"/>
      <c r="G54" s="568">
        <f>-($C$52+G53)*0.07</f>
        <v>-133995.80880000003</v>
      </c>
      <c r="H54" s="568"/>
      <c r="I54" s="568">
        <f>-($C$52+I53)*0.07</f>
        <v>-133995.80880000003</v>
      </c>
      <c r="J54" s="568"/>
      <c r="K54" s="568">
        <f>-($C$52+K53)*L54</f>
        <v>-191422.58400000003</v>
      </c>
      <c r="L54" s="571">
        <v>0.1</v>
      </c>
      <c r="M54"/>
      <c r="N54"/>
    </row>
    <row r="55" spans="1:14" s="507" customFormat="1" ht="18.75" customHeight="1">
      <c r="B55" s="567" t="s">
        <v>2691</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2693</v>
      </c>
      <c r="C56" s="574">
        <f>SUM(C52:C55)</f>
        <v>1780230.0312000001</v>
      </c>
      <c r="D56" s="568"/>
      <c r="E56" s="574">
        <f>SUM(E52:E55)</f>
        <v>1722803.2560000001</v>
      </c>
      <c r="F56" s="568"/>
      <c r="G56" s="574">
        <f>SUM(G52:G55)</f>
        <v>1780230.0312000001</v>
      </c>
      <c r="H56" s="568"/>
      <c r="I56" s="574">
        <f>SUM(I52:I55)</f>
        <v>1780230.0312000001</v>
      </c>
      <c r="J56" s="568"/>
      <c r="K56" s="574">
        <f>SUM(K52:K55)</f>
        <v>1722803.2560000001</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2694</v>
      </c>
      <c r="C58" s="568">
        <f>+'Part V-Revenues &amp; Expenses'!F224+'Part V-Revenues &amp; Expenses'!F233+'Part V-Revenues &amp; Expenses'!L220+'Part V-Revenues &amp; Expenses'!L228</f>
        <v>28200</v>
      </c>
      <c r="D58" s="568"/>
      <c r="E58" s="568">
        <f>$C$58</f>
        <v>28200</v>
      </c>
      <c r="F58" s="568"/>
      <c r="G58" s="568">
        <f>$C$58</f>
        <v>28200</v>
      </c>
      <c r="H58" s="568"/>
      <c r="I58" s="568">
        <f>$C$58</f>
        <v>28200</v>
      </c>
      <c r="J58" s="568"/>
      <c r="K58" s="568">
        <f>$C$58</f>
        <v>28200</v>
      </c>
      <c r="L58" s="569"/>
      <c r="M58"/>
      <c r="N58"/>
    </row>
    <row r="59" spans="1:14" s="507" customFormat="1" ht="18.75" customHeight="1">
      <c r="B59" s="567" t="s">
        <v>2695</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1298</v>
      </c>
      <c r="C60" s="568">
        <f>+'Part V-Revenues &amp; Expenses'!L237</f>
        <v>79800</v>
      </c>
      <c r="D60" s="568"/>
      <c r="E60" s="568">
        <f>$C$60</f>
        <v>79800</v>
      </c>
      <c r="F60" s="568"/>
      <c r="G60" s="568">
        <f>$C$60</f>
        <v>79800</v>
      </c>
      <c r="H60" s="568"/>
      <c r="I60" s="568">
        <f>$C$60*(1+$J$50)</f>
        <v>82194</v>
      </c>
      <c r="J60" s="570"/>
      <c r="K60" s="568">
        <f>$C$60*(1+$J$50)</f>
        <v>82194</v>
      </c>
      <c r="L60" s="571">
        <v>0.03</v>
      </c>
      <c r="M60"/>
      <c r="N60"/>
    </row>
    <row r="61" spans="1:14" s="507" customFormat="1" ht="18.75" customHeight="1">
      <c r="B61" s="567" t="s">
        <v>1299</v>
      </c>
      <c r="C61" s="568">
        <f>+'Part V-Revenues &amp; Expenses'!L244</f>
        <v>5040</v>
      </c>
      <c r="D61" s="568"/>
      <c r="E61" s="568">
        <f>$C$61</f>
        <v>5040</v>
      </c>
      <c r="F61" s="568"/>
      <c r="G61" s="568">
        <f>$C$61*(1+H50)</f>
        <v>5292</v>
      </c>
      <c r="H61" s="570"/>
      <c r="I61" s="568">
        <f>$C$61</f>
        <v>5040</v>
      </c>
      <c r="J61" s="568"/>
      <c r="K61" s="568">
        <f>$C$61*(1+$L$61)</f>
        <v>5292</v>
      </c>
      <c r="L61" s="571">
        <v>0.05</v>
      </c>
      <c r="M61"/>
      <c r="N61"/>
    </row>
    <row r="62" spans="1:14" s="507" customFormat="1" ht="18.75" customHeight="1">
      <c r="B62" s="573" t="s">
        <v>2696</v>
      </c>
      <c r="C62" s="574">
        <f>SUM(C58:C61)</f>
        <v>113040</v>
      </c>
      <c r="D62" s="568"/>
      <c r="E62" s="574">
        <f>SUM(E58:E61)</f>
        <v>113040</v>
      </c>
      <c r="F62" s="568"/>
      <c r="G62" s="574">
        <f>SUM(G58:G61)</f>
        <v>113292</v>
      </c>
      <c r="H62" s="568"/>
      <c r="I62" s="574">
        <f>SUM(I58:I61)</f>
        <v>115434</v>
      </c>
      <c r="J62" s="568"/>
      <c r="K62" s="574">
        <f>SUM(K58:K61)</f>
        <v>115686</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2697</v>
      </c>
      <c r="C64" s="577">
        <f>C56-C62</f>
        <v>1667190.0312000001</v>
      </c>
      <c r="D64" s="577"/>
      <c r="E64" s="577">
        <f>E56-E62</f>
        <v>1609763.2560000001</v>
      </c>
      <c r="F64" s="577"/>
      <c r="G64" s="577">
        <f>G56-G62</f>
        <v>1666938.0312000001</v>
      </c>
      <c r="H64" s="577"/>
      <c r="I64" s="577">
        <f>I56-I62</f>
        <v>1664796.0312000001</v>
      </c>
      <c r="J64" s="577"/>
      <c r="K64" s="577">
        <f>K56-K62</f>
        <v>1607117.2560000001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2698</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2699</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2700</v>
      </c>
      <c r="C70" s="580">
        <f>C64-C66-C68</f>
        <v>1667190.0312000001</v>
      </c>
      <c r="D70" s="577"/>
      <c r="E70" s="580">
        <f>E64-E66-E68</f>
        <v>1609763.2560000001</v>
      </c>
      <c r="F70" s="577"/>
      <c r="G70" s="580">
        <f>G64-G66-G68</f>
        <v>1666938.0312000001</v>
      </c>
      <c r="H70" s="577"/>
      <c r="I70" s="580">
        <f>I64-I66-I68</f>
        <v>1664796.0312000001</v>
      </c>
      <c r="J70" s="577"/>
      <c r="K70" s="580">
        <f>K64-K66-K68</f>
        <v>1607117.2560000001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2701</v>
      </c>
      <c r="C72" s="1006">
        <f>-C70/C75</f>
        <v>2.3436693949592242</v>
      </c>
      <c r="D72" s="581"/>
      <c r="E72" s="1006">
        <f>-E70/E75</f>
        <v>2.2629411198563738</v>
      </c>
      <c r="F72" s="581"/>
      <c r="G72" s="1006">
        <f>-G70/G75</f>
        <v>2.343315143388331</v>
      </c>
      <c r="H72" s="581"/>
      <c r="I72" s="1006">
        <f>-I70/I75</f>
        <v>2.3403040050357409</v>
      </c>
      <c r="J72" s="581"/>
      <c r="K72" s="1006">
        <f>-K70/K75</f>
        <v>2.2592214783619973</v>
      </c>
      <c r="L72" s="4"/>
      <c r="M72" s="10"/>
      <c r="N72" s="10"/>
    </row>
    <row r="73" spans="1:14" s="507" customFormat="1" ht="18.75" customHeight="1">
      <c r="A73"/>
      <c r="B73" s="567" t="s">
        <v>2702</v>
      </c>
      <c r="C73" s="1007">
        <f>C76/C62</f>
        <v>8.4556896072229595</v>
      </c>
      <c r="D73" s="582"/>
      <c r="E73" s="1007">
        <f>E76/E62</f>
        <v>7.9476678874777358</v>
      </c>
      <c r="F73" s="582"/>
      <c r="G73" s="1007">
        <f>G76/G62</f>
        <v>8.4346569325325991</v>
      </c>
      <c r="H73" s="582"/>
      <c r="I73" s="1007">
        <f>I76/I62</f>
        <v>8.2595868912147488</v>
      </c>
      <c r="J73" s="582"/>
      <c r="K73" s="1007">
        <f>K76/K62</f>
        <v>7.743014522072535</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2703</v>
      </c>
      <c r="C75" s="568">
        <f>+SUM('Part VI-Pro Forma'!B26:B29)</f>
        <v>-711358.87799951679</v>
      </c>
      <c r="D75" s="568"/>
      <c r="E75" s="568">
        <f>$C$75</f>
        <v>-711358.87799951679</v>
      </c>
      <c r="F75" s="568"/>
      <c r="G75" s="568">
        <f>$C$75</f>
        <v>-711358.87799951679</v>
      </c>
      <c r="H75" s="568"/>
      <c r="I75" s="568">
        <f>$C$75</f>
        <v>-711358.87799951679</v>
      </c>
      <c r="J75" s="568"/>
      <c r="K75" s="568">
        <f>$C$75</f>
        <v>-711358.87799951679</v>
      </c>
      <c r="L75" s="26"/>
      <c r="M75"/>
      <c r="N75"/>
    </row>
    <row r="76" spans="1:14" s="507" customFormat="1" ht="18.75" customHeight="1">
      <c r="A76"/>
      <c r="B76" s="567" t="s">
        <v>1097</v>
      </c>
      <c r="C76" s="568">
        <f>C70+C75</f>
        <v>955831.1532004833</v>
      </c>
      <c r="D76" s="568"/>
      <c r="E76" s="568">
        <f>E70+E75</f>
        <v>898404.37800048327</v>
      </c>
      <c r="F76" s="568"/>
      <c r="G76" s="568">
        <f>G70+G75</f>
        <v>955579.1532004833</v>
      </c>
      <c r="H76" s="568"/>
      <c r="I76" s="568">
        <f>I70+I75</f>
        <v>953437.1532004833</v>
      </c>
      <c r="J76" s="568"/>
      <c r="K76" s="568">
        <f>K70+K75</f>
        <v>895758.37800048327</v>
      </c>
      <c r="L76" s="26"/>
      <c r="M76"/>
      <c r="N76"/>
    </row>
    <row r="77" spans="1:14" s="507" customFormat="1" ht="15" hidden="1">
      <c r="A77"/>
      <c r="B77" s="567" t="s">
        <v>2704</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2705</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2706</v>
      </c>
      <c r="C80" s="583" t="e">
        <f>MIN(C77,E77,G77,I77,K77)</f>
        <v>#NAME?</v>
      </c>
      <c r="D80" s="567"/>
      <c r="E80" s="567" t="s">
        <v>2707</v>
      </c>
      <c r="F80" s="585">
        <v>0.06</v>
      </c>
      <c r="G80" s="26"/>
      <c r="H80" s="26"/>
      <c r="I80" s="26"/>
      <c r="J80" s="26"/>
      <c r="K80" s="26"/>
      <c r="L80" s="26"/>
      <c r="M80"/>
      <c r="N80"/>
    </row>
    <row r="81" spans="1:14" s="507" customFormat="1" ht="15" hidden="1">
      <c r="A81"/>
      <c r="B81" s="567" t="s">
        <v>1609</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140625" defaultRowHeight="14.25"/>
  <cols>
    <col min="1" max="1" width="9.140625" style="516"/>
    <col min="2" max="2" width="7.85546875" style="516" customWidth="1"/>
    <col min="3" max="3" width="14.85546875" style="516" customWidth="1"/>
    <col min="4" max="4" width="20.140625" style="516" customWidth="1"/>
    <col min="5" max="5" width="8" style="516" customWidth="1"/>
    <col min="6" max="6" width="5.140625" style="516" customWidth="1"/>
    <col min="7" max="7" width="5.42578125" style="516" customWidth="1"/>
    <col min="8" max="8" width="8.5703125" style="516" customWidth="1"/>
    <col min="9" max="9" width="28.5703125" style="516" customWidth="1"/>
    <col min="10" max="10" width="4.140625" style="516" hidden="1" customWidth="1"/>
    <col min="11" max="11" width="9.140625" style="516"/>
    <col min="12" max="12" width="16.140625" style="516" customWidth="1"/>
    <col min="13" max="13" width="11.140625" style="516" customWidth="1"/>
    <col min="14" max="14" width="10.85546875" style="516" bestFit="1" customWidth="1"/>
    <col min="15" max="15" width="28.5703125" style="516" customWidth="1"/>
    <col min="16" max="16384" width="9.140625" style="516"/>
  </cols>
  <sheetData>
    <row r="2" spans="1:10" ht="15">
      <c r="A2" s="513" t="s">
        <v>2597</v>
      </c>
      <c r="B2" s="514"/>
      <c r="C2" s="514"/>
      <c r="D2" s="514"/>
      <c r="E2" s="515"/>
      <c r="F2" s="514"/>
      <c r="G2" s="514"/>
      <c r="H2" s="514"/>
      <c r="I2" s="514"/>
      <c r="J2" s="514"/>
    </row>
    <row r="3" spans="1:10" ht="15">
      <c r="A3" s="517"/>
    </row>
    <row r="4" spans="1:10" ht="15">
      <c r="A4" s="517" t="s">
        <v>2598</v>
      </c>
      <c r="D4" s="516" t="s">
        <v>2599</v>
      </c>
    </row>
    <row r="5" spans="1:10" ht="15">
      <c r="A5" s="517"/>
    </row>
    <row r="6" spans="1:10" ht="15">
      <c r="A6" s="517" t="s">
        <v>2600</v>
      </c>
      <c r="D6" s="516" t="s">
        <v>2601</v>
      </c>
    </row>
    <row r="7" spans="1:10" ht="15">
      <c r="A7" s="517"/>
    </row>
    <row r="8" spans="1:10" ht="15">
      <c r="A8" s="517" t="s">
        <v>2602</v>
      </c>
      <c r="D8" s="518" t="s">
        <v>2603</v>
      </c>
    </row>
    <row r="9" spans="1:10" ht="15">
      <c r="A9" s="517"/>
    </row>
    <row r="10" spans="1:10" ht="15">
      <c r="A10" s="517" t="s">
        <v>2604</v>
      </c>
      <c r="D10" s="518" t="s">
        <v>2605</v>
      </c>
    </row>
    <row r="11" spans="1:10" ht="15">
      <c r="A11" s="517"/>
      <c r="D11" s="1026"/>
    </row>
    <row r="12" spans="1:10" ht="15">
      <c r="A12" s="517" t="s">
        <v>2606</v>
      </c>
      <c r="D12" s="516" t="s">
        <v>574</v>
      </c>
      <c r="F12" s="1026" t="str">
        <f>'Sensitivity Analysis'!$C$8</f>
        <v>Harrison Village Apartments</v>
      </c>
    </row>
    <row r="13" spans="1:10" ht="15">
      <c r="A13" s="517"/>
      <c r="D13" s="516" t="s">
        <v>2607</v>
      </c>
      <c r="F13" s="1026" t="str">
        <f>'Sensitivity Analysis'!E8</f>
        <v>2022-522</v>
      </c>
    </row>
    <row r="14" spans="1:10" ht="15">
      <c r="A14" s="517"/>
      <c r="D14" s="516" t="s">
        <v>2608</v>
      </c>
      <c r="F14" s="1026" t="str">
        <f>'Sensitivity Analysis'!H8</f>
        <v>Gainesville, Hall</v>
      </c>
    </row>
    <row r="15" spans="1:10" ht="15">
      <c r="A15" s="517"/>
      <c r="D15" s="516" t="s">
        <v>2949</v>
      </c>
      <c r="F15" s="3768">
        <f>'Sensitivity Analysis'!$C$25</f>
        <v>10500000</v>
      </c>
      <c r="G15" s="3768"/>
      <c r="H15" s="3768"/>
    </row>
    <row r="16" spans="1:10" ht="15">
      <c r="A16" s="517"/>
      <c r="D16" s="519" t="s">
        <v>2609</v>
      </c>
      <c r="F16" s="520">
        <f>'Sensitivity Analysis'!C13</f>
        <v>120</v>
      </c>
      <c r="G16" s="521" t="s">
        <v>2950</v>
      </c>
      <c r="H16" s="974">
        <f>'Sensitivity Analysis'!E13</f>
        <v>120</v>
      </c>
    </row>
    <row r="17" spans="1:18" ht="15">
      <c r="A17" s="517"/>
      <c r="D17" s="519" t="s">
        <v>2578</v>
      </c>
      <c r="F17" s="520" t="str">
        <f>'Sensitivity Analysis'!C14</f>
        <v>Family</v>
      </c>
    </row>
    <row r="18" spans="1:18" ht="15">
      <c r="A18" s="517"/>
      <c r="D18" s="519" t="s">
        <v>2954</v>
      </c>
      <c r="F18" s="1026" t="str">
        <f>'Sensitivity Analysis'!H15</f>
        <v>Urban</v>
      </c>
    </row>
    <row r="19" spans="1:18" ht="15">
      <c r="A19" s="517"/>
      <c r="D19" s="519" t="s">
        <v>2951</v>
      </c>
      <c r="F19" s="1026" t="str">
        <f>'Sensitivity Analysis'!E16</f>
        <v>No</v>
      </c>
    </row>
    <row r="20" spans="1:18" ht="15">
      <c r="A20" s="517"/>
      <c r="D20" s="519"/>
    </row>
    <row r="21" spans="1:18" ht="15">
      <c r="A21" s="522" t="s">
        <v>6163</v>
      </c>
    </row>
    <row r="22" spans="1:18" ht="111.75" customHeight="1">
      <c r="A22" s="3774" t="s">
        <v>3102</v>
      </c>
      <c r="B22" s="3774"/>
      <c r="C22" s="3774"/>
      <c r="D22" s="3774"/>
      <c r="E22" s="3774"/>
      <c r="F22" s="3774"/>
      <c r="G22" s="3774"/>
      <c r="H22" s="3774"/>
      <c r="I22" s="3774"/>
      <c r="J22" s="3774"/>
      <c r="K22" s="3776" t="s">
        <v>3903</v>
      </c>
      <c r="L22" s="3776"/>
      <c r="M22" s="3776"/>
      <c r="N22" s="3776"/>
      <c r="O22" s="1258"/>
      <c r="P22" s="1258"/>
      <c r="Q22" s="1258"/>
      <c r="R22" s="1258"/>
    </row>
    <row r="23" spans="1:18" ht="0.75" hidden="1" customHeight="1">
      <c r="A23" s="1251"/>
      <c r="B23" s="1251"/>
      <c r="C23" s="1251"/>
      <c r="D23" s="1251"/>
      <c r="E23" s="1251"/>
      <c r="F23" s="1251"/>
      <c r="G23" s="1251"/>
      <c r="H23" s="1251"/>
      <c r="I23" s="1251"/>
      <c r="J23" s="1251"/>
    </row>
    <row r="24" spans="1:18" ht="9.75" hidden="1" customHeight="1">
      <c r="A24" s="3781"/>
      <c r="B24" s="3781"/>
      <c r="C24" s="3781"/>
      <c r="D24" s="3781"/>
      <c r="E24" s="3781"/>
      <c r="F24" s="3781"/>
      <c r="G24" s="3781"/>
      <c r="H24" s="3781"/>
      <c r="I24" s="3781"/>
      <c r="J24" s="3781"/>
    </row>
    <row r="25" spans="1:18" ht="10.5" hidden="1" customHeight="1">
      <c r="A25" s="3751"/>
      <c r="B25" s="3751"/>
      <c r="C25" s="3751"/>
      <c r="D25" s="3751"/>
      <c r="E25" s="3751"/>
      <c r="F25" s="3751"/>
      <c r="G25" s="3751"/>
      <c r="H25" s="3751"/>
      <c r="I25" s="3751"/>
      <c r="J25" s="3751"/>
    </row>
    <row r="26" spans="1:18" ht="15">
      <c r="A26" s="522" t="s">
        <v>6162</v>
      </c>
    </row>
    <row r="27" spans="1:18" ht="14.25" customHeight="1">
      <c r="A27" s="3782" t="s">
        <v>6164</v>
      </c>
      <c r="B27" s="3782"/>
      <c r="C27" s="3782"/>
      <c r="D27" s="3782"/>
      <c r="E27" s="3782"/>
      <c r="F27" s="3782"/>
      <c r="G27" s="3782"/>
      <c r="H27" s="3782"/>
      <c r="I27" s="3782"/>
      <c r="J27" s="3782"/>
    </row>
    <row r="28" spans="1:18" ht="14.25" customHeight="1">
      <c r="A28" s="3782"/>
      <c r="B28" s="3782"/>
      <c r="C28" s="3782"/>
      <c r="D28" s="3782"/>
      <c r="E28" s="3782"/>
      <c r="F28" s="3782"/>
      <c r="G28" s="3782"/>
      <c r="H28" s="3782"/>
      <c r="I28" s="3782"/>
      <c r="J28" s="3782"/>
    </row>
    <row r="29" spans="1:18" ht="6.75" customHeight="1">
      <c r="A29" s="3782"/>
      <c r="B29" s="3782"/>
      <c r="C29" s="3782"/>
      <c r="D29" s="3782"/>
      <c r="E29" s="3782"/>
      <c r="F29" s="3782"/>
      <c r="G29" s="3782"/>
      <c r="H29" s="3782"/>
      <c r="I29" s="3782"/>
      <c r="J29" s="3782"/>
    </row>
    <row r="30" spans="1:18" ht="21.75" customHeight="1">
      <c r="A30" s="3782"/>
      <c r="B30" s="3782"/>
      <c r="C30" s="3782"/>
      <c r="D30" s="3782"/>
      <c r="E30" s="3782"/>
      <c r="F30" s="3782"/>
      <c r="G30" s="3782"/>
      <c r="H30" s="3782"/>
      <c r="I30" s="3782"/>
      <c r="J30" s="3782"/>
    </row>
    <row r="31" spans="1:18" ht="20.25" customHeight="1">
      <c r="A31" s="3782"/>
      <c r="B31" s="3782"/>
      <c r="C31" s="3782"/>
      <c r="D31" s="3782"/>
      <c r="E31" s="3782"/>
      <c r="F31" s="3782"/>
      <c r="G31" s="3782"/>
      <c r="H31" s="3782"/>
      <c r="I31" s="3782"/>
      <c r="J31" s="3782"/>
    </row>
    <row r="32" spans="1:18" ht="54.75" customHeight="1">
      <c r="A32" s="3782"/>
      <c r="B32" s="3782"/>
      <c r="C32" s="3782"/>
      <c r="D32" s="3782"/>
      <c r="E32" s="3782"/>
      <c r="F32" s="3782"/>
      <c r="G32" s="3782"/>
      <c r="H32" s="3782"/>
      <c r="I32" s="3782"/>
      <c r="J32" s="3782"/>
    </row>
    <row r="33" spans="1:10" ht="0.75" hidden="1" customHeight="1">
      <c r="A33" s="3782"/>
      <c r="B33" s="3782"/>
      <c r="C33" s="3782"/>
      <c r="D33" s="3782"/>
      <c r="E33" s="3782"/>
      <c r="F33" s="3782"/>
      <c r="G33" s="3782"/>
      <c r="H33" s="3782"/>
      <c r="I33" s="3782"/>
      <c r="J33" s="3782"/>
    </row>
    <row r="34" spans="1:10" ht="3.75" hidden="1" customHeight="1">
      <c r="A34" s="3782"/>
      <c r="B34" s="3782"/>
      <c r="C34" s="3782"/>
      <c r="D34" s="3782"/>
      <c r="E34" s="3782"/>
      <c r="F34" s="3782"/>
      <c r="G34" s="3782"/>
      <c r="H34" s="3782"/>
      <c r="I34" s="3782"/>
      <c r="J34" s="3782"/>
    </row>
    <row r="35" spans="1:10" ht="5.25" customHeight="1">
      <c r="A35" s="1253"/>
      <c r="B35" s="1253"/>
      <c r="C35" s="1253"/>
      <c r="D35" s="1253"/>
      <c r="E35" s="1253"/>
      <c r="F35" s="1253"/>
      <c r="G35" s="1253"/>
      <c r="H35" s="1253"/>
      <c r="I35" s="1253"/>
      <c r="J35" s="1253"/>
    </row>
    <row r="36" spans="1:10" ht="19.5" customHeight="1">
      <c r="A36" s="3781" t="s">
        <v>6165</v>
      </c>
      <c r="B36" s="3781"/>
      <c r="C36" s="3781"/>
      <c r="D36" s="1251"/>
      <c r="E36" s="1251"/>
      <c r="F36" s="1251"/>
      <c r="G36" s="1251"/>
      <c r="H36" s="1251"/>
      <c r="I36" s="1251"/>
      <c r="J36" s="1251"/>
    </row>
    <row r="37" spans="1:10" ht="22.5" customHeight="1">
      <c r="A37" s="3751" t="s">
        <v>1615</v>
      </c>
      <c r="B37" s="3751"/>
      <c r="C37" s="3751"/>
      <c r="D37" s="3751"/>
      <c r="E37" s="3751"/>
      <c r="F37" s="3751"/>
      <c r="G37" s="3751"/>
      <c r="H37" s="3751"/>
      <c r="I37" s="3751"/>
      <c r="J37" s="3751"/>
    </row>
    <row r="38" spans="1:10" ht="22.5" customHeight="1">
      <c r="A38" s="3751" t="s">
        <v>1616</v>
      </c>
      <c r="B38" s="3751"/>
      <c r="C38" s="3751"/>
      <c r="D38" s="3751"/>
      <c r="E38" s="3751"/>
      <c r="F38" s="3751"/>
      <c r="G38" s="3751"/>
      <c r="H38" s="3751"/>
      <c r="I38" s="3751"/>
      <c r="J38" s="3751"/>
    </row>
    <row r="39" spans="1:10" ht="22.5" customHeight="1">
      <c r="A39" s="3751" t="s">
        <v>1617</v>
      </c>
      <c r="B39" s="3751"/>
      <c r="C39" s="3751"/>
      <c r="D39" s="3751"/>
      <c r="E39" s="3751"/>
      <c r="F39" s="3751"/>
      <c r="G39" s="3751"/>
      <c r="H39" s="3751"/>
      <c r="I39" s="3751"/>
      <c r="J39" s="3751"/>
    </row>
    <row r="40" spans="1:10" ht="22.5" customHeight="1">
      <c r="A40" s="3751" t="s">
        <v>2183</v>
      </c>
      <c r="B40" s="3751"/>
      <c r="C40" s="3751"/>
      <c r="D40" s="3751"/>
      <c r="E40" s="3751"/>
      <c r="F40" s="3751"/>
      <c r="G40" s="3751"/>
      <c r="H40" s="3751"/>
      <c r="I40" s="3751"/>
      <c r="J40" s="3751"/>
    </row>
    <row r="41" spans="1:10" ht="22.5" customHeight="1">
      <c r="A41" s="3751" t="s">
        <v>1449</v>
      </c>
      <c r="B41" s="3751"/>
      <c r="C41" s="3751"/>
      <c r="D41" s="3751"/>
      <c r="E41" s="3751"/>
      <c r="F41" s="3751"/>
      <c r="G41" s="3751"/>
      <c r="H41" s="3751"/>
      <c r="I41" s="3751"/>
      <c r="J41" s="3751"/>
    </row>
    <row r="42" spans="1:10" ht="22.5" customHeight="1">
      <c r="A42" s="3751" t="s">
        <v>1450</v>
      </c>
      <c r="B42" s="3751"/>
      <c r="C42" s="3751"/>
      <c r="D42" s="3751"/>
      <c r="E42" s="3751"/>
      <c r="F42" s="3751"/>
      <c r="G42" s="3751"/>
      <c r="H42" s="3751"/>
      <c r="I42" s="3751"/>
      <c r="J42" s="3751"/>
    </row>
    <row r="43" spans="1:10" ht="22.5" customHeight="1">
      <c r="A43" s="3751" t="s">
        <v>93</v>
      </c>
      <c r="B43" s="3751"/>
      <c r="C43" s="3751"/>
      <c r="D43" s="3751"/>
      <c r="E43" s="3751"/>
      <c r="F43" s="3751"/>
      <c r="G43" s="3751"/>
      <c r="H43" s="3751"/>
      <c r="I43" s="3751"/>
      <c r="J43" s="3751"/>
    </row>
    <row r="44" spans="1:10" ht="22.5" customHeight="1">
      <c r="A44" s="3751" t="s">
        <v>481</v>
      </c>
      <c r="B44" s="3751"/>
      <c r="C44" s="3751"/>
      <c r="D44" s="3751"/>
      <c r="E44" s="3751"/>
      <c r="F44" s="3751"/>
      <c r="G44" s="3751"/>
      <c r="H44" s="3751"/>
      <c r="I44" s="3751"/>
      <c r="J44" s="3751"/>
    </row>
    <row r="45" spans="1:10" ht="2.25" customHeight="1">
      <c r="A45" s="1251"/>
      <c r="B45" s="1251"/>
      <c r="C45" s="1251"/>
      <c r="D45" s="1251"/>
      <c r="E45" s="1251"/>
      <c r="F45" s="1251"/>
      <c r="G45" s="1251"/>
      <c r="H45" s="1251"/>
      <c r="I45" s="1251"/>
      <c r="J45" s="1251"/>
    </row>
    <row r="46" spans="1:10" ht="15">
      <c r="A46" s="522" t="s">
        <v>2610</v>
      </c>
    </row>
    <row r="47" spans="1:10" ht="135" customHeight="1">
      <c r="A47" s="3751" t="s">
        <v>6166</v>
      </c>
      <c r="B47" s="3751"/>
      <c r="C47" s="3751"/>
      <c r="D47" s="3751"/>
      <c r="E47" s="3751"/>
      <c r="F47" s="3751"/>
      <c r="G47" s="3751"/>
      <c r="H47" s="3751"/>
      <c r="I47" s="3751"/>
      <c r="J47" s="3751"/>
    </row>
    <row r="48" spans="1:10" ht="6" customHeight="1">
      <c r="A48" s="1252"/>
      <c r="B48" s="1252"/>
      <c r="C48" s="1252"/>
      <c r="D48" s="1252"/>
      <c r="E48" s="1252"/>
      <c r="F48" s="1252"/>
      <c r="G48" s="1252"/>
      <c r="H48" s="1252"/>
      <c r="I48" s="1252"/>
      <c r="J48" s="1252"/>
    </row>
    <row r="49" spans="1:12" ht="15">
      <c r="A49" s="522" t="s">
        <v>2611</v>
      </c>
    </row>
    <row r="50" spans="1:12" ht="33" customHeight="1">
      <c r="A50" s="3747" t="s">
        <v>3456</v>
      </c>
      <c r="B50" s="3749"/>
      <c r="C50" s="3749"/>
      <c r="D50" s="3749"/>
      <c r="E50" s="3749"/>
      <c r="F50" s="3749"/>
      <c r="G50" s="3749"/>
      <c r="H50" s="3749"/>
      <c r="I50" s="3749"/>
      <c r="J50" s="3747"/>
    </row>
    <row r="51" spans="1:12" ht="3" customHeight="1"/>
    <row r="52" spans="1:12" ht="72.75" customHeight="1">
      <c r="A52" s="3747" t="s">
        <v>3457</v>
      </c>
      <c r="B52" s="3747"/>
      <c r="C52" s="3747"/>
      <c r="D52" s="3747"/>
      <c r="E52" s="3747"/>
      <c r="F52" s="3747"/>
      <c r="G52" s="3747"/>
      <c r="H52" s="3747"/>
      <c r="I52" s="3747"/>
      <c r="J52" s="3747"/>
    </row>
    <row r="53" spans="1:12" ht="3" customHeight="1">
      <c r="A53" s="1251"/>
      <c r="B53" s="1251"/>
      <c r="C53" s="1251"/>
      <c r="D53" s="1251"/>
      <c r="E53" s="1251"/>
      <c r="F53" s="1251"/>
      <c r="G53" s="1251"/>
      <c r="H53" s="1251"/>
      <c r="I53" s="1251"/>
      <c r="J53" s="1251"/>
    </row>
    <row r="54" spans="1:12" ht="56.25" customHeight="1">
      <c r="A54" s="3747" t="s">
        <v>3458</v>
      </c>
      <c r="B54" s="3747"/>
      <c r="C54" s="3747"/>
      <c r="D54" s="3747"/>
      <c r="E54" s="3747"/>
      <c r="F54" s="3747"/>
      <c r="G54" s="3747"/>
      <c r="H54" s="3747"/>
      <c r="I54" s="3747"/>
      <c r="J54" s="3747"/>
    </row>
    <row r="55" spans="1:12" ht="3" customHeight="1">
      <c r="A55" s="1251"/>
      <c r="B55" s="1251"/>
      <c r="C55" s="1251"/>
      <c r="D55" s="1251"/>
      <c r="E55" s="1251"/>
      <c r="F55" s="1251"/>
      <c r="G55" s="1251"/>
      <c r="H55" s="1251"/>
      <c r="I55" s="1251"/>
      <c r="J55" s="1251"/>
    </row>
    <row r="56" spans="1:12" ht="49.5" customHeight="1">
      <c r="A56" s="3747" t="s">
        <v>3459</v>
      </c>
      <c r="B56" s="3747"/>
      <c r="C56" s="3747"/>
      <c r="D56" s="3747"/>
      <c r="E56" s="3747"/>
      <c r="F56" s="3747"/>
      <c r="G56" s="3747"/>
      <c r="H56" s="3747"/>
      <c r="I56" s="3747"/>
      <c r="J56" s="1251"/>
    </row>
    <row r="57" spans="1:12" ht="3" customHeight="1">
      <c r="A57" s="1251"/>
      <c r="B57" s="1251"/>
      <c r="C57" s="1251"/>
      <c r="D57" s="1251"/>
      <c r="E57" s="1251"/>
      <c r="F57" s="1251"/>
      <c r="G57" s="1251"/>
      <c r="H57" s="1251"/>
      <c r="I57" s="1251"/>
      <c r="J57" s="1251"/>
    </row>
    <row r="58" spans="1:12" ht="54.75" customHeight="1">
      <c r="A58" s="3773" t="s">
        <v>2959</v>
      </c>
      <c r="B58" s="3747"/>
      <c r="C58" s="3747"/>
      <c r="D58" s="3747"/>
      <c r="E58" s="3747"/>
      <c r="F58" s="3747"/>
      <c r="G58" s="3747"/>
      <c r="H58" s="3747"/>
      <c r="I58" s="3747"/>
      <c r="J58" s="1251"/>
    </row>
    <row r="59" spans="1:12" ht="3" customHeight="1">
      <c r="A59" s="1251"/>
      <c r="B59" s="1251"/>
      <c r="C59" s="1251"/>
      <c r="D59" s="1251"/>
      <c r="E59" s="1251"/>
      <c r="F59" s="1251"/>
      <c r="G59" s="1251"/>
      <c r="H59" s="1251"/>
      <c r="I59" s="1251"/>
      <c r="J59" s="1251"/>
    </row>
    <row r="60" spans="1:12" ht="62.25" customHeight="1">
      <c r="A60" s="3747" t="s">
        <v>3460</v>
      </c>
      <c r="B60" s="3747"/>
      <c r="C60" s="3747"/>
      <c r="D60" s="3747"/>
      <c r="E60" s="3747"/>
      <c r="F60" s="3747"/>
      <c r="G60" s="3747"/>
      <c r="H60" s="3747"/>
      <c r="I60" s="3747"/>
      <c r="J60" s="3747"/>
    </row>
    <row r="61" spans="1:12" ht="3" customHeight="1"/>
    <row r="62" spans="1:12" ht="73.5" customHeight="1">
      <c r="A62" s="3747" t="s">
        <v>3461</v>
      </c>
      <c r="B62" s="3747"/>
      <c r="C62" s="3747"/>
      <c r="D62" s="3747"/>
      <c r="E62" s="3747"/>
      <c r="F62" s="3747"/>
      <c r="G62" s="3747"/>
      <c r="H62" s="3747"/>
      <c r="I62" s="3747"/>
      <c r="J62" s="3747"/>
    </row>
    <row r="63" spans="1:12" ht="6" customHeight="1">
      <c r="A63" s="1251" t="s">
        <v>233</v>
      </c>
      <c r="B63" s="1251"/>
      <c r="C63" s="1251"/>
      <c r="D63" s="1251"/>
      <c r="E63" s="1251"/>
      <c r="F63" s="1251"/>
      <c r="G63" s="1251"/>
      <c r="H63" s="1251"/>
      <c r="I63" s="1251"/>
      <c r="J63" s="1251"/>
    </row>
    <row r="64" spans="1:12" ht="15">
      <c r="A64" s="522" t="s">
        <v>2612</v>
      </c>
      <c r="L64" s="523" t="s">
        <v>3094</v>
      </c>
    </row>
    <row r="65" spans="1:17" ht="46.5" customHeight="1">
      <c r="A65" s="3774" t="s">
        <v>2613</v>
      </c>
      <c r="B65" s="3774"/>
      <c r="C65" s="3774"/>
      <c r="D65" s="3774"/>
      <c r="E65" s="3774"/>
      <c r="F65" s="3774"/>
      <c r="G65" s="3774"/>
      <c r="H65" s="3774"/>
      <c r="I65" s="3774"/>
      <c r="J65" s="3774"/>
      <c r="L65" s="524">
        <f>'Closing term sheet'!C135</f>
        <v>1320000</v>
      </c>
      <c r="M65" s="525"/>
      <c r="N65" s="525"/>
      <c r="O65" s="525"/>
    </row>
    <row r="66" spans="1:17" ht="7.5" customHeight="1">
      <c r="A66" s="1251"/>
      <c r="B66" s="1251"/>
      <c r="C66" s="1251"/>
      <c r="D66" s="1251"/>
      <c r="E66" s="1251"/>
      <c r="F66" s="1251"/>
      <c r="G66" s="1251"/>
      <c r="H66" s="1251"/>
      <c r="I66" s="1251"/>
      <c r="J66" s="1251"/>
      <c r="L66" s="526" t="s">
        <v>3095</v>
      </c>
      <c r="M66" s="527" t="s">
        <v>3100</v>
      </c>
      <c r="N66" s="528" t="s">
        <v>3097</v>
      </c>
      <c r="O66" s="526" t="s">
        <v>3096</v>
      </c>
      <c r="P66" s="527" t="s">
        <v>3099</v>
      </c>
      <c r="Q66" s="528" t="s">
        <v>3098</v>
      </c>
    </row>
    <row r="67" spans="1:17" ht="78.75" customHeight="1">
      <c r="A67" s="3747"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13877516 via the syndication of the 2021 Federal LIHTC allocation of 1734863 per annum. will make a capital contribution totaling 11970555 via the syndication of the 2021 State LIHTC allocation of 1734863 per annum.</v>
      </c>
      <c r="B67" s="3747"/>
      <c r="C67" s="3747"/>
      <c r="D67" s="3747"/>
      <c r="E67" s="3747"/>
      <c r="F67" s="3747"/>
      <c r="G67" s="3747"/>
      <c r="H67" s="3747"/>
      <c r="I67" s="3747"/>
      <c r="J67" s="529"/>
      <c r="L67" s="530">
        <f>'Part II-Sources of Funds'!I51</f>
        <v>13877516</v>
      </c>
      <c r="M67" s="531">
        <f>'Part III-A-Uses of Funds'!$J$191</f>
        <v>1734863</v>
      </c>
      <c r="N67" s="532">
        <f>'Part III-A-Uses of Funds'!N182</f>
        <v>0.8</v>
      </c>
      <c r="O67" s="530">
        <f>'Part II-Sources of Funds'!I52</f>
        <v>11970555</v>
      </c>
      <c r="P67" s="531">
        <f>M67</f>
        <v>1734863</v>
      </c>
      <c r="Q67" s="532">
        <f>'Part III-A-Uses of Funds'!Q182</f>
        <v>0.68899999999999995</v>
      </c>
    </row>
    <row r="68" spans="1:17" ht="39.75" customHeight="1">
      <c r="A68" s="375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1.489 (0.8 Federal tax credit and 0.689 State tax credit) for a (X%) ownership interest of the Federal Credits and a (X%) ownership interest of the State Credits. </v>
      </c>
      <c r="B68" s="3751"/>
      <c r="C68" s="3751"/>
      <c r="D68" s="3751"/>
      <c r="E68" s="3751"/>
      <c r="F68" s="3751"/>
      <c r="G68" s="3751"/>
      <c r="H68" s="3751"/>
      <c r="I68" s="3751"/>
      <c r="J68" s="529"/>
      <c r="L68" s="1554"/>
      <c r="M68" s="1554"/>
      <c r="N68" s="635"/>
      <c r="O68" s="1554"/>
      <c r="P68" s="1554"/>
      <c r="Q68" s="635"/>
    </row>
    <row r="69" spans="1:17" ht="18.75" customHeight="1">
      <c r="A69" s="533" t="s">
        <v>2614</v>
      </c>
    </row>
    <row r="70" spans="1:17" ht="177" customHeight="1">
      <c r="A70" s="3747" t="s">
        <v>6167</v>
      </c>
      <c r="B70" s="3747"/>
      <c r="C70" s="3747"/>
      <c r="D70" s="3747"/>
      <c r="E70" s="3747"/>
      <c r="F70" s="3747"/>
      <c r="G70" s="3747"/>
      <c r="H70" s="3747"/>
      <c r="I70" s="3747"/>
      <c r="J70" s="3747"/>
      <c r="L70" s="534">
        <f>'Part VI-Pro Forma'!K72</f>
        <v>8139403.4263032796</v>
      </c>
      <c r="M70" s="3775" t="s">
        <v>3101</v>
      </c>
      <c r="N70" s="3776"/>
    </row>
    <row r="71" spans="1:17" ht="6" customHeight="1">
      <c r="A71" s="522"/>
    </row>
    <row r="72" spans="1:17" ht="15">
      <c r="A72" s="522" t="s">
        <v>2615</v>
      </c>
    </row>
    <row r="73" spans="1:17" ht="72.599999999999994" customHeight="1">
      <c r="A73" s="3747" t="s">
        <v>2616</v>
      </c>
      <c r="B73" s="3747"/>
      <c r="C73" s="3747"/>
      <c r="D73" s="3747"/>
      <c r="E73" s="3747"/>
      <c r="F73" s="3747"/>
      <c r="G73" s="3747"/>
      <c r="H73" s="3747"/>
      <c r="I73" s="3747"/>
      <c r="J73" s="3747"/>
    </row>
    <row r="74" spans="1:17" ht="36" customHeight="1">
      <c r="A74" s="3747" t="s">
        <v>2617</v>
      </c>
      <c r="B74" s="3747"/>
      <c r="C74" s="3747"/>
      <c r="D74" s="3747"/>
      <c r="E74" s="3747"/>
      <c r="F74" s="3747"/>
      <c r="G74" s="3747"/>
      <c r="H74" s="3747"/>
      <c r="I74" s="3747"/>
      <c r="J74" s="3747"/>
    </row>
    <row r="75" spans="1:17" ht="6" customHeight="1">
      <c r="A75" s="522"/>
    </row>
    <row r="76" spans="1:17" ht="15">
      <c r="A76" s="522" t="s">
        <v>2618</v>
      </c>
    </row>
    <row r="77" spans="1:17" ht="105.75" customHeight="1">
      <c r="A77" s="3747" t="s">
        <v>2619</v>
      </c>
      <c r="B77" s="3747"/>
      <c r="C77" s="3747"/>
      <c r="D77" s="3747"/>
      <c r="E77" s="3747"/>
      <c r="F77" s="3747"/>
      <c r="G77" s="3747"/>
      <c r="H77" s="3747"/>
      <c r="I77" s="3747"/>
      <c r="J77" s="3747"/>
    </row>
    <row r="78" spans="1:17" ht="6" customHeight="1">
      <c r="A78" s="522"/>
    </row>
    <row r="79" spans="1:17" ht="15">
      <c r="A79" s="522" t="s">
        <v>2620</v>
      </c>
    </row>
    <row r="80" spans="1:17" ht="66" customHeight="1">
      <c r="A80" s="3747" t="s">
        <v>2621</v>
      </c>
      <c r="B80" s="3747"/>
      <c r="C80" s="3747"/>
      <c r="D80" s="3747"/>
      <c r="E80" s="3747"/>
      <c r="F80" s="3747"/>
      <c r="G80" s="3747"/>
      <c r="H80" s="3747"/>
      <c r="I80" s="3747"/>
      <c r="J80" s="3747"/>
    </row>
    <row r="81" spans="1:15" s="1253" customFormat="1" ht="6" customHeight="1">
      <c r="A81" s="3747"/>
      <c r="B81" s="3747"/>
      <c r="C81" s="3747"/>
      <c r="D81" s="3747"/>
      <c r="E81" s="3747"/>
      <c r="F81" s="3747"/>
      <c r="G81" s="3747"/>
      <c r="H81" s="3747"/>
      <c r="I81" s="3747"/>
      <c r="J81" s="3747"/>
    </row>
    <row r="82" spans="1:15" ht="16.5" customHeight="1">
      <c r="A82" s="1254" t="s">
        <v>2622</v>
      </c>
      <c r="B82" s="521"/>
      <c r="C82" s="521"/>
      <c r="D82" s="1026"/>
      <c r="E82" s="521"/>
      <c r="F82" s="521"/>
      <c r="G82" s="521"/>
      <c r="H82" s="521"/>
      <c r="I82" s="521"/>
      <c r="J82" s="535"/>
    </row>
    <row r="83" spans="1:15" s="1253" customFormat="1" ht="63" customHeight="1">
      <c r="A83" s="3747" t="s">
        <v>3663</v>
      </c>
      <c r="B83" s="3747"/>
      <c r="C83" s="3747"/>
      <c r="D83" s="3747"/>
      <c r="E83" s="3747"/>
      <c r="F83" s="3747"/>
      <c r="G83" s="3747"/>
      <c r="H83" s="3747"/>
      <c r="I83" s="3747"/>
      <c r="J83" s="3747"/>
    </row>
    <row r="84" spans="1:15" s="1253" customFormat="1" ht="6" customHeight="1">
      <c r="A84" s="1251"/>
      <c r="B84" s="1251"/>
      <c r="C84" s="1251"/>
      <c r="D84" s="1251"/>
      <c r="E84" s="1251"/>
      <c r="F84" s="1251"/>
      <c r="G84" s="1251"/>
      <c r="H84" s="1251"/>
      <c r="I84" s="1251"/>
      <c r="J84" s="1251"/>
    </row>
    <row r="85" spans="1:15" ht="16.5" customHeight="1">
      <c r="A85" s="3778" t="s">
        <v>2623</v>
      </c>
      <c r="B85" s="3779"/>
      <c r="C85" s="3779"/>
      <c r="D85" s="521"/>
      <c r="E85" s="521"/>
      <c r="F85" s="521"/>
      <c r="G85" s="521"/>
      <c r="H85" s="521"/>
      <c r="I85" s="521"/>
      <c r="J85" s="535"/>
    </row>
    <row r="86" spans="1:15" ht="41.25" customHeight="1">
      <c r="A86" s="3747" t="s">
        <v>6168</v>
      </c>
      <c r="B86" s="3780"/>
      <c r="C86" s="3780"/>
      <c r="D86" s="3780"/>
      <c r="E86" s="3780"/>
      <c r="F86" s="3780"/>
      <c r="G86" s="3780"/>
      <c r="H86" s="3780"/>
      <c r="I86" s="3780"/>
      <c r="J86" s="3780"/>
    </row>
    <row r="87" spans="1:15" ht="6" customHeight="1">
      <c r="A87" s="536"/>
      <c r="B87" s="521"/>
      <c r="C87" s="521"/>
      <c r="D87" s="521"/>
      <c r="E87" s="521"/>
      <c r="F87" s="521"/>
      <c r="G87" s="521"/>
      <c r="H87" s="521"/>
      <c r="I87" s="521"/>
      <c r="J87" s="535"/>
    </row>
    <row r="88" spans="1:15" ht="15">
      <c r="A88" s="522" t="s">
        <v>2624</v>
      </c>
    </row>
    <row r="89" spans="1:15" ht="124.15" customHeight="1">
      <c r="A89" s="3747" t="s">
        <v>2625</v>
      </c>
      <c r="B89" s="3747"/>
      <c r="C89" s="3747"/>
      <c r="D89" s="3747"/>
      <c r="E89" s="3747"/>
      <c r="F89" s="3747"/>
      <c r="G89" s="3747"/>
      <c r="H89" s="3747"/>
      <c r="I89" s="3747"/>
      <c r="J89" s="3747"/>
      <c r="L89" s="3776" t="s">
        <v>2626</v>
      </c>
      <c r="M89" s="3776"/>
      <c r="N89" s="3776"/>
    </row>
    <row r="90" spans="1:15" ht="6" customHeight="1">
      <c r="A90" s="1251"/>
      <c r="B90" s="1251"/>
      <c r="C90" s="1251"/>
      <c r="D90" s="1251"/>
      <c r="E90" s="1251"/>
      <c r="F90" s="1251"/>
      <c r="G90" s="1251"/>
      <c r="H90" s="1251"/>
      <c r="I90" s="1251"/>
      <c r="J90" s="1251"/>
      <c r="L90" s="1255"/>
      <c r="M90" s="1255"/>
      <c r="N90" s="1255"/>
    </row>
    <row r="91" spans="1:15" ht="17.25" customHeight="1">
      <c r="A91" s="522" t="s">
        <v>2627</v>
      </c>
    </row>
    <row r="92" spans="1:15" ht="105" customHeight="1">
      <c r="A92" s="3747" t="s">
        <v>2628</v>
      </c>
      <c r="B92" s="3747"/>
      <c r="C92" s="3747"/>
      <c r="D92" s="3747"/>
      <c r="E92" s="3747"/>
      <c r="F92" s="3747"/>
      <c r="G92" s="3747"/>
      <c r="H92" s="3747"/>
      <c r="I92" s="3747"/>
      <c r="J92" s="3747"/>
      <c r="L92" s="3776" t="s">
        <v>2629</v>
      </c>
      <c r="M92" s="3776"/>
      <c r="N92" s="537" t="e">
        <f>'After-Tax Analysis'!G66</f>
        <v>#VALUE!</v>
      </c>
      <c r="O92" s="538" t="s">
        <v>2630</v>
      </c>
    </row>
    <row r="93" spans="1:15" ht="6" customHeight="1">
      <c r="A93" s="522"/>
    </row>
    <row r="94" spans="1:15" ht="15">
      <c r="A94" s="522" t="s">
        <v>2631</v>
      </c>
    </row>
    <row r="95" spans="1:15" ht="118.5" customHeight="1">
      <c r="A95" s="3747" t="s">
        <v>2632</v>
      </c>
      <c r="B95" s="3747"/>
      <c r="C95" s="3747"/>
      <c r="D95" s="3747"/>
      <c r="E95" s="3747"/>
      <c r="F95" s="3747"/>
      <c r="G95" s="3747"/>
      <c r="H95" s="3747"/>
      <c r="I95" s="3747"/>
      <c r="J95" s="3747"/>
    </row>
    <row r="96" spans="1:15" ht="20.25" customHeight="1">
      <c r="A96" s="3749" t="s">
        <v>2633</v>
      </c>
      <c r="B96" s="3749"/>
      <c r="C96" s="3749"/>
      <c r="D96" s="3747"/>
      <c r="E96" s="1251"/>
      <c r="F96" s="1251"/>
      <c r="G96" s="1251"/>
      <c r="H96" s="1251"/>
      <c r="I96" s="1251"/>
      <c r="J96" s="1251"/>
    </row>
    <row r="97" spans="1:14" ht="109.5" customHeight="1">
      <c r="A97" s="3771" t="s">
        <v>2634</v>
      </c>
      <c r="B97" s="3772"/>
      <c r="C97" s="3772"/>
      <c r="D97" s="3772"/>
      <c r="E97" s="3772"/>
      <c r="F97" s="3772"/>
      <c r="G97" s="3772"/>
      <c r="H97" s="3772"/>
      <c r="I97" s="3772"/>
      <c r="J97" s="3772"/>
    </row>
    <row r="98" spans="1:14" ht="11.25" customHeight="1">
      <c r="A98" s="522"/>
    </row>
    <row r="99" spans="1:14" ht="15">
      <c r="A99" s="522" t="s">
        <v>2635</v>
      </c>
    </row>
    <row r="100" spans="1:14" ht="110.45" customHeight="1">
      <c r="A100" s="3774" t="s">
        <v>2636</v>
      </c>
      <c r="B100" s="3774"/>
      <c r="C100" s="3774"/>
      <c r="D100" s="3774"/>
      <c r="E100" s="3774"/>
      <c r="F100" s="3774"/>
      <c r="G100" s="3774"/>
      <c r="H100" s="3774"/>
      <c r="I100" s="3774"/>
      <c r="J100" s="3774"/>
      <c r="L100" s="977">
        <f>'Part VI-Pro Forma'!K72</f>
        <v>8139403.4263032796</v>
      </c>
      <c r="M100" s="3777" t="s">
        <v>2637</v>
      </c>
      <c r="N100" s="3777"/>
    </row>
    <row r="101" spans="1:14" ht="11.25" hidden="1" customHeight="1">
      <c r="A101" s="1251"/>
      <c r="B101" s="1251"/>
      <c r="C101" s="1251"/>
      <c r="D101" s="1251"/>
      <c r="E101" s="1251"/>
      <c r="F101" s="1251"/>
      <c r="G101" s="1251"/>
      <c r="H101" s="1251"/>
      <c r="I101" s="1251"/>
      <c r="J101" s="1251"/>
    </row>
    <row r="102" spans="1:14" ht="12" hidden="1" customHeight="1">
      <c r="A102" s="1251"/>
      <c r="B102" s="1251"/>
      <c r="C102" s="1251"/>
      <c r="D102" s="1251"/>
      <c r="E102" s="1251"/>
      <c r="F102" s="1251"/>
      <c r="G102" s="1251"/>
      <c r="H102" s="1251"/>
      <c r="I102" s="1251"/>
      <c r="J102" s="535"/>
    </row>
    <row r="103" spans="1:14" ht="6" customHeight="1">
      <c r="A103" s="1251"/>
      <c r="B103" s="1251"/>
      <c r="C103" s="1251"/>
      <c r="D103" s="1251"/>
      <c r="E103" s="1251"/>
      <c r="F103" s="1251"/>
      <c r="G103" s="1251"/>
      <c r="H103" s="1251"/>
      <c r="I103" s="1251"/>
      <c r="J103" s="535"/>
    </row>
    <row r="104" spans="1:14" ht="17.25" customHeight="1">
      <c r="A104" s="3749" t="s">
        <v>2638</v>
      </c>
      <c r="B104" s="3749"/>
      <c r="C104" s="3749"/>
      <c r="D104" s="1251"/>
      <c r="E104" s="1251"/>
      <c r="F104" s="1251"/>
      <c r="G104" s="1251"/>
      <c r="H104" s="1251"/>
      <c r="I104" s="1251"/>
      <c r="J104" s="535"/>
    </row>
    <row r="105" spans="1:14" ht="37.5" customHeight="1">
      <c r="A105" s="3747" t="s">
        <v>2639</v>
      </c>
      <c r="B105" s="3747"/>
      <c r="C105" s="3747"/>
      <c r="D105" s="3747"/>
      <c r="E105" s="3747"/>
      <c r="F105" s="3747"/>
      <c r="G105" s="3747"/>
      <c r="H105" s="3747"/>
      <c r="I105" s="3747"/>
      <c r="J105" s="3747"/>
    </row>
    <row r="106" spans="1:14" ht="6" customHeight="1">
      <c r="A106" s="522"/>
    </row>
    <row r="107" spans="1:14" ht="15">
      <c r="A107" s="522" t="s">
        <v>2640</v>
      </c>
    </row>
    <row r="108" spans="1:14" ht="43.5" customHeight="1">
      <c r="A108" s="3747" t="s">
        <v>2641</v>
      </c>
      <c r="B108" s="3747"/>
      <c r="C108" s="3747"/>
      <c r="D108" s="3747"/>
      <c r="E108" s="3747"/>
      <c r="F108" s="3747"/>
      <c r="G108" s="3747"/>
      <c r="H108" s="3747"/>
      <c r="I108" s="3747"/>
      <c r="J108" s="3747"/>
    </row>
    <row r="109" spans="1:14" ht="6" customHeight="1">
      <c r="A109" s="1251"/>
      <c r="B109" s="1251"/>
      <c r="C109" s="1251"/>
      <c r="D109" s="1251"/>
      <c r="E109" s="1251"/>
      <c r="F109" s="1251"/>
      <c r="G109" s="1251"/>
      <c r="H109" s="1251"/>
      <c r="I109" s="1251"/>
      <c r="J109" s="1251"/>
    </row>
    <row r="110" spans="1:14" ht="15">
      <c r="A110" s="522" t="s">
        <v>2642</v>
      </c>
    </row>
    <row r="112" spans="1:14" ht="18.75" thickBot="1">
      <c r="A112" s="516" t="s">
        <v>2643</v>
      </c>
      <c r="G112" s="1492"/>
      <c r="H112" s="516" t="s">
        <v>2644</v>
      </c>
    </row>
    <row r="115" spans="1:10" ht="13.9" customHeight="1" thickBot="1">
      <c r="G115" s="1492"/>
      <c r="H115" s="516" t="s">
        <v>2645</v>
      </c>
    </row>
    <row r="116" spans="1:10">
      <c r="A116" s="516" t="s">
        <v>2646</v>
      </c>
    </row>
    <row r="119" spans="1:10" ht="15" thickBot="1">
      <c r="A119" s="539"/>
      <c r="B119" s="539"/>
      <c r="C119" s="539"/>
      <c r="D119" s="539"/>
      <c r="F119" s="539"/>
      <c r="G119" s="539"/>
      <c r="H119" s="539"/>
      <c r="I119" s="539"/>
      <c r="J119" s="539"/>
    </row>
    <row r="120" spans="1:10">
      <c r="A120" s="3769" t="s">
        <v>6070</v>
      </c>
      <c r="B120" s="3769"/>
      <c r="C120" s="3769"/>
      <c r="D120" s="3769"/>
      <c r="E120" s="3770"/>
      <c r="F120" s="1490" t="s">
        <v>6071</v>
      </c>
      <c r="G120" s="1490"/>
      <c r="H120" s="1490"/>
      <c r="I120" s="1490"/>
      <c r="J120" s="1490"/>
    </row>
    <row r="122" spans="1:10" ht="15" thickBot="1">
      <c r="A122" s="516" t="s">
        <v>2647</v>
      </c>
      <c r="B122" s="539"/>
      <c r="C122" s="539"/>
      <c r="H122" s="516" t="s">
        <v>2647</v>
      </c>
      <c r="I122" s="1491"/>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85546875" customWidth="1"/>
    <col min="8" max="8" width="6.5703125" customWidth="1"/>
    <col min="9" max="9" width="19.140625" customWidth="1"/>
    <col min="10" max="10" width="6.5703125" customWidth="1"/>
    <col min="11" max="11" width="18.85546875" customWidth="1"/>
    <col min="12" max="12" width="7.5703125" customWidth="1"/>
    <col min="13" max="17" width="10.85546875" customWidth="1"/>
  </cols>
  <sheetData>
    <row r="1" spans="1:14" s="10" customFormat="1" ht="18">
      <c r="A1" s="968" t="s">
        <v>2648</v>
      </c>
      <c r="B1" s="550"/>
      <c r="C1" s="550"/>
      <c r="D1" s="550"/>
      <c r="E1" s="550"/>
      <c r="F1" s="550"/>
      <c r="G1" s="550"/>
      <c r="H1" s="550"/>
      <c r="I1" s="550"/>
      <c r="J1" s="550"/>
      <c r="K1" s="550"/>
      <c r="L1" s="510"/>
      <c r="M1" s="510"/>
    </row>
    <row r="2" spans="1:14" s="10" customFormat="1" ht="18">
      <c r="A2" s="968" t="str">
        <f>+"Financial Analysis for:  "&amp;E8&amp;"  "&amp;C8</f>
        <v>Financial Analysis for:  2022-522  Harrison Village Apartments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2649</v>
      </c>
      <c r="B7" s="507"/>
      <c r="C7" s="544"/>
      <c r="D7" s="507"/>
      <c r="E7" s="507"/>
      <c r="F7" s="510" t="s">
        <v>2961</v>
      </c>
      <c r="G7" s="507"/>
      <c r="H7" s="378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3784"/>
      <c r="J7" s="3784"/>
      <c r="K7" s="3784"/>
      <c r="L7" s="507"/>
      <c r="M7" s="507"/>
    </row>
    <row r="8" spans="1:14" ht="15.75">
      <c r="A8" s="510" t="s">
        <v>2650</v>
      </c>
      <c r="B8" s="510"/>
      <c r="C8" s="3784" t="str">
        <f>'Part I-Project Identification'!F29</f>
        <v>Harrison Village Apartments</v>
      </c>
      <c r="D8" s="3784"/>
      <c r="E8" s="1022" t="str">
        <f>'Part I-Project Identification'!O7</f>
        <v>2022-522</v>
      </c>
      <c r="F8" s="510" t="s">
        <v>2651</v>
      </c>
      <c r="G8" s="507"/>
      <c r="H8" s="3784" t="str">
        <f>CONCATENATE('Part I-Project Identification'!F30,", ",'Part I-Project Identification'!J30)</f>
        <v>Gainesville, Hall</v>
      </c>
      <c r="I8" s="3784"/>
      <c r="J8" s="3784"/>
      <c r="K8" s="3784"/>
      <c r="L8" s="507"/>
      <c r="M8" s="545"/>
    </row>
    <row r="9" spans="1:14" ht="15.75">
      <c r="A9" s="510" t="s">
        <v>2653</v>
      </c>
      <c r="B9" s="510"/>
      <c r="C9" s="3784" t="s">
        <v>1647</v>
      </c>
      <c r="D9" s="3784"/>
      <c r="E9" s="507"/>
      <c r="F9" s="510" t="s">
        <v>2654</v>
      </c>
      <c r="G9" s="507"/>
      <c r="H9" s="3784" t="str">
        <f>'Part II-Development Team'!H6</f>
        <v>(Enter name as it will appear on all legal documents)</v>
      </c>
      <c r="I9" s="3784"/>
      <c r="J9" s="3784"/>
      <c r="K9" s="3784"/>
      <c r="L9" s="3784"/>
      <c r="M9" s="545"/>
    </row>
    <row r="10" spans="1:14" ht="15.75">
      <c r="A10" s="510" t="s">
        <v>2656</v>
      </c>
      <c r="B10" s="507"/>
      <c r="C10" s="1022">
        <f>'Part II-Development Team'!H15</f>
        <v>0</v>
      </c>
      <c r="D10" s="507"/>
      <c r="E10" s="507"/>
      <c r="F10" s="510" t="s">
        <v>3135</v>
      </c>
      <c r="G10" s="507"/>
      <c r="H10" s="3784">
        <f>'Part II-Development Team'!H34</f>
        <v>0</v>
      </c>
      <c r="I10" s="3784"/>
      <c r="J10" s="3784"/>
      <c r="K10" s="3784">
        <f>'Part II-Development Team'!H40</f>
        <v>0</v>
      </c>
      <c r="L10" s="3784"/>
    </row>
    <row r="11" spans="1:14" ht="15.75">
      <c r="A11" s="510" t="s">
        <v>2657</v>
      </c>
      <c r="B11" s="507"/>
      <c r="C11" s="1022" t="str">
        <f>IF('Part II-Development Team'!H21="","",'Part II-Development Team'!H21)</f>
        <v/>
      </c>
      <c r="D11" s="507"/>
      <c r="E11" s="562" t="str">
        <f>IF('Part II-Development Team'!H27="","",'Part II-Development Team'!H27)</f>
        <v/>
      </c>
      <c r="F11" s="510" t="s">
        <v>606</v>
      </c>
      <c r="G11" s="507"/>
      <c r="H11" s="3784">
        <f>'Part II-Development Team'!H55</f>
        <v>0</v>
      </c>
      <c r="I11" s="3784"/>
      <c r="J11" s="3784"/>
      <c r="K11" s="3784">
        <f>'Part II-Development Team'!H61</f>
        <v>0</v>
      </c>
      <c r="L11" s="3784"/>
      <c r="M11" s="3784">
        <f>'Part II-Development Team'!H67</f>
        <v>0</v>
      </c>
      <c r="N11" s="3784"/>
    </row>
    <row r="12" spans="1:14" ht="15.75">
      <c r="A12" s="510" t="s">
        <v>2658</v>
      </c>
      <c r="B12" s="507"/>
      <c r="C12" s="1022">
        <f>'Part II-Development Team'!H87</f>
        <v>0</v>
      </c>
      <c r="D12" s="507"/>
      <c r="E12" s="507"/>
      <c r="F12" s="510" t="s">
        <v>2659</v>
      </c>
      <c r="G12" s="507"/>
      <c r="H12" s="3784">
        <f>'Part II-Development Team'!H93</f>
        <v>0</v>
      </c>
      <c r="I12" s="3784"/>
      <c r="J12" s="3784"/>
      <c r="K12" s="3784"/>
      <c r="L12" s="507"/>
      <c r="M12" s="507"/>
    </row>
    <row r="13" spans="1:14" ht="15.75">
      <c r="A13" s="510" t="s">
        <v>2660</v>
      </c>
      <c r="B13" s="510"/>
      <c r="C13" s="506">
        <f>'Part V-Revenues &amp; Expenses'!$P$67</f>
        <v>120</v>
      </c>
      <c r="E13" s="972">
        <f>'Part V-Revenues &amp; Expenses'!$P$63</f>
        <v>120</v>
      </c>
      <c r="F13" s="510" t="s">
        <v>3455</v>
      </c>
      <c r="G13" s="507"/>
      <c r="H13" s="1023" t="e">
        <f>'Part I-Project Identification'!#REF!</f>
        <v>#REF!</v>
      </c>
      <c r="I13" s="973"/>
      <c r="J13" s="973"/>
      <c r="K13" s="1023">
        <f>'Part V-Revenues &amp; Expenses'!K175</f>
        <v>155630</v>
      </c>
      <c r="L13" s="507"/>
      <c r="M13" s="507"/>
    </row>
    <row r="14" spans="1:14" ht="15.75">
      <c r="A14" s="510" t="s">
        <v>2952</v>
      </c>
      <c r="B14" s="507"/>
      <c r="C14" s="1023" t="e">
        <f>'Part I-Project Identification'!#REF!</f>
        <v>#REF!</v>
      </c>
      <c r="D14" s="3784" t="e">
        <f>IF('Part V-Revenues &amp; Expenses'!#REF!=0,"",'Part V-Revenues &amp; Expenses'!#REF!)</f>
        <v>#REF!</v>
      </c>
      <c r="E14" s="3784"/>
      <c r="F14" s="510" t="s">
        <v>2661</v>
      </c>
      <c r="G14" s="507"/>
      <c r="H14" s="3765" t="s">
        <v>3103</v>
      </c>
      <c r="I14" s="3765"/>
      <c r="J14" s="3765"/>
      <c r="K14" s="3765" t="s">
        <v>3103</v>
      </c>
      <c r="L14" s="3765"/>
      <c r="M14" s="507"/>
    </row>
    <row r="15" spans="1:14" ht="15.75">
      <c r="A15" s="510" t="s">
        <v>2662</v>
      </c>
      <c r="B15" s="507"/>
      <c r="C15" s="546" t="s">
        <v>1647</v>
      </c>
      <c r="D15" s="507"/>
      <c r="E15" s="507"/>
      <c r="F15" s="510" t="s">
        <v>2953</v>
      </c>
      <c r="G15" s="507"/>
      <c r="H15" s="1022" t="str">
        <f>'Part I-Project Identification'!K32</f>
        <v>Urban</v>
      </c>
      <c r="I15" s="507"/>
      <c r="J15" s="507"/>
      <c r="K15" s="507"/>
      <c r="L15" s="507"/>
      <c r="M15" s="507"/>
    </row>
    <row r="16" spans="1:14" ht="15.75">
      <c r="A16" s="510" t="s">
        <v>3130</v>
      </c>
      <c r="B16" s="507"/>
      <c r="C16" s="1022" t="str">
        <f>'Part VIII Scoring Criteria'!P41</f>
        <v>No</v>
      </c>
      <c r="D16" s="547" t="s">
        <v>2445</v>
      </c>
      <c r="E16" s="1022" t="str">
        <f>'Part VIII Scoring Criteria'!P47</f>
        <v>No</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2955</v>
      </c>
      <c r="B18" s="507"/>
      <c r="C18" s="1025">
        <f>'Part III-A-Uses of Funds'!G146</f>
        <v>36348071</v>
      </c>
      <c r="D18" s="1005">
        <f>IF(C18=0,"",$C$29/C18)</f>
        <v>0.28887365164440226</v>
      </c>
      <c r="E18" s="507" t="s">
        <v>2956</v>
      </c>
      <c r="F18" s="510" t="s">
        <v>2957</v>
      </c>
      <c r="G18" s="507"/>
      <c r="H18" s="3783">
        <f>'Part III-A-Uses of Funds'!C49</f>
        <v>25038091</v>
      </c>
      <c r="I18" s="3783"/>
      <c r="J18" s="1004">
        <f>IF(H18=0,"",$C$29/H18)</f>
        <v>0.41936104473779573</v>
      </c>
      <c r="K18" s="3784" t="s">
        <v>2958</v>
      </c>
      <c r="L18" s="3784"/>
      <c r="M18" s="507"/>
    </row>
    <row r="19" spans="1:13" ht="15.75">
      <c r="A19" s="510" t="s">
        <v>2663</v>
      </c>
      <c r="B19" s="507"/>
      <c r="C19" s="1024">
        <f>C18/C13</f>
        <v>302900.59166666667</v>
      </c>
      <c r="D19" s="507"/>
      <c r="E19" s="507"/>
      <c r="F19" s="510" t="s">
        <v>2663</v>
      </c>
      <c r="G19" s="507"/>
      <c r="H19" s="3785">
        <f>H18/C13</f>
        <v>208650.75833333333</v>
      </c>
      <c r="I19" s="3785"/>
      <c r="J19" s="507"/>
      <c r="K19" s="507"/>
      <c r="L19" s="507"/>
      <c r="M19" s="507"/>
    </row>
    <row r="20" spans="1:13" ht="15.75">
      <c r="A20" s="510" t="s">
        <v>2664</v>
      </c>
      <c r="B20" s="507"/>
      <c r="C20" s="1022">
        <f>C18/K13</f>
        <v>233.55439825226497</v>
      </c>
      <c r="D20" s="548"/>
      <c r="E20" s="548"/>
      <c r="F20" s="510" t="s">
        <v>2664</v>
      </c>
      <c r="G20" s="507"/>
      <c r="H20" s="3784">
        <f>H18/K13</f>
        <v>160.88216282207802</v>
      </c>
      <c r="I20" s="3785"/>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2665</v>
      </c>
      <c r="B23" s="540"/>
      <c r="C23" s="540"/>
      <c r="D23" s="540"/>
      <c r="E23" s="507"/>
      <c r="F23" s="507"/>
      <c r="G23" s="507"/>
      <c r="H23" s="507"/>
      <c r="I23" s="507"/>
      <c r="J23" s="507"/>
      <c r="K23" s="507"/>
      <c r="L23" s="507"/>
      <c r="M23" s="545"/>
    </row>
    <row r="24" spans="1:13" ht="27" customHeight="1">
      <c r="A24" s="507"/>
      <c r="B24" s="507"/>
      <c r="C24" s="507"/>
      <c r="D24" s="551" t="s">
        <v>2666</v>
      </c>
      <c r="E24" s="507"/>
      <c r="F24" s="507"/>
      <c r="G24" s="507"/>
      <c r="H24" s="507"/>
      <c r="I24" s="507"/>
      <c r="J24" s="507"/>
      <c r="K24" s="507"/>
      <c r="L24" s="507"/>
      <c r="M24" s="545"/>
    </row>
    <row r="25" spans="1:13" ht="15.75">
      <c r="A25" s="510" t="s">
        <v>2667</v>
      </c>
      <c r="B25" s="552" t="str">
        <f>'Part II-Sources of Funds'!E40</f>
        <v>Bellwether (Freddie TEL)</v>
      </c>
      <c r="C25" s="553">
        <f>'Part II-Sources of Funds'!I40</f>
        <v>10500000</v>
      </c>
      <c r="D25" s="554" t="s">
        <v>2668</v>
      </c>
      <c r="E25" s="507"/>
      <c r="F25" s="507"/>
      <c r="G25" s="507" t="s">
        <v>2669</v>
      </c>
      <c r="H25" s="507"/>
      <c r="I25" s="507"/>
      <c r="K25" s="553"/>
      <c r="L25" s="507"/>
      <c r="M25" s="545"/>
    </row>
    <row r="26" spans="1:13" ht="15">
      <c r="A26" s="507"/>
      <c r="B26" s="552"/>
      <c r="C26" s="553"/>
      <c r="D26" s="554"/>
      <c r="E26" s="507"/>
      <c r="F26" s="507"/>
      <c r="G26" s="507" t="s">
        <v>2670</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2671</v>
      </c>
      <c r="H28" s="507"/>
      <c r="I28" s="507"/>
      <c r="K28" s="553"/>
      <c r="L28" s="507"/>
      <c r="M28" s="507"/>
    </row>
    <row r="29" spans="1:13" ht="16.5" thickBot="1">
      <c r="A29" s="507"/>
      <c r="B29" s="556" t="s">
        <v>2672</v>
      </c>
      <c r="C29" s="557">
        <f>SUM(C25:C27)</f>
        <v>10500000</v>
      </c>
      <c r="D29" s="507"/>
      <c r="E29" s="507"/>
      <c r="F29" s="507"/>
      <c r="G29" s="507" t="s">
        <v>2673</v>
      </c>
      <c r="H29" s="507"/>
      <c r="I29" s="507"/>
      <c r="K29" s="555" t="e">
        <f>C29/K28</f>
        <v>#DIV/0!</v>
      </c>
      <c r="L29" s="507"/>
      <c r="M29" s="507"/>
    </row>
    <row r="30" spans="1:13" ht="16.5" thickTop="1">
      <c r="A30" s="510" t="s">
        <v>2674</v>
      </c>
      <c r="B30" s="556"/>
      <c r="C30" s="558">
        <f>'Part II-Sources of Funds'!$I$51+'Part II-Sources of Funds'!$I$52</f>
        <v>25848071</v>
      </c>
      <c r="D30" s="507"/>
      <c r="E30" s="507"/>
      <c r="F30" s="507"/>
      <c r="G30" s="507"/>
      <c r="H30" s="507"/>
      <c r="I30" s="507"/>
      <c r="K30" s="559"/>
      <c r="L30" s="507"/>
      <c r="M30" s="507"/>
    </row>
    <row r="31" spans="1:13" ht="15">
      <c r="A31" s="560" t="s">
        <v>2675</v>
      </c>
      <c r="B31" s="552">
        <f>'Part II-Sources of Funds'!E41</f>
        <v>0</v>
      </c>
      <c r="C31" s="553">
        <f>'Part II-Sources of Funds'!I41</f>
        <v>0</v>
      </c>
      <c r="D31" s="554"/>
      <c r="E31" s="507"/>
      <c r="F31" s="507"/>
      <c r="G31" s="507"/>
      <c r="H31" s="507"/>
      <c r="I31" s="507"/>
      <c r="K31" s="507"/>
      <c r="L31" s="507"/>
      <c r="M31" s="507"/>
    </row>
    <row r="32" spans="1:13" ht="15">
      <c r="A32" s="560" t="s">
        <v>2675</v>
      </c>
      <c r="B32" s="552">
        <f>'Part II-Sources of Funds'!E42</f>
        <v>0</v>
      </c>
      <c r="C32" s="553">
        <f>'Part II-Sources of Funds'!I42</f>
        <v>0</v>
      </c>
      <c r="D32" s="554"/>
      <c r="E32" s="507" t="s">
        <v>233</v>
      </c>
      <c r="F32" s="507"/>
      <c r="G32" s="507" t="s">
        <v>2676</v>
      </c>
      <c r="H32" s="507"/>
      <c r="I32" s="507"/>
      <c r="K32" s="553"/>
      <c r="L32" s="507"/>
      <c r="M32" s="507"/>
    </row>
    <row r="33" spans="1:13" ht="15">
      <c r="A33" s="560" t="s">
        <v>2675</v>
      </c>
      <c r="B33" s="552">
        <f>'Part II-Sources of Funds'!E43</f>
        <v>0</v>
      </c>
      <c r="C33" s="553">
        <f>'Part II-Sources of Funds'!I43</f>
        <v>0</v>
      </c>
      <c r="D33" s="554"/>
      <c r="E33" s="507"/>
      <c r="F33" s="507"/>
      <c r="G33" s="975" t="s">
        <v>2677</v>
      </c>
      <c r="H33" s="975"/>
      <c r="I33" s="975"/>
      <c r="K33" s="555" t="e">
        <f>$C$29/K32</f>
        <v>#DIV/0!</v>
      </c>
      <c r="L33" s="507"/>
      <c r="M33" s="561"/>
    </row>
    <row r="34" spans="1:13" ht="15.75">
      <c r="A34" s="507"/>
      <c r="B34" s="556" t="s">
        <v>2678</v>
      </c>
      <c r="C34" s="558">
        <f>SUM(C31:C33)</f>
        <v>0</v>
      </c>
      <c r="D34" s="507"/>
      <c r="E34" s="507"/>
      <c r="F34" s="507"/>
      <c r="G34" s="507"/>
      <c r="H34" s="507"/>
      <c r="I34" s="507"/>
      <c r="K34" s="507"/>
      <c r="L34" s="507"/>
      <c r="M34" s="561"/>
    </row>
    <row r="35" spans="1:13" ht="15.75">
      <c r="A35" s="507"/>
      <c r="B35" s="556"/>
      <c r="C35" s="507"/>
      <c r="D35" s="507"/>
      <c r="E35" s="507"/>
      <c r="F35" s="507"/>
      <c r="G35" s="975" t="s">
        <v>2679</v>
      </c>
      <c r="H35" s="975"/>
      <c r="I35" s="975"/>
      <c r="K35" s="562" t="e">
        <f>(C36)/K25</f>
        <v>#DIV/0!</v>
      </c>
      <c r="L35" s="507"/>
      <c r="M35" s="507"/>
    </row>
    <row r="36" spans="1:13" ht="15.75">
      <c r="A36" s="507"/>
      <c r="B36" s="556" t="s">
        <v>2680</v>
      </c>
      <c r="C36" s="558">
        <f>C29+C34</f>
        <v>10500000</v>
      </c>
      <c r="D36" s="507"/>
      <c r="E36" s="507"/>
      <c r="F36" s="507"/>
      <c r="G36" s="507"/>
      <c r="H36" s="507"/>
      <c r="I36" s="507"/>
      <c r="K36" s="507"/>
      <c r="L36" s="507"/>
      <c r="M36" s="507"/>
    </row>
    <row r="37" spans="1:13" ht="15.75">
      <c r="A37" s="507"/>
      <c r="B37" s="556"/>
      <c r="C37" s="559"/>
      <c r="D37" s="507"/>
      <c r="E37" s="507"/>
      <c r="F37" s="507"/>
      <c r="G37" s="975" t="s">
        <v>2681</v>
      </c>
      <c r="H37" s="975"/>
      <c r="I37" s="975"/>
      <c r="K37" s="976" t="e">
        <f>+(C36)/K32</f>
        <v>#DIV/0!</v>
      </c>
      <c r="L37" s="507"/>
      <c r="M37" s="561"/>
    </row>
    <row r="38" spans="1:13" ht="15.75">
      <c r="A38" s="507"/>
      <c r="B38" s="556" t="s">
        <v>2682</v>
      </c>
      <c r="C38" s="563">
        <f>C36/C18</f>
        <v>0.28887365164440226</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2683</v>
      </c>
      <c r="C40" s="563">
        <f>C36/H18</f>
        <v>0.41936104473779573</v>
      </c>
      <c r="D40" s="507"/>
      <c r="E40" s="507"/>
      <c r="F40" s="510"/>
      <c r="G40" s="510" t="s">
        <v>2684</v>
      </c>
      <c r="H40" s="507"/>
      <c r="I40" s="507"/>
      <c r="K40" s="555">
        <f>C30/C18</f>
        <v>0.71112634835559774</v>
      </c>
      <c r="L40" s="507"/>
      <c r="M40" s="507"/>
    </row>
    <row r="46" spans="1:13" ht="15.75">
      <c r="A46" s="550" t="s">
        <v>2685</v>
      </c>
      <c r="B46" s="540"/>
      <c r="C46" s="540"/>
      <c r="D46" s="540"/>
      <c r="E46" s="540"/>
      <c r="F46" s="540"/>
      <c r="G46" s="540"/>
      <c r="H46" s="540"/>
      <c r="I46" s="540"/>
      <c r="J46" s="540"/>
      <c r="K46" s="540"/>
      <c r="L46" s="540"/>
      <c r="M46" s="507"/>
    </row>
    <row r="47" spans="1:13" ht="15.75">
      <c r="A47" s="550" t="str">
        <f>C8</f>
        <v>Harrison Village Apartments</v>
      </c>
      <c r="B47" s="540"/>
      <c r="C47" s="540"/>
      <c r="D47" s="540"/>
      <c r="E47" s="540"/>
      <c r="F47" s="540"/>
      <c r="G47" s="540"/>
      <c r="H47" s="540"/>
      <c r="I47" s="540"/>
      <c r="J47" s="540"/>
      <c r="K47" s="540"/>
      <c r="L47" s="540"/>
      <c r="M47" s="507"/>
    </row>
    <row r="50" spans="1:14" s="507" customFormat="1" ht="15.75">
      <c r="A50" s="510" t="s">
        <v>2686</v>
      </c>
      <c r="C50" s="561" t="s">
        <v>2687</v>
      </c>
      <c r="E50" s="564" t="s">
        <v>3104</v>
      </c>
      <c r="F50" s="565">
        <v>0.1</v>
      </c>
      <c r="G50" s="564" t="s">
        <v>3105</v>
      </c>
      <c r="H50" s="565">
        <v>0.05</v>
      </c>
      <c r="I50" s="564" t="s">
        <v>3106</v>
      </c>
      <c r="J50" s="565">
        <v>0.03</v>
      </c>
      <c r="K50" s="3759" t="s">
        <v>2688</v>
      </c>
      <c r="L50" s="3760"/>
      <c r="M50"/>
      <c r="N50"/>
    </row>
    <row r="51" spans="1:14" s="507" customFormat="1" ht="15.75">
      <c r="A51" s="510"/>
      <c r="C51" s="561"/>
      <c r="E51" s="561"/>
      <c r="F51" s="566"/>
      <c r="G51" s="561"/>
      <c r="H51" s="566"/>
      <c r="I51" s="561"/>
      <c r="J51" s="566"/>
      <c r="K51" s="561"/>
      <c r="M51"/>
      <c r="N51"/>
    </row>
    <row r="52" spans="1:14" s="507" customFormat="1" ht="18.75" customHeight="1">
      <c r="B52" s="567" t="s">
        <v>2689</v>
      </c>
      <c r="C52" s="568">
        <f>'Part VI-Pro Forma'!B15</f>
        <v>1876692</v>
      </c>
      <c r="D52" s="568"/>
      <c r="E52" s="568">
        <f>$C$52</f>
        <v>1876692</v>
      </c>
      <c r="F52" s="568"/>
      <c r="G52" s="568">
        <f>$C$52</f>
        <v>1876692</v>
      </c>
      <c r="H52" s="568"/>
      <c r="I52" s="568">
        <f>$C$52</f>
        <v>1876692</v>
      </c>
      <c r="J52" s="568"/>
      <c r="K52" s="568">
        <f>$C$52</f>
        <v>1876692</v>
      </c>
      <c r="L52" s="569"/>
      <c r="M52"/>
      <c r="N52"/>
    </row>
    <row r="53" spans="1:14" s="507" customFormat="1" ht="18.75" customHeight="1">
      <c r="B53" s="567" t="s">
        <v>2692</v>
      </c>
      <c r="C53" s="568">
        <f>'Part VI-Pro Forma'!B16</f>
        <v>37533.840000000004</v>
      </c>
      <c r="D53" s="568"/>
      <c r="E53" s="568">
        <f>$C$53</f>
        <v>37533.840000000004</v>
      </c>
      <c r="F53" s="568"/>
      <c r="G53" s="568">
        <f>$C$53</f>
        <v>37533.840000000004</v>
      </c>
      <c r="H53" s="568"/>
      <c r="I53" s="568">
        <f>$C$53</f>
        <v>37533.840000000004</v>
      </c>
      <c r="J53" s="568"/>
      <c r="K53" s="568">
        <f>$C$53</f>
        <v>37533.840000000004</v>
      </c>
      <c r="L53" s="569"/>
      <c r="M53"/>
      <c r="N53"/>
    </row>
    <row r="54" spans="1:14" s="507" customFormat="1" ht="18.75" customHeight="1">
      <c r="B54" s="567" t="s">
        <v>2690</v>
      </c>
      <c r="C54" s="568">
        <f>'Part VI-Pro Forma'!B17</f>
        <v>-133995.80880000003</v>
      </c>
      <c r="D54" s="568"/>
      <c r="E54" s="568">
        <f>-($C$52+E53)*F50</f>
        <v>-191422.58400000003</v>
      </c>
      <c r="F54" s="570"/>
      <c r="G54" s="568">
        <f>-($C$52+G53)*0.07</f>
        <v>-133995.80880000003</v>
      </c>
      <c r="H54" s="568"/>
      <c r="I54" s="568">
        <f>-($C$52+I53)*0.07</f>
        <v>-133995.80880000003</v>
      </c>
      <c r="J54" s="568"/>
      <c r="K54" s="568">
        <f>-($C$52+K53)*L54</f>
        <v>-191422.58400000003</v>
      </c>
      <c r="L54" s="571">
        <v>0.1</v>
      </c>
      <c r="M54"/>
      <c r="N54"/>
    </row>
    <row r="55" spans="1:14" s="507" customFormat="1" ht="18.75" customHeight="1">
      <c r="B55" s="567" t="s">
        <v>2691</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2693</v>
      </c>
      <c r="C56" s="574">
        <f>SUM(C52:C55)</f>
        <v>1780230.0312000001</v>
      </c>
      <c r="D56" s="568"/>
      <c r="E56" s="574">
        <f>SUM(E52:E55)</f>
        <v>1722803.2560000001</v>
      </c>
      <c r="F56" s="568"/>
      <c r="G56" s="574">
        <f>SUM(G52:G55)</f>
        <v>1780230.0312000001</v>
      </c>
      <c r="H56" s="568"/>
      <c r="I56" s="574">
        <f>SUM(I52:I55)</f>
        <v>1780230.0312000001</v>
      </c>
      <c r="J56" s="568"/>
      <c r="K56" s="574">
        <f>SUM(K52:K55)</f>
        <v>1722803.2560000001</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2694</v>
      </c>
      <c r="C58" s="568">
        <f>+'Part V-Revenues &amp; Expenses'!F227+'Part V-Revenues &amp; Expenses'!F236+'Part V-Revenues &amp; Expenses'!L223+'Part V-Revenues &amp; Expenses'!L231</f>
        <v>384520</v>
      </c>
      <c r="D58" s="568"/>
      <c r="E58" s="568">
        <f>$C$58</f>
        <v>384520</v>
      </c>
      <c r="F58" s="568"/>
      <c r="G58" s="568">
        <f>$C$58</f>
        <v>384520</v>
      </c>
      <c r="H58" s="568"/>
      <c r="I58" s="568">
        <f>$C$58</f>
        <v>384520</v>
      </c>
      <c r="J58" s="568"/>
      <c r="K58" s="568">
        <f>$C$58</f>
        <v>384520</v>
      </c>
      <c r="L58" s="569"/>
      <c r="M58"/>
      <c r="N58"/>
    </row>
    <row r="59" spans="1:14" s="507" customFormat="1" ht="18.75" customHeight="1">
      <c r="B59" s="567" t="s">
        <v>2695</v>
      </c>
      <c r="C59" s="568">
        <f>+'Part V-Revenues &amp; Expenses'!F247</f>
        <v>120720</v>
      </c>
      <c r="D59" s="568"/>
      <c r="E59" s="568">
        <f>$C$59</f>
        <v>120720</v>
      </c>
      <c r="F59" s="568"/>
      <c r="G59" s="568">
        <f>$C$59</f>
        <v>120720</v>
      </c>
      <c r="H59" s="568"/>
      <c r="I59" s="568">
        <f>$C$59</f>
        <v>120720</v>
      </c>
      <c r="J59" s="568"/>
      <c r="K59" s="568">
        <f>$C$59*(1+$L$59)</f>
        <v>125548.8</v>
      </c>
      <c r="L59" s="575">
        <v>0.04</v>
      </c>
      <c r="M59"/>
      <c r="N59"/>
    </row>
    <row r="60" spans="1:14" s="507" customFormat="1" ht="18.75" customHeight="1">
      <c r="B60" s="567" t="s">
        <v>1298</v>
      </c>
      <c r="C60" s="568">
        <f>+'Part V-Revenues &amp; Expenses'!L241</f>
        <v>118800</v>
      </c>
      <c r="D60" s="568"/>
      <c r="E60" s="568">
        <f>$C$60</f>
        <v>118800</v>
      </c>
      <c r="F60" s="568"/>
      <c r="G60" s="568">
        <f>$C$60</f>
        <v>118800</v>
      </c>
      <c r="H60" s="568"/>
      <c r="I60" s="568">
        <f>$C$60*(1+$J$50)</f>
        <v>122364</v>
      </c>
      <c r="J60" s="570"/>
      <c r="K60" s="568">
        <f>$C$60*(1+$J$50)</f>
        <v>122364</v>
      </c>
      <c r="L60" s="571">
        <v>0.03</v>
      </c>
      <c r="M60"/>
      <c r="N60"/>
    </row>
    <row r="61" spans="1:14" s="507" customFormat="1" ht="18.75" customHeight="1">
      <c r="B61" s="567" t="s">
        <v>1299</v>
      </c>
      <c r="C61" s="568">
        <f>+'Part V-Revenues &amp; Expenses'!L247</f>
        <v>124320</v>
      </c>
      <c r="D61" s="568"/>
      <c r="E61" s="568">
        <f>$C$61</f>
        <v>124320</v>
      </c>
      <c r="F61" s="568"/>
      <c r="G61" s="568">
        <f>$C$61*(1+H50)</f>
        <v>130536</v>
      </c>
      <c r="H61" s="570"/>
      <c r="I61" s="568">
        <f>$C$61</f>
        <v>124320</v>
      </c>
      <c r="J61" s="568"/>
      <c r="K61" s="568">
        <f>$C$61*(1+$L$61)</f>
        <v>130536</v>
      </c>
      <c r="L61" s="571">
        <v>0.05</v>
      </c>
      <c r="M61"/>
      <c r="N61"/>
    </row>
    <row r="62" spans="1:14" s="507" customFormat="1" ht="18.75" customHeight="1">
      <c r="B62" s="573" t="s">
        <v>2696</v>
      </c>
      <c r="C62" s="574">
        <f>SUM(C58:C61)</f>
        <v>748360</v>
      </c>
      <c r="D62" s="568"/>
      <c r="E62" s="574">
        <f>SUM(E58:E61)</f>
        <v>748360</v>
      </c>
      <c r="F62" s="568"/>
      <c r="G62" s="574">
        <f>SUM(G58:G61)</f>
        <v>754576</v>
      </c>
      <c r="H62" s="568"/>
      <c r="I62" s="574">
        <f>SUM(I58:I61)</f>
        <v>751924</v>
      </c>
      <c r="J62" s="568"/>
      <c r="K62" s="574">
        <f>SUM(K58:K61)</f>
        <v>762968.8</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2697</v>
      </c>
      <c r="C64" s="577">
        <f>C56-C62</f>
        <v>1031870.0312000001</v>
      </c>
      <c r="D64" s="577"/>
      <c r="E64" s="577">
        <f>E56-E62</f>
        <v>974443.25600000005</v>
      </c>
      <c r="F64" s="577"/>
      <c r="G64" s="577">
        <f>G56-G62</f>
        <v>1025654.0312000001</v>
      </c>
      <c r="H64" s="577"/>
      <c r="I64" s="577">
        <f>I56-I62</f>
        <v>1028306.0312000001</v>
      </c>
      <c r="J64" s="577"/>
      <c r="K64" s="577">
        <f>K56-K62</f>
        <v>959834.45600000001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2698</v>
      </c>
      <c r="C66" s="568">
        <f>'Part V-Revenues &amp; Expenses'!Q234</f>
        <v>30000</v>
      </c>
      <c r="D66" s="568"/>
      <c r="E66" s="568">
        <f>$C$66</f>
        <v>30000</v>
      </c>
      <c r="F66" s="568"/>
      <c r="G66" s="568">
        <f>$C$66</f>
        <v>30000</v>
      </c>
      <c r="H66" s="568"/>
      <c r="I66" s="568">
        <f>$C$66</f>
        <v>30000</v>
      </c>
      <c r="J66" s="568"/>
      <c r="K66" s="568">
        <f>$C$66</f>
        <v>30000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2699</v>
      </c>
      <c r="C68" s="568">
        <f>'Part V-Revenues &amp; Expenses'!Q220</f>
        <v>115715</v>
      </c>
      <c r="D68" s="568"/>
      <c r="E68" s="568">
        <f>$C$68</f>
        <v>115715</v>
      </c>
      <c r="F68" s="568"/>
      <c r="G68" s="568">
        <f>$C$68</f>
        <v>115715</v>
      </c>
      <c r="H68" s="568"/>
      <c r="I68" s="568">
        <f>$C$68</f>
        <v>115715</v>
      </c>
      <c r="J68" s="568"/>
      <c r="K68" s="568">
        <f>$C$68</f>
        <v>115715</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2700</v>
      </c>
      <c r="C70" s="580">
        <f>C64-C66-C68</f>
        <v>886155.03120000008</v>
      </c>
      <c r="D70" s="577"/>
      <c r="E70" s="580">
        <f>E64-E66-E68</f>
        <v>828728.25600000005</v>
      </c>
      <c r="F70" s="577"/>
      <c r="G70" s="580">
        <f>G64-G66-G68</f>
        <v>879939.03120000008</v>
      </c>
      <c r="H70" s="577"/>
      <c r="I70" s="580">
        <f>I64-I66-I68</f>
        <v>882591.03120000008</v>
      </c>
      <c r="J70" s="577"/>
      <c r="K70" s="580">
        <f>K64-K66-K68</f>
        <v>814119.45600000001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2701</v>
      </c>
      <c r="C72" s="1006">
        <f>-C70/C75</f>
        <v>1.2457214756242938</v>
      </c>
      <c r="D72" s="581"/>
      <c r="E72" s="1006">
        <f>-E70/E75</f>
        <v>1.1649932005214434</v>
      </c>
      <c r="F72" s="581"/>
      <c r="G72" s="1006">
        <f>-G70/G75</f>
        <v>1.2369832702089336</v>
      </c>
      <c r="H72" s="581"/>
      <c r="I72" s="1006">
        <f>-I70/I75</f>
        <v>1.2407113462645216</v>
      </c>
      <c r="J72" s="581"/>
      <c r="K72" s="1006">
        <f>-K70/K75</f>
        <v>1.1444567308831044</v>
      </c>
      <c r="L72" s="4"/>
      <c r="M72" s="10"/>
      <c r="N72" s="10"/>
    </row>
    <row r="73" spans="1:14" s="507" customFormat="1" ht="18.75" customHeight="1">
      <c r="A73"/>
      <c r="B73" s="567" t="s">
        <v>2702</v>
      </c>
      <c r="C73" s="1007">
        <f>C76/C62</f>
        <v>0.23357228232466098</v>
      </c>
      <c r="D73" s="582"/>
      <c r="E73" s="1007">
        <f>E76/E62</f>
        <v>0.15683545085317663</v>
      </c>
      <c r="F73" s="582"/>
      <c r="G73" s="1007">
        <f>G76/G62</f>
        <v>0.22341043606009639</v>
      </c>
      <c r="H73" s="582"/>
      <c r="I73" s="1007">
        <f>I76/I62</f>
        <v>0.22772534617924592</v>
      </c>
      <c r="J73" s="582"/>
      <c r="K73" s="1007">
        <f>K76/K62</f>
        <v>0.13468516405976655</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2703</v>
      </c>
      <c r="C75" s="568">
        <f>+SUM('Part VI-Pro Forma'!B26:B29)</f>
        <v>-711358.87799951679</v>
      </c>
      <c r="D75" s="568"/>
      <c r="E75" s="568">
        <f>$C$75</f>
        <v>-711358.87799951679</v>
      </c>
      <c r="F75" s="568"/>
      <c r="G75" s="568">
        <f>$C$75</f>
        <v>-711358.87799951679</v>
      </c>
      <c r="H75" s="568"/>
      <c r="I75" s="568">
        <f>$C$75</f>
        <v>-711358.87799951679</v>
      </c>
      <c r="J75" s="568"/>
      <c r="K75" s="568">
        <f>$C$75</f>
        <v>-711358.87799951679</v>
      </c>
      <c r="L75" s="26"/>
      <c r="M75"/>
      <c r="N75"/>
    </row>
    <row r="76" spans="1:14" s="507" customFormat="1" ht="18.75" customHeight="1">
      <c r="A76"/>
      <c r="B76" s="567" t="s">
        <v>1097</v>
      </c>
      <c r="C76" s="568">
        <f>C70+C75</f>
        <v>174796.1532004833</v>
      </c>
      <c r="D76" s="568"/>
      <c r="E76" s="568">
        <f>E70+E75</f>
        <v>117369.37800048327</v>
      </c>
      <c r="F76" s="568"/>
      <c r="G76" s="568">
        <f>G70+G75</f>
        <v>168580.1532004833</v>
      </c>
      <c r="H76" s="568"/>
      <c r="I76" s="568">
        <f>I70+I75</f>
        <v>171232.1532004833</v>
      </c>
      <c r="J76" s="568"/>
      <c r="K76" s="568">
        <f>K70+K75</f>
        <v>102760.57800048322</v>
      </c>
      <c r="L76" s="26"/>
      <c r="M76"/>
      <c r="N76"/>
    </row>
    <row r="77" spans="1:14" s="507" customFormat="1" ht="15" hidden="1">
      <c r="A77"/>
      <c r="B77" s="567" t="s">
        <v>2704</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2705</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2706</v>
      </c>
      <c r="C80" s="583" t="e">
        <f>MIN(C77,E77,G77,I77,K77)</f>
        <v>#NAME?</v>
      </c>
      <c r="D80" s="567"/>
      <c r="E80" s="567" t="s">
        <v>2707</v>
      </c>
      <c r="F80" s="585">
        <v>0.06</v>
      </c>
      <c r="G80" s="26"/>
      <c r="H80" s="26"/>
      <c r="I80" s="26"/>
      <c r="J80" s="26"/>
      <c r="K80" s="26"/>
      <c r="L80" s="26"/>
      <c r="M80"/>
      <c r="N80"/>
    </row>
    <row r="81" spans="1:14" s="507" customFormat="1" ht="15" hidden="1">
      <c r="A81"/>
      <c r="B81" s="567" t="s">
        <v>1609</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140625" defaultRowHeight="12.75"/>
  <cols>
    <col min="1" max="1" width="24.85546875" style="955" customWidth="1"/>
    <col min="2" max="2" width="13.85546875" style="955" customWidth="1"/>
    <col min="3" max="11" width="10.5703125" style="955" customWidth="1"/>
    <col min="12" max="12" width="9.85546875" style="955" customWidth="1"/>
    <col min="13" max="21" width="10.5703125" style="955" customWidth="1"/>
    <col min="22" max="16384" width="9.140625" style="955"/>
  </cols>
  <sheetData>
    <row r="1" spans="1:7" ht="3" customHeight="1"/>
    <row r="2" spans="1:7">
      <c r="A2" s="954" t="s">
        <v>3419</v>
      </c>
    </row>
    <row r="3" spans="1:7" ht="3" customHeight="1"/>
    <row r="4" spans="1:7">
      <c r="A4" s="955" t="s">
        <v>3420</v>
      </c>
      <c r="B4" s="956">
        <f>+'Part III-A-Uses of Funds'!$G$146</f>
        <v>36348071</v>
      </c>
    </row>
    <row r="5" spans="1:7">
      <c r="A5" s="955" t="s">
        <v>3451</v>
      </c>
      <c r="B5" s="956">
        <f>+B18+B26+B38</f>
        <v>7624255.1766958116</v>
      </c>
    </row>
    <row r="6" spans="1:7">
      <c r="A6" s="955" t="s">
        <v>3421</v>
      </c>
      <c r="B6" s="957">
        <f>+B5-B4</f>
        <v>-28723815.823304188</v>
      </c>
    </row>
    <row r="7" spans="1:7">
      <c r="A7" s="955" t="s">
        <v>3422</v>
      </c>
      <c r="B7" s="958">
        <f>+B6/B4</f>
        <v>-0.7902431967656327</v>
      </c>
    </row>
    <row r="8" spans="1:7" ht="9" customHeight="1"/>
    <row r="9" spans="1:7">
      <c r="A9" s="955" t="s">
        <v>3423</v>
      </c>
      <c r="B9" s="956">
        <f>+B18+B26+B33</f>
        <v>7624255.1766958116</v>
      </c>
    </row>
    <row r="10" spans="1:7">
      <c r="A10" s="955" t="s">
        <v>3421</v>
      </c>
      <c r="B10" s="957">
        <f>+B9-B4</f>
        <v>-28723815.823304188</v>
      </c>
    </row>
    <row r="11" spans="1:7">
      <c r="A11" s="955" t="s">
        <v>3422</v>
      </c>
      <c r="B11" s="958">
        <f>+B10/B4</f>
        <v>-0.7902431967656327</v>
      </c>
    </row>
    <row r="12" spans="1:7" ht="24" customHeight="1"/>
    <row r="13" spans="1:7">
      <c r="A13" s="954" t="s">
        <v>3424</v>
      </c>
      <c r="D13" s="1012" t="s">
        <v>3668</v>
      </c>
      <c r="E13" s="1013"/>
    </row>
    <row r="14" spans="1:7">
      <c r="A14" s="955" t="s">
        <v>3425</v>
      </c>
      <c r="B14" s="959">
        <f>+SUM('Part II-Sources of Funds'!L51:M52)</f>
        <v>25832110.07</v>
      </c>
      <c r="D14" s="1013"/>
      <c r="E14" s="1013"/>
    </row>
    <row r="15" spans="1:7">
      <c r="A15" s="955" t="s">
        <v>3426</v>
      </c>
      <c r="B15" s="960">
        <f>+'Part III-A-Uses of Funds'!J180</f>
        <v>2584807.1</v>
      </c>
      <c r="D15" s="1013" t="s">
        <v>1896</v>
      </c>
      <c r="G15" s="1014">
        <f>'Part III-A-Uses of Funds'!J168</f>
        <v>43372719</v>
      </c>
    </row>
    <row r="16" spans="1:7" ht="12.75" customHeight="1">
      <c r="D16" s="1013" t="s">
        <v>3669</v>
      </c>
      <c r="G16" s="1018">
        <v>3.2800000000000003E-2</v>
      </c>
    </row>
    <row r="17" spans="1:7" ht="12.75" customHeight="1">
      <c r="A17" s="955" t="s">
        <v>3427</v>
      </c>
      <c r="B17" s="1017">
        <v>1.45</v>
      </c>
      <c r="D17" s="1013" t="s">
        <v>3670</v>
      </c>
      <c r="G17" s="1019">
        <v>1.45</v>
      </c>
    </row>
    <row r="18" spans="1:7" ht="12.75" customHeight="1">
      <c r="A18" s="955" t="s">
        <v>3428</v>
      </c>
      <c r="B18" s="961">
        <f>+'Part III-A-Uses of Funds'!J190*B17*10</f>
        <v>0</v>
      </c>
      <c r="D18" s="1013" t="s">
        <v>3671</v>
      </c>
      <c r="G18" s="1019">
        <v>3.28</v>
      </c>
    </row>
    <row r="19" spans="1:7" ht="12.75" customHeight="1">
      <c r="D19" s="1013" t="s">
        <v>3672</v>
      </c>
      <c r="G19" s="1015">
        <f>+G15*G16*G17*10</f>
        <v>20628065.156400003</v>
      </c>
    </row>
    <row r="20" spans="1:7">
      <c r="A20" s="955" t="s">
        <v>3429</v>
      </c>
      <c r="B20" s="959">
        <f>+B18-B14</f>
        <v>-25832110.07</v>
      </c>
      <c r="D20" s="1013" t="s">
        <v>3673</v>
      </c>
      <c r="G20" s="1016">
        <f>+B14-G19</f>
        <v>5204044.9135999978</v>
      </c>
    </row>
    <row r="21" spans="1:7">
      <c r="A21" s="955" t="s">
        <v>3430</v>
      </c>
      <c r="B21" s="958">
        <f>+B20/B14</f>
        <v>-1</v>
      </c>
      <c r="D21" s="1013" t="s">
        <v>3674</v>
      </c>
      <c r="G21" s="1013" t="str">
        <f>+IF(G20&gt;(B28+B35),"No","Yes")</f>
        <v>No</v>
      </c>
    </row>
    <row r="22" spans="1:7" ht="24" customHeight="1"/>
    <row r="23" spans="1:7">
      <c r="A23" s="954" t="s">
        <v>3431</v>
      </c>
    </row>
    <row r="24" spans="1:7">
      <c r="A24" s="955" t="s">
        <v>3432</v>
      </c>
      <c r="B24" s="962">
        <f>+SUM('Part II-Sources of Funds'!I40:J43)</f>
        <v>10500000</v>
      </c>
    </row>
    <row r="25" spans="1:7">
      <c r="A25" s="955" t="s">
        <v>3433</v>
      </c>
      <c r="B25" s="963">
        <f>IF('Part II-Sources of Funds'!E6="Yes","N/A",MAX(B46:P46))</f>
        <v>-27103.648000483285</v>
      </c>
    </row>
    <row r="26" spans="1:7">
      <c r="A26" s="955" t="s">
        <v>3434</v>
      </c>
      <c r="B26" s="953">
        <f>IFERROR(PV('Part II-Sources of Funds'!K40,'Part II-Sources of Funds'!L40,B25+B45),B24)</f>
        <v>7624255.1766958116</v>
      </c>
    </row>
    <row r="27" spans="1:7" ht="9" customHeight="1">
      <c r="B27" s="953"/>
    </row>
    <row r="28" spans="1:7">
      <c r="A28" s="955" t="s">
        <v>3435</v>
      </c>
      <c r="B28" s="964">
        <f>+B26-B24</f>
        <v>-2875744.8233041884</v>
      </c>
      <c r="C28" s="965"/>
    </row>
    <row r="29" spans="1:7">
      <c r="A29" s="955" t="s">
        <v>3430</v>
      </c>
      <c r="B29" s="966">
        <f>+B28/B24</f>
        <v>-0.27388045936230365</v>
      </c>
    </row>
    <row r="30" spans="1:7" ht="24" customHeight="1"/>
    <row r="31" spans="1:7">
      <c r="A31" s="954" t="s">
        <v>3366</v>
      </c>
    </row>
    <row r="32" spans="1:7">
      <c r="A32" s="955" t="s">
        <v>3436</v>
      </c>
      <c r="B32" s="967">
        <f>+'Part II-Sources of Funds'!I45</f>
        <v>0</v>
      </c>
    </row>
    <row r="33" spans="1:11">
      <c r="A33" s="955" t="s">
        <v>3437</v>
      </c>
      <c r="B33" s="953"/>
    </row>
    <row r="34" spans="1:11" ht="9" customHeight="1">
      <c r="B34" s="953"/>
    </row>
    <row r="35" spans="1:11">
      <c r="A35" s="955" t="s">
        <v>3438</v>
      </c>
      <c r="B35" s="967">
        <f>+B33-B32</f>
        <v>0</v>
      </c>
    </row>
    <row r="36" spans="1:11">
      <c r="A36" s="955" t="s">
        <v>3439</v>
      </c>
      <c r="B36" s="952" t="e">
        <f>+B35/B32</f>
        <v>#DIV/0!</v>
      </c>
    </row>
    <row r="37" spans="1:11" ht="24" customHeight="1">
      <c r="B37" s="953"/>
    </row>
    <row r="38" spans="1:11">
      <c r="A38" s="954" t="s">
        <v>3440</v>
      </c>
      <c r="B38" s="953">
        <f>+SUM('Part II-Sources of Funds'!I44,'Part II-Sources of Funds'!I49,'Part II-Sources of Funds'!I50,'Part II-Sources of Funds'!I53:I59)</f>
        <v>0</v>
      </c>
    </row>
    <row r="39" spans="1:11">
      <c r="B39" s="953"/>
    </row>
    <row r="40" spans="1:11">
      <c r="B40" s="953"/>
    </row>
    <row r="41" spans="1:11">
      <c r="B41" s="953"/>
    </row>
    <row r="42" spans="1:11">
      <c r="A42" s="954" t="s">
        <v>3441</v>
      </c>
      <c r="B42" s="953"/>
    </row>
    <row r="43" spans="1:11">
      <c r="A43" s="955" t="s">
        <v>2285</v>
      </c>
      <c r="B43" s="1020">
        <v>1</v>
      </c>
      <c r="C43" s="1020">
        <v>2</v>
      </c>
      <c r="D43" s="1020">
        <v>3</v>
      </c>
      <c r="E43" s="1020">
        <v>4</v>
      </c>
      <c r="F43" s="1020">
        <v>5</v>
      </c>
      <c r="G43" s="1020">
        <v>6</v>
      </c>
      <c r="H43" s="1020">
        <v>7</v>
      </c>
      <c r="I43" s="1020">
        <v>8</v>
      </c>
      <c r="J43" s="1020">
        <v>9</v>
      </c>
      <c r="K43" s="1020">
        <v>10</v>
      </c>
    </row>
    <row r="44" spans="1:11">
      <c r="A44" s="955" t="s">
        <v>1130</v>
      </c>
      <c r="B44" s="956">
        <f>+'Part VI-Pro Forma'!B25</f>
        <v>886155.03120000008</v>
      </c>
      <c r="C44" s="956">
        <f>+'Part VI-Pro Forma'!C25</f>
        <v>896094.83182400023</v>
      </c>
      <c r="D44" s="956">
        <f>+'Part VI-Pro Forma'!D25</f>
        <v>905999.20046048006</v>
      </c>
      <c r="E44" s="956">
        <f>+'Part VI-Pro Forma'!E25</f>
        <v>915861.36322968942</v>
      </c>
      <c r="F44" s="956">
        <f>+'Part VI-Pro Forma'!F25</f>
        <v>925673.20061708346</v>
      </c>
      <c r="G44" s="956">
        <f>+'Part VI-Pro Forma'!G25</f>
        <v>935426.23425590922</v>
      </c>
      <c r="H44" s="956">
        <f>+'Part VI-Pro Forma'!H25</f>
        <v>945111.61325630581</v>
      </c>
      <c r="I44" s="956">
        <f>+'Part VI-Pro Forma'!I25</f>
        <v>954720.10006616858</v>
      </c>
      <c r="J44" s="956">
        <f>+'Part VI-Pro Forma'!J25</f>
        <v>964241.05584857101</v>
      </c>
      <c r="K44" s="956">
        <f>+'Part VI-Pro Forma'!K25</f>
        <v>973666.42536005331</v>
      </c>
    </row>
    <row r="45" spans="1:11">
      <c r="A45" s="955" t="s">
        <v>3442</v>
      </c>
      <c r="B45" s="956">
        <f>SUM('Part VI-Pro Forma'!B26:B29)</f>
        <v>-711358.87799951679</v>
      </c>
      <c r="C45" s="956">
        <f>SUM('Part VI-Pro Forma'!C26:C29)</f>
        <v>-711358.87799951679</v>
      </c>
      <c r="D45" s="956">
        <f>SUM('Part VI-Pro Forma'!D26:D29)</f>
        <v>-711358.87799951679</v>
      </c>
      <c r="E45" s="956">
        <f>SUM('Part VI-Pro Forma'!E26:E29)</f>
        <v>-711358.87799951679</v>
      </c>
      <c r="F45" s="956">
        <f>SUM('Part VI-Pro Forma'!F26:F29)</f>
        <v>-711358.87799951679</v>
      </c>
      <c r="G45" s="956">
        <f>SUM('Part VI-Pro Forma'!G26:G29)</f>
        <v>-711358.87799951679</v>
      </c>
      <c r="H45" s="956">
        <f>SUM('Part VI-Pro Forma'!H26:H29)</f>
        <v>-711358.87799951679</v>
      </c>
      <c r="I45" s="956">
        <f>SUM('Part VI-Pro Forma'!I26:I29)</f>
        <v>-711358.87799951679</v>
      </c>
      <c r="J45" s="956">
        <f>SUM('Part VI-Pro Forma'!J26:J29)</f>
        <v>-711358.87799951679</v>
      </c>
      <c r="K45" s="956">
        <f>SUM('Part VI-Pro Forma'!K26:K29)</f>
        <v>-711358.87799951679</v>
      </c>
    </row>
    <row r="46" spans="1:11">
      <c r="A46" s="955" t="s">
        <v>3443</v>
      </c>
      <c r="B46" s="957">
        <f t="shared" ref="B46:K46" si="0">-B44/B48-B45</f>
        <v>-27103.648000483285</v>
      </c>
      <c r="C46" s="957">
        <f t="shared" si="0"/>
        <v>-35386.815187150147</v>
      </c>
      <c r="D46" s="957">
        <f t="shared" si="0"/>
        <v>-43640.455717550009</v>
      </c>
      <c r="E46" s="957">
        <f t="shared" si="0"/>
        <v>-51858.924691891065</v>
      </c>
      <c r="F46" s="957">
        <f t="shared" si="0"/>
        <v>-60035.455848052748</v>
      </c>
      <c r="G46" s="957">
        <f t="shared" si="0"/>
        <v>-68162.983880407643</v>
      </c>
      <c r="H46" s="957">
        <f t="shared" si="0"/>
        <v>-76234.133047404699</v>
      </c>
      <c r="I46" s="957">
        <f t="shared" si="0"/>
        <v>-84241.205388957052</v>
      </c>
      <c r="J46" s="957">
        <f t="shared" si="0"/>
        <v>-92175.335207625758</v>
      </c>
      <c r="K46" s="957">
        <f t="shared" si="0"/>
        <v>-100029.80980052764</v>
      </c>
    </row>
    <row r="48" spans="1:11">
      <c r="A48" s="955" t="s">
        <v>3444</v>
      </c>
      <c r="B48" s="955">
        <f>IF(B82="NC",1.2,1.25)</f>
        <v>1.2</v>
      </c>
      <c r="C48" s="955">
        <f>+B48</f>
        <v>1.2</v>
      </c>
      <c r="D48" s="955">
        <f t="shared" ref="D48:K48" si="1">+C48</f>
        <v>1.2</v>
      </c>
      <c r="E48" s="955">
        <f t="shared" si="1"/>
        <v>1.2</v>
      </c>
      <c r="F48" s="955">
        <f t="shared" si="1"/>
        <v>1.2</v>
      </c>
      <c r="G48" s="955">
        <f t="shared" si="1"/>
        <v>1.2</v>
      </c>
      <c r="H48" s="955">
        <f t="shared" si="1"/>
        <v>1.2</v>
      </c>
      <c r="I48" s="955">
        <f t="shared" si="1"/>
        <v>1.2</v>
      </c>
      <c r="J48" s="955">
        <f t="shared" si="1"/>
        <v>1.2</v>
      </c>
      <c r="K48" s="955">
        <f t="shared" si="1"/>
        <v>1.2</v>
      </c>
    </row>
    <row r="50" spans="1:17">
      <c r="A50" s="954" t="s">
        <v>1097</v>
      </c>
    </row>
    <row r="51" spans="1:17">
      <c r="A51" s="955" t="s">
        <v>1130</v>
      </c>
      <c r="B51" s="957">
        <f>+B44</f>
        <v>886155.03120000008</v>
      </c>
      <c r="C51" s="957">
        <f t="shared" ref="C51:K51" si="2">+C44</f>
        <v>896094.83182400023</v>
      </c>
      <c r="D51" s="957">
        <f t="shared" si="2"/>
        <v>905999.20046048006</v>
      </c>
      <c r="E51" s="957">
        <f t="shared" si="2"/>
        <v>915861.36322968942</v>
      </c>
      <c r="F51" s="957">
        <f t="shared" si="2"/>
        <v>925673.20061708346</v>
      </c>
      <c r="G51" s="957">
        <f t="shared" si="2"/>
        <v>935426.23425590922</v>
      </c>
      <c r="H51" s="957">
        <f t="shared" si="2"/>
        <v>945111.61325630581</v>
      </c>
      <c r="I51" s="957">
        <f t="shared" si="2"/>
        <v>954720.10006616858</v>
      </c>
      <c r="J51" s="957">
        <f t="shared" si="2"/>
        <v>964241.05584857101</v>
      </c>
      <c r="K51" s="957">
        <f t="shared" si="2"/>
        <v>973666.42536005331</v>
      </c>
    </row>
    <row r="52" spans="1:17">
      <c r="A52" s="955" t="s">
        <v>3445</v>
      </c>
      <c r="B52" s="957">
        <f>IF($B$25="N/A",B45,B45+$B$25)</f>
        <v>-738462.52600000007</v>
      </c>
      <c r="C52" s="957">
        <f t="shared" ref="C52:K52" si="3">IF($B$25="N/A",C45,C45+$B$25)</f>
        <v>-738462.52600000007</v>
      </c>
      <c r="D52" s="957">
        <f t="shared" si="3"/>
        <v>-738462.52600000007</v>
      </c>
      <c r="E52" s="957">
        <f t="shared" si="3"/>
        <v>-738462.52600000007</v>
      </c>
      <c r="F52" s="957">
        <f t="shared" si="3"/>
        <v>-738462.52600000007</v>
      </c>
      <c r="G52" s="957">
        <f t="shared" si="3"/>
        <v>-738462.52600000007</v>
      </c>
      <c r="H52" s="957">
        <f t="shared" si="3"/>
        <v>-738462.52600000007</v>
      </c>
      <c r="I52" s="957">
        <f t="shared" si="3"/>
        <v>-738462.52600000007</v>
      </c>
      <c r="J52" s="957">
        <f t="shared" si="3"/>
        <v>-738462.52600000007</v>
      </c>
      <c r="K52" s="957">
        <f t="shared" si="3"/>
        <v>-738462.52600000007</v>
      </c>
    </row>
    <row r="53" spans="1:17">
      <c r="A53" s="955" t="s">
        <v>3446</v>
      </c>
      <c r="B53" s="956">
        <f>+'Part VI-Pro Forma'!B31</f>
        <v>-5000</v>
      </c>
      <c r="C53" s="956">
        <f>+'Part VI-Pro Forma'!C31</f>
        <v>-5000</v>
      </c>
      <c r="D53" s="956">
        <f>+'Part VI-Pro Forma'!D31</f>
        <v>-5000</v>
      </c>
      <c r="E53" s="956">
        <f>+'Part VI-Pro Forma'!E31</f>
        <v>-5000</v>
      </c>
      <c r="F53" s="956">
        <f>+'Part VI-Pro Forma'!F31</f>
        <v>-5000</v>
      </c>
      <c r="G53" s="956">
        <f>+'Part VI-Pro Forma'!G31</f>
        <v>-5000</v>
      </c>
      <c r="H53" s="956">
        <f>+'Part VI-Pro Forma'!H31</f>
        <v>-5000</v>
      </c>
      <c r="I53" s="956">
        <f>+'Part VI-Pro Forma'!I31</f>
        <v>-5000</v>
      </c>
      <c r="J53" s="956">
        <f>+'Part VI-Pro Forma'!J31</f>
        <v>-5000</v>
      </c>
      <c r="K53" s="956">
        <f>+'Part VI-Pro Forma'!K31</f>
        <v>-5000</v>
      </c>
    </row>
    <row r="54" spans="1:17">
      <c r="A54" s="955" t="s">
        <v>3447</v>
      </c>
      <c r="B54" s="957">
        <f>+SUM(B51:B53)</f>
        <v>142692.50520000001</v>
      </c>
      <c r="C54" s="957">
        <f t="shared" ref="C54:K54" si="4">+SUM(C51:C53)</f>
        <v>152632.30582400016</v>
      </c>
      <c r="D54" s="957">
        <f t="shared" si="4"/>
        <v>162536.67446047999</v>
      </c>
      <c r="E54" s="957">
        <f t="shared" si="4"/>
        <v>172398.83722968935</v>
      </c>
      <c r="F54" s="957">
        <f t="shared" si="4"/>
        <v>182210.67461708339</v>
      </c>
      <c r="G54" s="957">
        <f t="shared" si="4"/>
        <v>191963.70825590915</v>
      </c>
      <c r="H54" s="957">
        <f t="shared" si="4"/>
        <v>201649.08725630573</v>
      </c>
      <c r="I54" s="957">
        <f t="shared" si="4"/>
        <v>211257.57406616851</v>
      </c>
      <c r="J54" s="957">
        <f t="shared" si="4"/>
        <v>220778.52984857094</v>
      </c>
      <c r="K54" s="957">
        <f t="shared" si="4"/>
        <v>230203.89936005324</v>
      </c>
    </row>
    <row r="55" spans="1:17">
      <c r="A55" s="955" t="s">
        <v>3366</v>
      </c>
      <c r="B55" s="957">
        <f>-B54</f>
        <v>-142692.50520000001</v>
      </c>
      <c r="C55" s="957">
        <f t="shared" ref="C55:K55" si="5">-C54</f>
        <v>-152632.30582400016</v>
      </c>
      <c r="D55" s="957">
        <f t="shared" si="5"/>
        <v>-162536.67446047999</v>
      </c>
      <c r="E55" s="957">
        <f t="shared" si="5"/>
        <v>-172398.83722968935</v>
      </c>
      <c r="F55" s="957">
        <f t="shared" si="5"/>
        <v>-182210.67461708339</v>
      </c>
      <c r="G55" s="957">
        <f t="shared" si="5"/>
        <v>-191963.70825590915</v>
      </c>
      <c r="H55" s="957">
        <f t="shared" si="5"/>
        <v>-201649.08725630573</v>
      </c>
      <c r="I55" s="957">
        <f t="shared" si="5"/>
        <v>-211257.57406616851</v>
      </c>
      <c r="J55" s="957">
        <f t="shared" si="5"/>
        <v>-220778.52984857094</v>
      </c>
      <c r="K55" s="957">
        <f t="shared" si="5"/>
        <v>-230203.89936005324</v>
      </c>
    </row>
    <row r="56" spans="1:17">
      <c r="A56" s="955" t="s">
        <v>3448</v>
      </c>
      <c r="B56" s="957">
        <f>+B54+B55</f>
        <v>0</v>
      </c>
      <c r="C56" s="957">
        <f t="shared" ref="C56:K56" si="6">+C54+C55</f>
        <v>0</v>
      </c>
      <c r="D56" s="957">
        <f t="shared" si="6"/>
        <v>0</v>
      </c>
      <c r="E56" s="957">
        <f t="shared" si="6"/>
        <v>0</v>
      </c>
      <c r="F56" s="957">
        <f t="shared" si="6"/>
        <v>0</v>
      </c>
      <c r="G56" s="957">
        <f t="shared" si="6"/>
        <v>0</v>
      </c>
      <c r="H56" s="957">
        <f t="shared" si="6"/>
        <v>0</v>
      </c>
      <c r="I56" s="957">
        <f t="shared" si="6"/>
        <v>0</v>
      </c>
      <c r="J56" s="957">
        <f t="shared" si="6"/>
        <v>0</v>
      </c>
      <c r="K56" s="957">
        <f t="shared" si="6"/>
        <v>0</v>
      </c>
    </row>
    <row r="58" spans="1:17">
      <c r="A58" s="955" t="s">
        <v>3449</v>
      </c>
      <c r="B58" s="956">
        <f>IF($B$26="","",-FV('Part II-Sources of Funds'!$K$40/12,12,B52/12,B26))</f>
        <v>7351198.8482364602</v>
      </c>
      <c r="C58" s="956">
        <f>IF($B$26="","",-FV('Part II-Sources of Funds'!$K$40/12,12,C52/12,B58))</f>
        <v>7060709.1158520142</v>
      </c>
      <c r="D58" s="956">
        <f>IF($B$26="","",-FV('Part II-Sources of Funds'!$K$40/12,12,D52/12,C58))</f>
        <v>6751672.936039214</v>
      </c>
      <c r="E58" s="956">
        <f>IF($B$26="","",-FV('Part II-Sources of Funds'!$K$40/12,12,E52/12,D58))</f>
        <v>6422906.2025324469</v>
      </c>
      <c r="F58" s="956">
        <f>IF($B$26="","",-FV('Part II-Sources of Funds'!$K$40/12,12,F52/12,E58))</f>
        <v>6073149.2092697667</v>
      </c>
      <c r="G58" s="956">
        <f>IF($B$26="","",-FV('Part II-Sources of Funds'!$K$40/12,12,G52/12,F58))</f>
        <v>5701061.8236899469</v>
      </c>
      <c r="H58" s="956">
        <f>IF($B$26="","",-FV('Part II-Sources of Funds'!$K$40/12,12,H52/12,G58))</f>
        <v>5305218.3518665116</v>
      </c>
      <c r="I58" s="956">
        <f>IF($B$26="","",-FV('Part II-Sources of Funds'!$K$40/12,12,I52/12,H58))</f>
        <v>4884102.075803942</v>
      </c>
      <c r="J58" s="956">
        <f>IF($B$26="","",-FV('Part II-Sources of Funds'!$K$40/12,12,J52/12,I58))</f>
        <v>4436099.4419651106</v>
      </c>
      <c r="K58" s="956">
        <f>IF($B$26="","",-FV('Part II-Sources of Funds'!$K$40/12,12,K52/12,J58))</f>
        <v>3959493.8787626354</v>
      </c>
    </row>
    <row r="59" spans="1:17">
      <c r="A59" s="955" t="s">
        <v>3367</v>
      </c>
      <c r="B59" s="956" t="str">
        <f>IF(B33="","",-FV('Part II-Sources of Funds'!$K$45/12,12,B55/12,B33))</f>
        <v/>
      </c>
      <c r="C59" s="956" t="str">
        <f>IF($B$33="","",-FV('Part II-Sources of Funds'!$K$45/12,12,C55/12,B59))</f>
        <v/>
      </c>
      <c r="D59" s="956" t="str">
        <f>IF($B$33="","",-FV('Part II-Sources of Funds'!$K$45/12,12,D55/12,C59))</f>
        <v/>
      </c>
      <c r="E59" s="956" t="str">
        <f>IF($B$33="","",-FV('Part II-Sources of Funds'!$K$45/12,12,E55/12,D59))</f>
        <v/>
      </c>
      <c r="F59" s="956" t="str">
        <f>IF($B$33="","",-FV('Part II-Sources of Funds'!$K$45/12,12,F55/12,E59))</f>
        <v/>
      </c>
      <c r="G59" s="956" t="str">
        <f>IF($B$33="","",-FV('Part II-Sources of Funds'!$K$45/12,12,G55/12,F59))</f>
        <v/>
      </c>
      <c r="H59" s="956" t="str">
        <f>IF($B$33="","",-FV('Part II-Sources of Funds'!$K$45/12,12,H55/12,G59))</f>
        <v/>
      </c>
      <c r="I59" s="956" t="str">
        <f>IF($B$33="","",-FV('Part II-Sources of Funds'!$K$45/12,12,I55/12,H59))</f>
        <v/>
      </c>
      <c r="J59" s="956" t="str">
        <f>IF($B$33="","",-FV('Part II-Sources of Funds'!$K$45/12,12,J55/12,I59))</f>
        <v/>
      </c>
      <c r="K59" s="956" t="str">
        <f>IF($B$33="","",-FV('Part II-Sources of Funds'!$K$45/12,12,K55/12,J59))</f>
        <v/>
      </c>
      <c r="L59" s="956" t="str">
        <f>IF($B$33="","",-FV('Part II-Sources of Funds'!$K$45/12,12,B75/12,K59))</f>
        <v/>
      </c>
      <c r="M59" s="956" t="str">
        <f>IF($B$33="","",-FV('Part II-Sources of Funds'!$K$45/12,12,C75/12,L59))</f>
        <v/>
      </c>
      <c r="N59" s="956" t="str">
        <f>IF($B$33="","",-FV('Part II-Sources of Funds'!$K$45/12,12,D75/12,M59))</f>
        <v/>
      </c>
      <c r="O59" s="956" t="str">
        <f>IF($B$33="","",-FV('Part II-Sources of Funds'!$K$45/12,12,E75/12,N59))</f>
        <v/>
      </c>
      <c r="P59" s="956" t="str">
        <f>IF($B$33="","",-FV('Part II-Sources of Funds'!$K$45/12,12,F75/12,O59))</f>
        <v/>
      </c>
      <c r="Q59" s="956"/>
    </row>
    <row r="60" spans="1:17" ht="18.75" customHeight="1"/>
    <row r="61" spans="1:17" ht="18.75" customHeight="1"/>
    <row r="62" spans="1:17">
      <c r="A62" s="954" t="s">
        <v>3441</v>
      </c>
    </row>
    <row r="63" spans="1:17">
      <c r="A63" s="955" t="s">
        <v>2285</v>
      </c>
      <c r="B63" s="1020">
        <v>11</v>
      </c>
      <c r="C63" s="1020">
        <v>12</v>
      </c>
      <c r="D63" s="1020">
        <v>13</v>
      </c>
      <c r="E63" s="1020">
        <v>14</v>
      </c>
      <c r="F63" s="1020">
        <v>15</v>
      </c>
      <c r="G63" s="1020">
        <v>16</v>
      </c>
      <c r="H63" s="1020">
        <v>17</v>
      </c>
      <c r="I63" s="1020">
        <v>18</v>
      </c>
      <c r="J63" s="1020">
        <v>19</v>
      </c>
      <c r="K63" s="1020">
        <v>20</v>
      </c>
    </row>
    <row r="64" spans="1:17">
      <c r="A64" s="955" t="s">
        <v>1130</v>
      </c>
      <c r="B64" s="956">
        <f>+'Part VI-Pro Forma'!B57</f>
        <v>982983.72131360136</v>
      </c>
      <c r="C64" s="956">
        <f>+'Part VI-Pro Forma'!C57</f>
        <v>992183.00820961047</v>
      </c>
      <c r="D64" s="956">
        <f>+'Part VI-Pro Forma'!D57</f>
        <v>1001251.8856176324</v>
      </c>
      <c r="E64" s="956">
        <f>+'Part VI-Pro Forma'!E57</f>
        <v>1010179.4708911285</v>
      </c>
      <c r="F64" s="956">
        <f>+'Part VI-Pro Forma'!F57</f>
        <v>1018953.3812969301</v>
      </c>
      <c r="G64" s="956">
        <f>+'Part VI-Pro Forma'!G57</f>
        <v>1027558.7155404858</v>
      </c>
      <c r="H64" s="956">
        <f>+'Part VI-Pro Forma'!H57</f>
        <v>1035983.0346674426</v>
      </c>
      <c r="I64" s="956">
        <f>+'Part VI-Pro Forma'!I57</f>
        <v>1044212.342321422</v>
      </c>
      <c r="J64" s="956">
        <f>+'Part VI-Pro Forma'!J57</f>
        <v>1052232.0643372997</v>
      </c>
      <c r="K64" s="956">
        <f>+'Part VI-Pro Forma'!K57</f>
        <v>1060025.0276485791</v>
      </c>
    </row>
    <row r="65" spans="1:11">
      <c r="A65" s="955" t="s">
        <v>3442</v>
      </c>
      <c r="B65" s="956">
        <f>SUM('Part VI-Pro Forma'!B58:B61)</f>
        <v>-711358.87799951679</v>
      </c>
      <c r="C65" s="956">
        <f>SUM('Part VI-Pro Forma'!C58:C61)</f>
        <v>-711358.87799951679</v>
      </c>
      <c r="D65" s="956">
        <f>SUM('Part VI-Pro Forma'!D58:D61)</f>
        <v>-711358.87799951679</v>
      </c>
      <c r="E65" s="956">
        <f>SUM('Part VI-Pro Forma'!E58:E61)</f>
        <v>-711358.87799951679</v>
      </c>
      <c r="F65" s="956">
        <f>SUM('Part VI-Pro Forma'!F58:F61)</f>
        <v>-711358.87799951679</v>
      </c>
      <c r="G65" s="956">
        <f>SUM('Part VI-Pro Forma'!G58:G61)</f>
        <v>-711358.87799951679</v>
      </c>
      <c r="H65" s="956">
        <f>SUM('Part VI-Pro Forma'!H58:H61)</f>
        <v>-711358.87799951679</v>
      </c>
      <c r="I65" s="956">
        <f>SUM('Part VI-Pro Forma'!I58:I61)</f>
        <v>-711358.87799951679</v>
      </c>
      <c r="J65" s="956">
        <f>SUM('Part VI-Pro Forma'!J58:J61)</f>
        <v>-711358.87799951679</v>
      </c>
      <c r="K65" s="956">
        <f>SUM('Part VI-Pro Forma'!K58:K61)</f>
        <v>-711358.87799951679</v>
      </c>
    </row>
    <row r="66" spans="1:11">
      <c r="A66" s="955" t="s">
        <v>3443</v>
      </c>
      <c r="B66" s="957">
        <f t="shared" ref="B66:K66" si="7">-B64/B68-B65</f>
        <v>-107794.22309515101</v>
      </c>
      <c r="C66" s="957">
        <f t="shared" si="7"/>
        <v>-115460.29550849192</v>
      </c>
      <c r="D66" s="957">
        <f t="shared" si="7"/>
        <v>-123017.69334851031</v>
      </c>
      <c r="E66" s="957">
        <f t="shared" si="7"/>
        <v>-130457.34774309036</v>
      </c>
      <c r="F66" s="957">
        <f t="shared" si="7"/>
        <v>-137768.93974792503</v>
      </c>
      <c r="G66" s="957">
        <f t="shared" si="7"/>
        <v>-144940.05161755474</v>
      </c>
      <c r="H66" s="957">
        <f t="shared" si="7"/>
        <v>-151960.31755668542</v>
      </c>
      <c r="I66" s="957">
        <f t="shared" si="7"/>
        <v>-158818.07393500151</v>
      </c>
      <c r="J66" s="957">
        <f t="shared" si="7"/>
        <v>-165501.17561489961</v>
      </c>
      <c r="K66" s="957">
        <f t="shared" si="7"/>
        <v>-171995.3117076325</v>
      </c>
    </row>
    <row r="68" spans="1:11">
      <c r="A68" s="955" t="s">
        <v>3444</v>
      </c>
      <c r="B68" s="955">
        <f>+K48</f>
        <v>1.2</v>
      </c>
      <c r="C68" s="955">
        <f t="shared" ref="C68:K68" si="8">+B68</f>
        <v>1.2</v>
      </c>
      <c r="D68" s="955">
        <f t="shared" si="8"/>
        <v>1.2</v>
      </c>
      <c r="E68" s="955">
        <f t="shared" si="8"/>
        <v>1.2</v>
      </c>
      <c r="F68" s="955">
        <f t="shared" si="8"/>
        <v>1.2</v>
      </c>
      <c r="G68" s="955">
        <f t="shared" si="8"/>
        <v>1.2</v>
      </c>
      <c r="H68" s="955">
        <f t="shared" si="8"/>
        <v>1.2</v>
      </c>
      <c r="I68" s="955">
        <f t="shared" si="8"/>
        <v>1.2</v>
      </c>
      <c r="J68" s="955">
        <f t="shared" si="8"/>
        <v>1.2</v>
      </c>
      <c r="K68" s="955">
        <f t="shared" si="8"/>
        <v>1.2</v>
      </c>
    </row>
    <row r="70" spans="1:11">
      <c r="A70" s="954" t="s">
        <v>1097</v>
      </c>
    </row>
    <row r="71" spans="1:11">
      <c r="A71" s="955" t="s">
        <v>1130</v>
      </c>
      <c r="B71" s="957">
        <f t="shared" ref="B71:G71" si="9">+B64</f>
        <v>982983.72131360136</v>
      </c>
      <c r="C71" s="957">
        <f t="shared" si="9"/>
        <v>992183.00820961047</v>
      </c>
      <c r="D71" s="957">
        <f t="shared" si="9"/>
        <v>1001251.8856176324</v>
      </c>
      <c r="E71" s="957">
        <f t="shared" si="9"/>
        <v>1010179.4708911285</v>
      </c>
      <c r="F71" s="957">
        <f t="shared" si="9"/>
        <v>1018953.3812969301</v>
      </c>
      <c r="G71" s="957">
        <f t="shared" si="9"/>
        <v>1027558.7155404858</v>
      </c>
      <c r="H71" s="957">
        <f>+H64</f>
        <v>1035983.0346674426</v>
      </c>
      <c r="I71" s="957">
        <f>+I64</f>
        <v>1044212.342321422</v>
      </c>
      <c r="J71" s="957">
        <f>+J64</f>
        <v>1052232.0643372997</v>
      </c>
      <c r="K71" s="957">
        <f>+K64</f>
        <v>1060025.0276485791</v>
      </c>
    </row>
    <row r="72" spans="1:11">
      <c r="A72" s="955" t="s">
        <v>3445</v>
      </c>
      <c r="B72" s="957">
        <f t="shared" ref="B72:G72" si="10">IF($B$25="N/A",B65,B65+$B$25)</f>
        <v>-738462.52600000007</v>
      </c>
      <c r="C72" s="957">
        <f t="shared" si="10"/>
        <v>-738462.52600000007</v>
      </c>
      <c r="D72" s="957">
        <f t="shared" si="10"/>
        <v>-738462.52600000007</v>
      </c>
      <c r="E72" s="957">
        <f t="shared" si="10"/>
        <v>-738462.52600000007</v>
      </c>
      <c r="F72" s="957">
        <f t="shared" si="10"/>
        <v>-738462.52600000007</v>
      </c>
      <c r="G72" s="957">
        <f t="shared" si="10"/>
        <v>-738462.52600000007</v>
      </c>
      <c r="H72" s="957">
        <f>IF($B$25="N/A",H65,H65+$B$25)</f>
        <v>-738462.52600000007</v>
      </c>
      <c r="I72" s="957">
        <f>IF($B$25="N/A",I65,I65+$B$25)</f>
        <v>-738462.52600000007</v>
      </c>
      <c r="J72" s="957">
        <f>IF($B$25="N/A",J65,J65+$B$25)</f>
        <v>-738462.52600000007</v>
      </c>
      <c r="K72" s="957">
        <f>IF($B$25="N/A",K65,K65+$B$25)</f>
        <v>-738462.52600000007</v>
      </c>
    </row>
    <row r="73" spans="1:11">
      <c r="A73" s="955" t="s">
        <v>3446</v>
      </c>
      <c r="B73" s="956">
        <f>+'Part VI-Pro Forma'!B63</f>
        <v>-5000</v>
      </c>
      <c r="C73" s="956">
        <f>+'Part VI-Pro Forma'!C63</f>
        <v>-5000</v>
      </c>
      <c r="D73" s="956">
        <f>+'Part VI-Pro Forma'!D63</f>
        <v>-5000</v>
      </c>
      <c r="E73" s="956">
        <f>+'Part VI-Pro Forma'!E63</f>
        <v>-5000</v>
      </c>
      <c r="F73" s="956">
        <f>+'Part VI-Pro Forma'!F63</f>
        <v>-5000</v>
      </c>
      <c r="G73" s="956">
        <f>+'Part VI-Pro Forma'!G63</f>
        <v>-5000</v>
      </c>
      <c r="H73" s="956">
        <f>+'Part VI-Pro Forma'!H63</f>
        <v>-5000</v>
      </c>
      <c r="I73" s="956">
        <f>+'Part VI-Pro Forma'!I63</f>
        <v>-5000</v>
      </c>
      <c r="J73" s="956">
        <f>+'Part VI-Pro Forma'!J63</f>
        <v>-5000</v>
      </c>
      <c r="K73" s="956">
        <f>+'Part VI-Pro Forma'!K63</f>
        <v>-5000</v>
      </c>
    </row>
    <row r="74" spans="1:11">
      <c r="A74" s="955" t="s">
        <v>3447</v>
      </c>
      <c r="B74" s="957">
        <f t="shared" ref="B74:G74" si="11">+SUM(B71:B73)</f>
        <v>239521.19531360129</v>
      </c>
      <c r="C74" s="957">
        <f t="shared" si="11"/>
        <v>248720.4822096104</v>
      </c>
      <c r="D74" s="957">
        <f t="shared" si="11"/>
        <v>257789.35961763235</v>
      </c>
      <c r="E74" s="957">
        <f t="shared" si="11"/>
        <v>266716.94489112846</v>
      </c>
      <c r="F74" s="957">
        <f t="shared" si="11"/>
        <v>275490.85529693007</v>
      </c>
      <c r="G74" s="957">
        <f t="shared" si="11"/>
        <v>284096.18954048574</v>
      </c>
      <c r="H74" s="957">
        <f>+SUM(H71:H73)</f>
        <v>292520.50866744248</v>
      </c>
      <c r="I74" s="957">
        <f>+SUM(I71:I73)</f>
        <v>300749.81632142188</v>
      </c>
      <c r="J74" s="957">
        <f>+SUM(J71:J73)</f>
        <v>308769.5383372996</v>
      </c>
      <c r="K74" s="957">
        <f>+SUM(K71:K73)</f>
        <v>316562.50164857903</v>
      </c>
    </row>
    <row r="75" spans="1:11">
      <c r="A75" s="955" t="s">
        <v>3366</v>
      </c>
      <c r="B75" s="957">
        <f t="shared" ref="B75:G75" si="12">-B74</f>
        <v>-239521.19531360129</v>
      </c>
      <c r="C75" s="957">
        <f t="shared" si="12"/>
        <v>-248720.4822096104</v>
      </c>
      <c r="D75" s="957">
        <f t="shared" si="12"/>
        <v>-257789.35961763235</v>
      </c>
      <c r="E75" s="957">
        <f t="shared" si="12"/>
        <v>-266716.94489112846</v>
      </c>
      <c r="F75" s="957">
        <f t="shared" si="12"/>
        <v>-275490.85529693007</v>
      </c>
      <c r="G75" s="957">
        <f t="shared" si="12"/>
        <v>-284096.18954048574</v>
      </c>
      <c r="H75" s="957">
        <f>-H74</f>
        <v>-292520.50866744248</v>
      </c>
      <c r="I75" s="957">
        <f>-I74</f>
        <v>-300749.81632142188</v>
      </c>
      <c r="J75" s="957">
        <f>-J74</f>
        <v>-308769.5383372996</v>
      </c>
      <c r="K75" s="957">
        <f>-K74</f>
        <v>-316562.50164857903</v>
      </c>
    </row>
    <row r="76" spans="1:11">
      <c r="A76" s="955" t="s">
        <v>3448</v>
      </c>
      <c r="B76" s="957">
        <f t="shared" ref="B76:G76" si="13">+B74+B75</f>
        <v>0</v>
      </c>
      <c r="C76" s="957">
        <f t="shared" si="13"/>
        <v>0</v>
      </c>
      <c r="D76" s="957">
        <f t="shared" si="13"/>
        <v>0</v>
      </c>
      <c r="E76" s="957">
        <f t="shared" si="13"/>
        <v>0</v>
      </c>
      <c r="F76" s="957">
        <f t="shared" si="13"/>
        <v>0</v>
      </c>
      <c r="G76" s="957">
        <f t="shared" si="13"/>
        <v>0</v>
      </c>
      <c r="H76" s="957">
        <f>+H74+H75</f>
        <v>0</v>
      </c>
      <c r="I76" s="957">
        <f>+I74+I75</f>
        <v>0</v>
      </c>
      <c r="J76" s="957">
        <f>+J74+J75</f>
        <v>0</v>
      </c>
      <c r="K76" s="957">
        <f>+K74+K75</f>
        <v>0</v>
      </c>
    </row>
    <row r="78" spans="1:11">
      <c r="A78" s="955" t="s">
        <v>3449</v>
      </c>
      <c r="B78" s="956">
        <f>IF($B$26="","",-FV('Part II-Sources of Funds'!$K$40/12,12,B72/12,K58))</f>
        <v>3452459.2193251932</v>
      </c>
      <c r="C78" s="956">
        <f>IF($B$26="","",-FV('Part II-Sources of Funds'!$K$40/12,12,C72/12,B78))</f>
        <v>2913052.7043373985</v>
      </c>
      <c r="D78" s="956">
        <f>IF($B$26="","",-FV('Part II-Sources of Funds'!$K$40/12,12,D72/12,C78))</f>
        <v>2339207.5381428441</v>
      </c>
      <c r="E78" s="956">
        <f>IF($B$26="","",-FV('Part II-Sources of Funds'!$K$40/12,12,E72/12,D78))</f>
        <v>1728724.9695882038</v>
      </c>
      <c r="F78" s="956">
        <f>IF($B$26="","",-FV('Part II-Sources of Funds'!$K$40/12,12,F72/12,E78))</f>
        <v>1079265.8672652687</v>
      </c>
      <c r="G78" s="956">
        <f>IF($B$26="","",-FV('Part II-Sources of Funds'!$K$40/12,12,G72/12,F78))</f>
        <v>388341.75687052542</v>
      </c>
      <c r="H78" s="956">
        <f>IF($B$26="","",-FV('Part II-Sources of Funds'!$K$40/12,12,H72/12,G78))</f>
        <v>-346694.71365906665</v>
      </c>
      <c r="I78" s="956">
        <f>IF($B$26="","",-FV('Part II-Sources of Funds'!$K$40/12,12,I72/12,H78))</f>
        <v>-1128659.9177679874</v>
      </c>
      <c r="J78" s="956">
        <f>IF($B$26="","",-FV('Part II-Sources of Funds'!$K$40/12,12,J72/12,I78))</f>
        <v>-1960550.0415281644</v>
      </c>
      <c r="K78" s="956">
        <f>IF($B$26="","",-FV('Part II-Sources of Funds'!$K$40/12,12,K72/12,J78))</f>
        <v>-2845552.5638569295</v>
      </c>
    </row>
    <row r="79" spans="1:11">
      <c r="A79" s="955" t="s">
        <v>3367</v>
      </c>
    </row>
    <row r="82" spans="1:2">
      <c r="A82" s="955" t="s">
        <v>3450</v>
      </c>
      <c r="B82" s="1017" t="s">
        <v>1272</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110" zoomScaleNormal="110" workbookViewId="0">
      <selection activeCell="O12" sqref="O12:P12"/>
    </sheetView>
  </sheetViews>
  <sheetFormatPr defaultColWidth="9.140625" defaultRowHeight="12.75"/>
  <cols>
    <col min="1" max="1" width="3.140625" style="145" customWidth="1"/>
    <col min="2" max="2" width="2.140625" style="253" customWidth="1"/>
    <col min="3" max="11" width="8.85546875" style="145" customWidth="1"/>
    <col min="12" max="12" width="4" style="145" customWidth="1"/>
    <col min="13" max="13" width="8.85546875" style="145" customWidth="1"/>
    <col min="14" max="14" width="9.28515625" style="145" customWidth="1"/>
    <col min="15" max="16" width="8.85546875" style="145" customWidth="1"/>
    <col min="17" max="17" width="9.140625" style="145"/>
    <col min="18" max="18" width="10.28515625" style="145" bestFit="1" customWidth="1"/>
    <col min="19" max="19" width="9.140625" style="145"/>
    <col min="20" max="20" width="10.28515625" style="145" bestFit="1" customWidth="1"/>
    <col min="21" max="25" width="9.140625" style="145"/>
    <col min="26" max="26" width="9.140625" style="1683"/>
    <col min="27" max="16384" width="9.140625" style="145"/>
  </cols>
  <sheetData>
    <row r="1" spans="1:26" s="1707" customFormat="1" ht="9" hidden="1" customHeight="1">
      <c r="A1" s="1706"/>
      <c r="B1" s="1706" t="s">
        <v>6315</v>
      </c>
      <c r="C1" s="1706"/>
      <c r="D1" s="1706"/>
      <c r="E1" s="1706"/>
      <c r="F1" s="1706" t="s">
        <v>6316</v>
      </c>
      <c r="G1" s="1706" t="s">
        <v>6317</v>
      </c>
      <c r="H1" s="1706" t="s">
        <v>6318</v>
      </c>
      <c r="I1" s="1706" t="s">
        <v>6319</v>
      </c>
      <c r="J1" s="1706" t="s">
        <v>6320</v>
      </c>
      <c r="K1" s="1706" t="s">
        <v>6321</v>
      </c>
      <c r="L1" s="1706"/>
      <c r="M1" s="1706"/>
      <c r="N1" s="1706" t="s">
        <v>6322</v>
      </c>
      <c r="O1" s="1706" t="s">
        <v>6323</v>
      </c>
      <c r="P1" s="1706" t="s">
        <v>6324</v>
      </c>
      <c r="Z1" s="1708">
        <v>1</v>
      </c>
    </row>
    <row r="2" spans="1:26" s="144" customFormat="1" ht="14.1" customHeight="1">
      <c r="A2" s="2589" t="str">
        <f>CONCATENATE("PART ONE - PROJECT INFORMATION"," - ",$O$7," ",$F$29,", ",'Part I-Project Identification'!F30,", ",'Part I-Project Identification'!J30," County")</f>
        <v>PART ONE - PROJECT INFORMATION - 2022-522 Harrison Village Apartments, Gainesville, Hall County</v>
      </c>
      <c r="B2" s="2590"/>
      <c r="C2" s="2590"/>
      <c r="D2" s="2590"/>
      <c r="E2" s="2590"/>
      <c r="F2" s="2590"/>
      <c r="G2" s="2590"/>
      <c r="H2" s="2590"/>
      <c r="I2" s="2590"/>
      <c r="J2" s="2590"/>
      <c r="K2" s="2590"/>
      <c r="L2" s="2590"/>
      <c r="M2" s="2590"/>
      <c r="N2" s="2590"/>
      <c r="O2" s="2590"/>
      <c r="P2" s="2591"/>
      <c r="Z2" s="1708">
        <v>2</v>
      </c>
    </row>
    <row r="3" spans="1:26" s="144" customFormat="1" ht="6" customHeight="1">
      <c r="A3" s="375"/>
      <c r="B3" s="375"/>
      <c r="C3" s="375"/>
      <c r="D3" s="375"/>
      <c r="E3" s="375"/>
      <c r="F3" s="375"/>
      <c r="G3" s="375"/>
      <c r="H3" s="375"/>
      <c r="I3" s="375"/>
      <c r="J3" s="375"/>
      <c r="K3" s="375"/>
      <c r="L3" s="375"/>
      <c r="M3" s="375"/>
      <c r="N3" s="375"/>
      <c r="O3" s="375"/>
      <c r="P3" s="375"/>
      <c r="Z3" s="1708">
        <v>3</v>
      </c>
    </row>
    <row r="4" spans="1:26" s="144" customFormat="1" ht="87.75" customHeight="1">
      <c r="A4" s="2603" t="s">
        <v>6749</v>
      </c>
      <c r="B4" s="2603"/>
      <c r="C4" s="2603"/>
      <c r="D4" s="2603"/>
      <c r="E4" s="2603"/>
      <c r="F4" s="2603"/>
      <c r="G4" s="2603"/>
      <c r="H4" s="2603"/>
      <c r="I4" s="2603"/>
      <c r="J4" s="2603"/>
      <c r="K4" s="2603"/>
      <c r="L4" s="2603"/>
      <c r="M4" s="2603"/>
      <c r="N4" s="2603"/>
      <c r="O4" s="2603"/>
      <c r="P4" s="2603"/>
      <c r="Z4" s="1708">
        <v>4</v>
      </c>
    </row>
    <row r="5" spans="1:26" s="144" customFormat="1" ht="9.75" customHeight="1">
      <c r="A5" s="375"/>
      <c r="B5" s="375"/>
      <c r="C5" s="375"/>
      <c r="D5" s="375"/>
      <c r="E5" s="375"/>
      <c r="F5" s="375"/>
      <c r="G5" s="375"/>
      <c r="H5" s="375"/>
      <c r="I5" s="375"/>
      <c r="J5" s="375"/>
      <c r="K5" s="375"/>
      <c r="L5" s="375"/>
      <c r="M5" s="375"/>
      <c r="N5" s="375"/>
      <c r="O5" s="375"/>
      <c r="P5" s="375"/>
      <c r="Z5" s="1708">
        <v>5</v>
      </c>
    </row>
    <row r="6" spans="1:26" s="144" customFormat="1" ht="12" customHeight="1" thickBot="1">
      <c r="A6" s="2604" t="s">
        <v>6822</v>
      </c>
      <c r="B6" s="2604"/>
      <c r="C6" s="2604"/>
      <c r="D6" s="2604"/>
      <c r="F6" s="242"/>
      <c r="G6" s="224" t="s">
        <v>3829</v>
      </c>
      <c r="L6" s="375"/>
      <c r="P6" s="1790" t="s">
        <v>3294</v>
      </c>
      <c r="Z6" s="1708">
        <v>6</v>
      </c>
    </row>
    <row r="7" spans="1:26" s="144" customFormat="1" ht="12" customHeight="1" thickBot="1">
      <c r="A7" s="2604"/>
      <c r="B7" s="2604"/>
      <c r="C7" s="2604"/>
      <c r="D7" s="2604"/>
      <c r="E7" s="1001"/>
      <c r="F7" s="244"/>
      <c r="G7" s="224" t="s">
        <v>6089</v>
      </c>
      <c r="H7" s="248"/>
      <c r="I7" s="248"/>
      <c r="J7" s="248"/>
      <c r="O7" s="2592" t="s">
        <v>6992</v>
      </c>
      <c r="P7" s="2593"/>
      <c r="Q7" s="2535" t="s">
        <v>6646</v>
      </c>
      <c r="R7" s="2535"/>
      <c r="S7" s="2536"/>
      <c r="Z7" s="1708">
        <v>7</v>
      </c>
    </row>
    <row r="8" spans="1:26" s="144" customFormat="1" ht="12" customHeight="1">
      <c r="A8" s="2604"/>
      <c r="B8" s="2604"/>
      <c r="C8" s="2604"/>
      <c r="D8" s="2604"/>
      <c r="E8" s="1001"/>
      <c r="F8" s="408"/>
      <c r="G8" s="147" t="s">
        <v>2962</v>
      </c>
      <c r="H8" s="248"/>
      <c r="I8" s="248"/>
      <c r="J8" s="248"/>
      <c r="Q8" s="2537"/>
      <c r="R8" s="2538"/>
      <c r="S8" s="2539"/>
      <c r="Z8" s="1708">
        <v>8</v>
      </c>
    </row>
    <row r="9" spans="1:26" s="144" customFormat="1" ht="6" customHeight="1">
      <c r="A9" s="375"/>
      <c r="E9" s="248"/>
      <c r="H9" s="248"/>
      <c r="I9" s="248"/>
      <c r="M9" s="248"/>
      <c r="Q9" s="2537"/>
      <c r="R9" s="2538"/>
      <c r="S9" s="2539"/>
      <c r="Z9" s="1708">
        <v>9</v>
      </c>
    </row>
    <row r="10" spans="1:26" s="144" customFormat="1" ht="13.35" customHeight="1">
      <c r="A10" s="243" t="s">
        <v>573</v>
      </c>
      <c r="B10" s="243" t="s">
        <v>2193</v>
      </c>
      <c r="D10" s="145"/>
      <c r="E10" s="245"/>
      <c r="F10" s="246" t="s">
        <v>3270</v>
      </c>
      <c r="I10" s="2594">
        <f>'Part III-A-Uses of Funds'!$J$191</f>
        <v>1734863</v>
      </c>
      <c r="J10" s="2595"/>
      <c r="L10" s="144" t="s">
        <v>3271</v>
      </c>
      <c r="O10" s="2596">
        <f>'Part II-Sources of Funds'!$I$6</f>
        <v>0</v>
      </c>
      <c r="P10" s="2597"/>
      <c r="Q10" s="2537"/>
      <c r="R10" s="2538"/>
      <c r="S10" s="2539"/>
      <c r="Z10" s="1708">
        <v>10</v>
      </c>
    </row>
    <row r="11" spans="1:26" s="144" customFormat="1" ht="6" customHeight="1">
      <c r="A11" s="243"/>
      <c r="B11" s="243"/>
      <c r="D11" s="145"/>
      <c r="E11" s="245"/>
      <c r="F11" s="245"/>
      <c r="I11" s="222"/>
      <c r="N11" s="247"/>
      <c r="Q11" s="2537"/>
      <c r="R11" s="2538"/>
      <c r="S11" s="2539"/>
      <c r="Z11" s="1708">
        <v>11</v>
      </c>
    </row>
    <row r="12" spans="1:26" s="144" customFormat="1" ht="13.35" customHeight="1">
      <c r="A12" s="222" t="s">
        <v>689</v>
      </c>
      <c r="B12" s="243" t="s">
        <v>1892</v>
      </c>
      <c r="F12" s="2598" t="s">
        <v>6914</v>
      </c>
      <c r="G12" s="2599"/>
      <c r="H12" s="2600"/>
      <c r="I12" s="1791" t="s">
        <v>6527</v>
      </c>
      <c r="J12" s="393" t="s">
        <v>6526</v>
      </c>
      <c r="K12" s="243"/>
      <c r="L12" s="248"/>
      <c r="O12" s="2601" t="s">
        <v>2454</v>
      </c>
      <c r="P12" s="2602"/>
      <c r="Q12" s="2537"/>
      <c r="R12" s="2538"/>
      <c r="S12" s="2539"/>
      <c r="Z12" s="1708">
        <v>12</v>
      </c>
    </row>
    <row r="13" spans="1:26" s="144" customFormat="1" ht="3" customHeight="1">
      <c r="A13" s="375"/>
      <c r="B13" s="145"/>
      <c r="C13" s="145"/>
      <c r="D13" s="145"/>
      <c r="E13" s="145"/>
      <c r="H13" s="248"/>
      <c r="J13" s="394"/>
      <c r="K13" s="222"/>
      <c r="M13" s="248"/>
      <c r="Q13" s="2537"/>
      <c r="R13" s="2538"/>
      <c r="S13" s="2539"/>
      <c r="Z13" s="1708">
        <v>13</v>
      </c>
    </row>
    <row r="14" spans="1:26" s="144" customFormat="1">
      <c r="A14" s="222" t="s">
        <v>691</v>
      </c>
      <c r="B14" s="243" t="s">
        <v>3676</v>
      </c>
      <c r="D14" s="246"/>
      <c r="E14" s="245"/>
      <c r="G14" s="245"/>
      <c r="H14" s="245"/>
      <c r="I14" s="245"/>
      <c r="L14" s="247"/>
      <c r="Q14" s="2537"/>
      <c r="R14" s="2538"/>
      <c r="S14" s="2539"/>
      <c r="Z14" s="1708">
        <v>14</v>
      </c>
    </row>
    <row r="15" spans="1:26" s="144" customFormat="1">
      <c r="B15" s="144" t="s">
        <v>3300</v>
      </c>
      <c r="F15" s="2577" t="s">
        <v>6977</v>
      </c>
      <c r="G15" s="2578"/>
      <c r="H15" s="2579"/>
      <c r="I15" s="1905" t="s">
        <v>1671</v>
      </c>
      <c r="J15" s="2577" t="s">
        <v>6917</v>
      </c>
      <c r="K15" s="2578"/>
      <c r="L15" s="2579"/>
      <c r="M15" s="1906" t="s">
        <v>1839</v>
      </c>
      <c r="N15" s="2580" t="s">
        <v>6978</v>
      </c>
      <c r="O15" s="2581"/>
      <c r="P15" s="2582"/>
      <c r="Q15" s="2537"/>
      <c r="R15" s="2538"/>
      <c r="S15" s="2539"/>
      <c r="Z15" s="1708">
        <v>15</v>
      </c>
    </row>
    <row r="16" spans="1:26" s="144" customFormat="1">
      <c r="B16" s="246" t="s">
        <v>1840</v>
      </c>
      <c r="F16" s="2563" t="s">
        <v>6918</v>
      </c>
      <c r="G16" s="2564"/>
      <c r="H16" s="2564"/>
      <c r="I16" s="2564"/>
      <c r="J16" s="2564"/>
      <c r="K16" s="2564"/>
      <c r="L16" s="2565"/>
      <c r="M16" s="2566" t="s">
        <v>3299</v>
      </c>
      <c r="N16" s="2566"/>
      <c r="O16" s="2566"/>
      <c r="P16" s="2566"/>
      <c r="Q16" s="2537"/>
      <c r="R16" s="2538"/>
      <c r="S16" s="2539"/>
      <c r="Z16" s="1708">
        <v>16</v>
      </c>
    </row>
    <row r="17" spans="1:26" s="144" customFormat="1">
      <c r="B17" s="246" t="s">
        <v>575</v>
      </c>
      <c r="F17" s="2567" t="s">
        <v>1749</v>
      </c>
      <c r="G17" s="2568"/>
      <c r="H17" s="2569"/>
      <c r="I17" s="1908" t="s">
        <v>1672</v>
      </c>
      <c r="J17" s="1907" t="s">
        <v>791</v>
      </c>
      <c r="K17" s="1911"/>
      <c r="L17" s="1909"/>
      <c r="M17" s="2566"/>
      <c r="N17" s="2566"/>
      <c r="O17" s="2566"/>
      <c r="P17" s="2566"/>
      <c r="Q17" s="2537"/>
      <c r="R17" s="2538"/>
      <c r="S17" s="2539"/>
      <c r="Z17" s="1708">
        <v>17</v>
      </c>
    </row>
    <row r="18" spans="1:26" s="144" customFormat="1">
      <c r="B18" s="246" t="s">
        <v>2062</v>
      </c>
      <c r="F18" s="2570">
        <v>300803048</v>
      </c>
      <c r="G18" s="2571"/>
      <c r="H18" s="2572"/>
      <c r="I18" s="1910" t="s">
        <v>1600</v>
      </c>
      <c r="J18" s="2573">
        <v>7704319696</v>
      </c>
      <c r="K18" s="2574"/>
      <c r="L18" s="248" t="s">
        <v>1599</v>
      </c>
      <c r="M18" s="652"/>
      <c r="N18" s="246" t="s">
        <v>1601</v>
      </c>
      <c r="O18" s="2575">
        <v>3214313164</v>
      </c>
      <c r="P18" s="2576"/>
      <c r="Q18" s="2537"/>
      <c r="R18" s="2538"/>
      <c r="S18" s="2539"/>
      <c r="Z18" s="1708">
        <v>18</v>
      </c>
    </row>
    <row r="19" spans="1:26" s="144" customFormat="1">
      <c r="B19" s="246" t="s">
        <v>1843</v>
      </c>
      <c r="F19" s="2556" t="s">
        <v>6919</v>
      </c>
      <c r="G19" s="2557"/>
      <c r="H19" s="2557"/>
      <c r="I19" s="2557"/>
      <c r="J19" s="2557"/>
      <c r="K19" s="2558"/>
      <c r="N19" s="246" t="s">
        <v>1838</v>
      </c>
      <c r="O19" s="2559">
        <v>3214313164</v>
      </c>
      <c r="P19" s="2560"/>
      <c r="Q19" s="2537"/>
      <c r="R19" s="2538"/>
      <c r="S19" s="2539"/>
      <c r="Z19" s="1708">
        <v>19</v>
      </c>
    </row>
    <row r="20" spans="1:26" s="144" customFormat="1">
      <c r="A20" s="375"/>
      <c r="B20" s="243" t="s">
        <v>3675</v>
      </c>
      <c r="C20" s="145"/>
      <c r="H20" s="248"/>
      <c r="J20" s="145"/>
      <c r="P20" s="248"/>
      <c r="Q20" s="2537"/>
      <c r="R20" s="2538"/>
      <c r="S20" s="2539"/>
      <c r="Z20" s="1708">
        <v>20</v>
      </c>
    </row>
    <row r="21" spans="1:26" s="144" customFormat="1">
      <c r="B21" s="144" t="s">
        <v>3300</v>
      </c>
      <c r="F21" s="2577" t="s">
        <v>1023</v>
      </c>
      <c r="G21" s="2578"/>
      <c r="H21" s="2579"/>
      <c r="I21" s="1905" t="s">
        <v>1671</v>
      </c>
      <c r="J21" s="2577" t="s">
        <v>6920</v>
      </c>
      <c r="K21" s="2578"/>
      <c r="L21" s="2579"/>
      <c r="M21" s="1906" t="s">
        <v>1839</v>
      </c>
      <c r="N21" s="2580" t="s">
        <v>6922</v>
      </c>
      <c r="O21" s="2581"/>
      <c r="P21" s="2582"/>
      <c r="Q21" s="2537"/>
      <c r="R21" s="2538"/>
      <c r="S21" s="2539"/>
      <c r="Z21" s="1708">
        <v>21</v>
      </c>
    </row>
    <row r="22" spans="1:26" s="144" customFormat="1">
      <c r="B22" s="246" t="s">
        <v>1840</v>
      </c>
      <c r="F22" s="2563" t="s">
        <v>6921</v>
      </c>
      <c r="G22" s="2564"/>
      <c r="H22" s="2564"/>
      <c r="I22" s="2564"/>
      <c r="J22" s="2564"/>
      <c r="K22" s="2564"/>
      <c r="L22" s="2565"/>
      <c r="M22" s="2583" t="s">
        <v>3299</v>
      </c>
      <c r="N22" s="2583"/>
      <c r="O22" s="2583"/>
      <c r="P22" s="2583"/>
      <c r="Q22" s="2537"/>
      <c r="R22" s="2538"/>
      <c r="S22" s="2539"/>
      <c r="Z22" s="1708">
        <v>22</v>
      </c>
    </row>
    <row r="23" spans="1:26" s="144" customFormat="1">
      <c r="B23" s="246" t="s">
        <v>575</v>
      </c>
      <c r="F23" s="2567" t="s">
        <v>1148</v>
      </c>
      <c r="G23" s="2568"/>
      <c r="H23" s="2569"/>
      <c r="I23" s="1912" t="s">
        <v>1672</v>
      </c>
      <c r="J23" s="1907" t="s">
        <v>791</v>
      </c>
      <c r="K23" s="1911"/>
      <c r="L23" s="1909"/>
      <c r="M23" s="2583"/>
      <c r="N23" s="2583"/>
      <c r="O23" s="2583"/>
      <c r="P23" s="2583"/>
      <c r="Q23" s="2537"/>
      <c r="R23" s="2538"/>
      <c r="S23" s="2539"/>
      <c r="Z23" s="1708">
        <v>23</v>
      </c>
    </row>
    <row r="24" spans="1:26" s="144" customFormat="1">
      <c r="B24" s="246" t="s">
        <v>2062</v>
      </c>
      <c r="F24" s="2570">
        <v>305030000</v>
      </c>
      <c r="G24" s="2571"/>
      <c r="H24" s="2572"/>
      <c r="I24" s="1910" t="s">
        <v>1600</v>
      </c>
      <c r="J24" s="2573">
        <v>7705361294</v>
      </c>
      <c r="K24" s="2574"/>
      <c r="L24" s="248" t="s">
        <v>1599</v>
      </c>
      <c r="M24" s="652">
        <v>205</v>
      </c>
      <c r="N24" s="246" t="s">
        <v>1601</v>
      </c>
      <c r="O24" s="2575">
        <v>7705361294</v>
      </c>
      <c r="P24" s="2576"/>
      <c r="Q24" s="2537"/>
      <c r="R24" s="2538"/>
      <c r="S24" s="2539"/>
      <c r="Z24" s="1708">
        <v>24</v>
      </c>
    </row>
    <row r="25" spans="1:26" s="144" customFormat="1">
      <c r="B25" s="246" t="s">
        <v>1843</v>
      </c>
      <c r="F25" s="2556" t="s">
        <v>6923</v>
      </c>
      <c r="G25" s="2557"/>
      <c r="H25" s="2557"/>
      <c r="I25" s="2557"/>
      <c r="J25" s="2557"/>
      <c r="K25" s="2558"/>
      <c r="N25" s="246" t="s">
        <v>1838</v>
      </c>
      <c r="O25" s="2559">
        <v>4044317189</v>
      </c>
      <c r="P25" s="2560"/>
      <c r="Q25" s="2537"/>
      <c r="R25" s="2538"/>
      <c r="S25" s="2539"/>
      <c r="Z25" s="1708">
        <v>25</v>
      </c>
    </row>
    <row r="26" spans="1:26" s="144" customFormat="1" ht="6" customHeight="1">
      <c r="I26" s="145"/>
      <c r="J26" s="145"/>
      <c r="K26" s="145"/>
      <c r="L26" s="145"/>
      <c r="M26" s="145"/>
      <c r="N26" s="145"/>
      <c r="O26" s="145"/>
      <c r="P26" s="145"/>
      <c r="Q26" s="2537"/>
      <c r="R26" s="2538"/>
      <c r="S26" s="2539"/>
      <c r="Z26" s="1708">
        <v>26</v>
      </c>
    </row>
    <row r="27" spans="1:26" s="144" customFormat="1" ht="13.35" customHeight="1">
      <c r="A27" s="222" t="s">
        <v>1667</v>
      </c>
      <c r="B27" s="243" t="s">
        <v>1382</v>
      </c>
      <c r="D27" s="145"/>
      <c r="E27" s="245"/>
      <c r="F27" s="245"/>
      <c r="G27" s="246"/>
      <c r="H27" s="245"/>
      <c r="I27" s="245"/>
      <c r="J27" s="245"/>
      <c r="Q27" s="2537"/>
      <c r="R27" s="2538"/>
      <c r="S27" s="2539"/>
      <c r="Z27" s="1708">
        <v>27</v>
      </c>
    </row>
    <row r="28" spans="1:26" s="144" customFormat="1" ht="1.5" customHeight="1">
      <c r="A28" s="222"/>
      <c r="B28" s="243"/>
      <c r="D28" s="145"/>
      <c r="E28" s="245"/>
      <c r="F28" s="245"/>
      <c r="G28" s="246"/>
      <c r="H28" s="245"/>
      <c r="I28" s="245"/>
      <c r="J28" s="245"/>
      <c r="L28" s="247"/>
      <c r="M28" s="247"/>
      <c r="Q28" s="2537"/>
      <c r="R28" s="2538"/>
      <c r="S28" s="2539"/>
      <c r="Z28" s="1708">
        <v>28</v>
      </c>
    </row>
    <row r="29" spans="1:26" s="144" customFormat="1" ht="13.35" customHeight="1">
      <c r="A29" s="243"/>
      <c r="B29" s="144" t="s">
        <v>574</v>
      </c>
      <c r="D29" s="243"/>
      <c r="F29" s="2584" t="s">
        <v>6915</v>
      </c>
      <c r="G29" s="2585"/>
      <c r="H29" s="2585"/>
      <c r="I29" s="2581"/>
      <c r="J29" s="2585"/>
      <c r="K29" s="2586"/>
      <c r="M29" s="246" t="s">
        <v>425</v>
      </c>
      <c r="P29" s="1913" t="s">
        <v>2652</v>
      </c>
      <c r="Q29" s="2537"/>
      <c r="R29" s="2538"/>
      <c r="S29" s="2539"/>
      <c r="Z29" s="1708">
        <v>29</v>
      </c>
    </row>
    <row r="30" spans="1:26" s="144" customFormat="1">
      <c r="A30" s="375"/>
      <c r="B30" s="144" t="s">
        <v>575</v>
      </c>
      <c r="F30" s="2567" t="s">
        <v>1148</v>
      </c>
      <c r="G30" s="2568"/>
      <c r="H30" s="2569"/>
      <c r="I30" s="257" t="s">
        <v>576</v>
      </c>
      <c r="J30" s="2587" t="str">
        <f>IF(F30="","",VLOOKUP(F30,'DCA Underwriting Assumptions'!$T$136:$U$765,2,FALSE))</f>
        <v>Hall</v>
      </c>
      <c r="K30" s="2588"/>
      <c r="M30" s="246" t="s">
        <v>426</v>
      </c>
      <c r="P30" s="1970" t="s">
        <v>2655</v>
      </c>
      <c r="Q30" s="2537"/>
      <c r="R30" s="2538"/>
      <c r="S30" s="2539"/>
      <c r="U30" s="375"/>
      <c r="Z30" s="1708">
        <v>30</v>
      </c>
    </row>
    <row r="31" spans="1:26" s="144" customFormat="1" ht="13.5">
      <c r="A31" s="375"/>
      <c r="B31" s="144" t="s">
        <v>3912</v>
      </c>
      <c r="C31" s="251"/>
      <c r="D31" s="252"/>
      <c r="E31" s="252"/>
      <c r="F31" s="2545" t="s">
        <v>6916</v>
      </c>
      <c r="G31" s="2546"/>
      <c r="H31" s="2547"/>
      <c r="I31" s="248"/>
      <c r="J31" s="392" t="s">
        <v>6727</v>
      </c>
      <c r="K31" s="248"/>
      <c r="M31" s="246" t="s">
        <v>6678</v>
      </c>
      <c r="O31" s="2605">
        <v>20.07</v>
      </c>
      <c r="P31" s="2606"/>
      <c r="Q31" s="2537"/>
      <c r="R31" s="2538"/>
      <c r="S31" s="2539"/>
      <c r="Z31" s="1708">
        <v>31</v>
      </c>
    </row>
    <row r="32" spans="1:26" s="144" customFormat="1">
      <c r="A32" s="375"/>
      <c r="B32" s="144" t="s">
        <v>1456</v>
      </c>
      <c r="F32" s="1263" t="s">
        <v>2655</v>
      </c>
      <c r="G32" s="820"/>
      <c r="I32" s="1969"/>
      <c r="J32" s="248" t="s">
        <v>2502</v>
      </c>
      <c r="K32" s="1971" t="str">
        <f>IF(F32="Yes","Rural","Urban")</f>
        <v>Urban</v>
      </c>
      <c r="M32" s="246" t="s">
        <v>2400</v>
      </c>
      <c r="N32" s="1972" t="str">
        <f>VLOOKUP($J$30,'DCA Underwriting Assumptions'!$G$136:$J$295,4)</f>
        <v>MSA</v>
      </c>
      <c r="O32" s="2587" t="str">
        <f>IF($F$30="","",VLOOKUP($J$30,'DCA Underwriting Assumptions'!$G$136:$L$295,3,FALSE))</f>
        <v>Gainesville</v>
      </c>
      <c r="P32" s="2588"/>
      <c r="Q32" s="2537"/>
      <c r="R32" s="2538"/>
      <c r="S32" s="2539"/>
      <c r="Z32" s="1708">
        <v>32</v>
      </c>
    </row>
    <row r="33" spans="1:26" s="144" customFormat="1">
      <c r="A33" s="375"/>
      <c r="B33" s="375"/>
      <c r="C33" s="251"/>
      <c r="D33" s="252"/>
      <c r="E33" s="252"/>
      <c r="F33" s="248"/>
      <c r="G33" s="248"/>
      <c r="H33" s="248"/>
      <c r="I33" s="248"/>
      <c r="J33" s="252"/>
      <c r="K33" s="248"/>
      <c r="L33" s="248"/>
      <c r="P33" s="248"/>
      <c r="Q33" s="2537"/>
      <c r="R33" s="2538"/>
      <c r="S33" s="2539"/>
      <c r="Z33" s="1708">
        <v>33</v>
      </c>
    </row>
    <row r="34" spans="1:26" s="144" customFormat="1">
      <c r="A34" s="222" t="s">
        <v>1669</v>
      </c>
      <c r="B34" s="222" t="s">
        <v>6665</v>
      </c>
      <c r="D34" s="253"/>
      <c r="E34" s="253"/>
      <c r="F34" s="253"/>
      <c r="G34" s="248"/>
      <c r="H34" s="248"/>
      <c r="I34" s="248"/>
      <c r="J34" s="252"/>
      <c r="K34" s="248"/>
      <c r="L34" s="248"/>
      <c r="P34" s="1951"/>
      <c r="Q34" s="2537"/>
      <c r="R34" s="2538"/>
      <c r="S34" s="2539"/>
      <c r="Z34" s="1708">
        <v>34</v>
      </c>
    </row>
    <row r="35" spans="1:26" s="144" customFormat="1" ht="2.25" customHeight="1">
      <c r="A35" s="375"/>
      <c r="B35" s="375"/>
      <c r="M35" s="246"/>
      <c r="N35" s="1216"/>
      <c r="O35" s="1216"/>
      <c r="P35" s="1553"/>
      <c r="Q35" s="2537"/>
      <c r="R35" s="2538"/>
      <c r="S35" s="2539"/>
      <c r="Z35" s="1708">
        <v>35</v>
      </c>
    </row>
    <row r="36" spans="1:26" s="144" customFormat="1">
      <c r="A36" s="375"/>
      <c r="B36" s="222" t="s">
        <v>6664</v>
      </c>
      <c r="D36" s="817"/>
      <c r="E36" s="817"/>
      <c r="F36" s="817"/>
      <c r="G36" s="817"/>
      <c r="H36" s="248"/>
      <c r="J36" s="145"/>
      <c r="K36" s="252"/>
      <c r="P36" s="248"/>
      <c r="Q36" s="2537"/>
      <c r="R36" s="2538"/>
      <c r="S36" s="2539"/>
      <c r="Z36" s="1708">
        <v>36</v>
      </c>
    </row>
    <row r="37" spans="1:26" s="144" customFormat="1" ht="1.5" customHeight="1">
      <c r="A37" s="375"/>
      <c r="B37" s="375"/>
      <c r="C37" s="222"/>
      <c r="D37" s="817"/>
      <c r="E37" s="817"/>
      <c r="F37" s="817"/>
      <c r="G37" s="817"/>
      <c r="H37" s="248"/>
      <c r="J37" s="145"/>
      <c r="K37" s="252"/>
      <c r="P37" s="248"/>
      <c r="Q37" s="2537"/>
      <c r="R37" s="2538"/>
      <c r="S37" s="2539"/>
      <c r="Z37" s="1708">
        <v>37</v>
      </c>
    </row>
    <row r="38" spans="1:26" s="144" customFormat="1" ht="13.5" hidden="1" customHeight="1">
      <c r="A38" s="375"/>
      <c r="B38" s="375"/>
      <c r="C38" s="144" t="s">
        <v>1209</v>
      </c>
      <c r="D38" s="258"/>
      <c r="I38" s="1250"/>
      <c r="K38" s="243"/>
      <c r="L38" s="144" t="s">
        <v>3090</v>
      </c>
      <c r="P38" s="1899"/>
      <c r="Q38" s="2537"/>
      <c r="R38" s="2538"/>
      <c r="S38" s="2539"/>
      <c r="Z38" s="1708">
        <v>38</v>
      </c>
    </row>
    <row r="39" spans="1:26" s="144" customFormat="1" ht="12.75" hidden="1" customHeight="1">
      <c r="A39" s="375"/>
      <c r="B39" s="243"/>
      <c r="C39" s="144" t="s">
        <v>3938</v>
      </c>
      <c r="I39" s="1893"/>
      <c r="J39" s="257" t="s">
        <v>2486</v>
      </c>
      <c r="O39" s="2543"/>
      <c r="P39" s="2544"/>
      <c r="Q39" s="2537"/>
      <c r="R39" s="2538"/>
      <c r="S39" s="2539"/>
      <c r="Z39" s="1708">
        <v>39</v>
      </c>
    </row>
    <row r="40" spans="1:26" s="144" customFormat="1" ht="12.75" customHeight="1">
      <c r="A40" s="375"/>
      <c r="B40" s="243"/>
      <c r="C40" s="144" t="s">
        <v>1677</v>
      </c>
      <c r="I40" s="1250" t="s">
        <v>2655</v>
      </c>
      <c r="J40" s="257" t="s">
        <v>2486</v>
      </c>
      <c r="O40" s="2554"/>
      <c r="P40" s="2555"/>
      <c r="Q40" s="2537"/>
      <c r="R40" s="2538"/>
      <c r="S40" s="2539"/>
      <c r="Z40" s="1708">
        <v>40</v>
      </c>
    </row>
    <row r="41" spans="1:26" s="144" customFormat="1" ht="12.6" customHeight="1">
      <c r="A41" s="375"/>
      <c r="B41" s="375"/>
      <c r="C41" s="144" t="s">
        <v>2577</v>
      </c>
      <c r="I41" s="862" t="s">
        <v>2655</v>
      </c>
      <c r="J41" s="257" t="s">
        <v>2486</v>
      </c>
      <c r="O41" s="2561"/>
      <c r="P41" s="2562"/>
      <c r="Q41" s="2540"/>
      <c r="R41" s="2541"/>
      <c r="S41" s="2542"/>
      <c r="Z41" s="1708">
        <v>41</v>
      </c>
    </row>
    <row r="42" spans="1:26" s="144" customFormat="1" ht="3" customHeight="1">
      <c r="A42" s="375"/>
      <c r="B42" s="375"/>
      <c r="P42" s="145"/>
      <c r="Z42" s="1708">
        <v>42</v>
      </c>
    </row>
    <row r="43" spans="1:26" s="144" customFormat="1" ht="8.25" customHeight="1">
      <c r="B43" s="243"/>
      <c r="L43" s="145"/>
      <c r="M43" s="145"/>
      <c r="N43" s="145"/>
      <c r="O43" s="145"/>
      <c r="P43" s="247"/>
      <c r="Z43" s="1708">
        <v>43</v>
      </c>
    </row>
    <row r="44" spans="1:26" ht="12" customHeight="1">
      <c r="A44" s="375" t="s">
        <v>496</v>
      </c>
      <c r="C44" s="253" t="s">
        <v>530</v>
      </c>
      <c r="M44" s="253" t="s">
        <v>720</v>
      </c>
      <c r="N44" s="253" t="s">
        <v>74</v>
      </c>
      <c r="Z44" s="1708">
        <v>44</v>
      </c>
    </row>
    <row r="45" spans="1:26" ht="409.5" customHeight="1">
      <c r="A45" s="2548" t="s">
        <v>6999</v>
      </c>
      <c r="B45" s="2549"/>
      <c r="C45" s="2549"/>
      <c r="D45" s="2549"/>
      <c r="E45" s="2549"/>
      <c r="F45" s="2549"/>
      <c r="G45" s="2549"/>
      <c r="H45" s="2549"/>
      <c r="I45" s="2549"/>
      <c r="J45" s="2549"/>
      <c r="K45" s="2549"/>
      <c r="L45" s="2550"/>
      <c r="M45" s="2551"/>
      <c r="N45" s="2552"/>
      <c r="O45" s="2552"/>
      <c r="P45" s="2553"/>
      <c r="Q45" s="2534"/>
      <c r="R45" s="2533"/>
      <c r="S45" s="2533"/>
      <c r="T45" s="367"/>
      <c r="U45" s="367"/>
      <c r="Z45" s="1708">
        <v>218</v>
      </c>
    </row>
    <row r="46" spans="1:26" ht="12" customHeight="1">
      <c r="Q46" s="367"/>
      <c r="R46" s="367"/>
      <c r="S46" s="367"/>
      <c r="T46" s="367"/>
      <c r="U46" s="367"/>
      <c r="Z46" s="1709"/>
    </row>
    <row r="47" spans="1:26">
      <c r="Z47" s="1709"/>
    </row>
    <row r="49" spans="1:44">
      <c r="P49" s="857"/>
      <c r="Q49" s="857"/>
      <c r="R49" s="857"/>
    </row>
    <row r="50" spans="1:44">
      <c r="P50" s="857"/>
      <c r="Q50" s="857"/>
      <c r="R50" s="857"/>
    </row>
    <row r="51" spans="1:44">
      <c r="P51" s="857"/>
      <c r="Q51" s="857"/>
      <c r="R51" s="857"/>
    </row>
    <row r="52" spans="1:44">
      <c r="P52" s="857"/>
      <c r="Q52" s="857"/>
      <c r="R52" s="857"/>
    </row>
    <row r="53" spans="1:44" s="378" customFormat="1" ht="12" customHeight="1">
      <c r="A53" s="145"/>
      <c r="B53" s="253"/>
      <c r="C53" s="145"/>
      <c r="D53" s="145"/>
      <c r="E53" s="145"/>
      <c r="F53" s="145"/>
      <c r="G53" s="145"/>
      <c r="H53" s="145"/>
      <c r="I53" s="145"/>
      <c r="J53" s="145"/>
      <c r="K53" s="145"/>
      <c r="L53" s="145"/>
      <c r="M53" s="145"/>
      <c r="N53" s="145"/>
      <c r="O53" s="145"/>
      <c r="P53" s="857"/>
      <c r="Q53" s="857"/>
      <c r="R53" s="857"/>
      <c r="X53" s="145"/>
      <c r="Y53" s="145"/>
      <c r="Z53" s="1683"/>
      <c r="AA53" s="145"/>
      <c r="AB53" s="145"/>
      <c r="AC53" s="145"/>
      <c r="AD53" s="145"/>
      <c r="AE53" s="145"/>
      <c r="AF53" s="145"/>
      <c r="AG53" s="145"/>
      <c r="AH53" s="145"/>
      <c r="AI53" s="145"/>
      <c r="AJ53" s="145"/>
      <c r="AK53" s="145"/>
      <c r="AL53" s="145"/>
      <c r="AM53" s="145"/>
      <c r="AN53" s="145"/>
      <c r="AO53" s="145"/>
      <c r="AP53" s="145"/>
      <c r="AQ53" s="145"/>
      <c r="AR53" s="145"/>
    </row>
    <row r="54" spans="1:44" s="378" customFormat="1" ht="23.1" customHeight="1">
      <c r="A54" s="145"/>
      <c r="B54" s="145"/>
      <c r="C54" s="145"/>
      <c r="D54" s="145"/>
      <c r="E54" s="145"/>
      <c r="F54" s="145"/>
      <c r="G54" s="145"/>
      <c r="H54" s="145"/>
      <c r="I54" s="145"/>
      <c r="J54" s="145"/>
      <c r="K54" s="145"/>
      <c r="L54" s="145"/>
      <c r="M54" s="145"/>
      <c r="N54" s="145"/>
      <c r="O54" s="145"/>
      <c r="P54" s="858"/>
      <c r="Q54" s="857"/>
      <c r="R54" s="857"/>
      <c r="T54" s="402"/>
      <c r="U54" s="401"/>
      <c r="X54" s="145"/>
      <c r="Y54" s="145"/>
      <c r="Z54" s="1683"/>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3"/>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3"/>
      <c r="AA56" s="145"/>
      <c r="AB56" s="145"/>
      <c r="AC56" s="145"/>
      <c r="AD56" s="145"/>
      <c r="AE56" s="145"/>
      <c r="AF56" s="145"/>
      <c r="AG56" s="145"/>
      <c r="AH56" s="145"/>
      <c r="AI56" s="145"/>
      <c r="AJ56" s="145"/>
      <c r="AK56" s="145"/>
      <c r="AL56" s="145"/>
      <c r="AM56" s="145"/>
      <c r="AN56" s="145"/>
      <c r="AO56" s="145"/>
      <c r="AP56" s="145"/>
      <c r="AQ56" s="145"/>
      <c r="AR56" s="145"/>
    </row>
    <row r="57" spans="1:44" s="857" customFormat="1" ht="12" customHeight="1">
      <c r="P57" s="858"/>
      <c r="T57" s="861"/>
      <c r="U57" s="861"/>
      <c r="Z57" s="1683"/>
    </row>
    <row r="58" spans="1:44" s="378" customFormat="1" ht="12" customHeight="1">
      <c r="A58" s="145"/>
      <c r="B58" s="145"/>
      <c r="C58" s="145"/>
      <c r="D58" s="145"/>
      <c r="E58" s="145"/>
      <c r="F58" s="145"/>
      <c r="G58" s="145"/>
      <c r="H58" s="145"/>
      <c r="I58" s="145"/>
      <c r="J58" s="145"/>
      <c r="K58" s="145"/>
      <c r="L58" s="145"/>
      <c r="M58" s="145"/>
      <c r="N58" s="145"/>
      <c r="O58" s="145"/>
      <c r="P58" s="858"/>
      <c r="Q58" s="857"/>
      <c r="R58" s="857"/>
      <c r="T58" s="379"/>
      <c r="U58" s="379"/>
      <c r="X58" s="145"/>
      <c r="Y58" s="145"/>
      <c r="Z58" s="1683"/>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7"/>
      <c r="R59" s="857"/>
      <c r="T59" s="379"/>
      <c r="U59" s="379"/>
      <c r="X59" s="145"/>
      <c r="Y59" s="145"/>
      <c r="Z59" s="1683"/>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7"/>
      <c r="R60" s="857"/>
      <c r="T60" s="379"/>
      <c r="U60" s="379"/>
      <c r="X60" s="145"/>
      <c r="Y60" s="145"/>
      <c r="Z60" s="1683"/>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7"/>
      <c r="R61" s="857"/>
      <c r="T61" s="379"/>
      <c r="U61" s="379"/>
      <c r="X61" s="145"/>
      <c r="Y61" s="145"/>
      <c r="Z61" s="1683"/>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145"/>
      <c r="E62" s="145"/>
      <c r="F62" s="145"/>
      <c r="G62" s="145"/>
      <c r="H62" s="145"/>
      <c r="I62" s="145"/>
      <c r="J62" s="145"/>
      <c r="K62" s="145"/>
      <c r="L62" s="145"/>
      <c r="M62" s="145"/>
      <c r="N62" s="145"/>
      <c r="O62" s="145"/>
      <c r="P62" s="858"/>
      <c r="Q62" s="859"/>
      <c r="R62" s="857"/>
      <c r="X62" s="145"/>
      <c r="Y62" s="145"/>
      <c r="Z62" s="1683"/>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145"/>
      <c r="E63" s="145"/>
      <c r="F63" s="145"/>
      <c r="G63" s="145"/>
      <c r="H63" s="145"/>
      <c r="I63" s="145"/>
      <c r="J63" s="145"/>
      <c r="K63" s="145"/>
      <c r="L63" s="145"/>
      <c r="M63" s="145"/>
      <c r="N63" s="145"/>
      <c r="O63" s="145"/>
      <c r="P63" s="858"/>
      <c r="Q63" s="859"/>
      <c r="R63" s="857"/>
      <c r="X63" s="145"/>
      <c r="Y63" s="145"/>
      <c r="Z63" s="1683"/>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145"/>
      <c r="E64" s="145"/>
      <c r="F64" s="145"/>
      <c r="G64" s="145"/>
      <c r="H64" s="145"/>
      <c r="I64" s="145"/>
      <c r="J64" s="145"/>
      <c r="K64" s="145"/>
      <c r="L64" s="145"/>
      <c r="M64" s="145"/>
      <c r="N64" s="145"/>
      <c r="O64" s="145"/>
      <c r="P64" s="858"/>
      <c r="Q64" s="859"/>
      <c r="R64" s="857"/>
      <c r="X64" s="145"/>
      <c r="Y64" s="145"/>
      <c r="Z64" s="1683"/>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145"/>
      <c r="E65" s="145"/>
      <c r="F65" s="145"/>
      <c r="G65" s="145"/>
      <c r="H65" s="145"/>
      <c r="I65" s="145"/>
      <c r="J65" s="145"/>
      <c r="K65" s="145"/>
      <c r="L65" s="145"/>
      <c r="M65" s="145"/>
      <c r="N65" s="145"/>
      <c r="O65" s="145"/>
      <c r="P65" s="858"/>
      <c r="Q65" s="859"/>
      <c r="R65" s="857"/>
      <c r="X65" s="145"/>
      <c r="Y65" s="145"/>
      <c r="Z65" s="1683"/>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2562</v>
      </c>
      <c r="K66" s="145"/>
      <c r="L66" s="145"/>
      <c r="M66" s="145"/>
      <c r="N66" s="145"/>
      <c r="O66" s="145"/>
      <c r="P66" s="858"/>
      <c r="Q66" s="859"/>
      <c r="R66" s="857"/>
      <c r="X66" s="145"/>
      <c r="Y66" s="145"/>
      <c r="Z66" s="1683"/>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2563</v>
      </c>
      <c r="K67" s="145"/>
      <c r="L67" s="145"/>
      <c r="M67" s="145"/>
      <c r="N67" s="145"/>
      <c r="O67" s="145"/>
      <c r="P67" s="858"/>
      <c r="Q67" s="859"/>
      <c r="R67" s="857"/>
      <c r="X67" s="145"/>
      <c r="Y67" s="145"/>
      <c r="Z67" s="1683"/>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2564</v>
      </c>
      <c r="K68" s="145"/>
      <c r="L68" s="145"/>
      <c r="M68" s="145"/>
      <c r="N68" s="145"/>
      <c r="O68" s="145"/>
      <c r="P68" s="858"/>
      <c r="Q68" s="859"/>
      <c r="R68" s="857"/>
      <c r="X68" s="145"/>
      <c r="Y68" s="145"/>
      <c r="Z68" s="1683"/>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2565</v>
      </c>
      <c r="K69" s="145"/>
      <c r="L69" s="145"/>
      <c r="M69" s="145"/>
      <c r="N69" s="145"/>
      <c r="O69" s="145"/>
      <c r="P69" s="858"/>
      <c r="Q69" s="859"/>
      <c r="R69" s="857"/>
      <c r="X69" s="145"/>
      <c r="Y69" s="145"/>
      <c r="Z69" s="1683"/>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2566</v>
      </c>
      <c r="K70" s="145"/>
      <c r="L70" s="145"/>
      <c r="M70" s="145"/>
      <c r="N70" s="145"/>
      <c r="O70" s="145"/>
      <c r="P70" s="858"/>
      <c r="Q70" s="859"/>
      <c r="R70" s="857"/>
      <c r="X70" s="145"/>
      <c r="Y70" s="145"/>
      <c r="Z70" s="1683"/>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2567</v>
      </c>
      <c r="K71" s="145"/>
      <c r="L71" s="145"/>
      <c r="M71" s="145"/>
      <c r="N71" s="145"/>
      <c r="O71" s="145"/>
      <c r="P71" s="858"/>
      <c r="Q71" s="859"/>
      <c r="R71" s="857"/>
      <c r="X71" s="145"/>
      <c r="Y71" s="145"/>
      <c r="Z71" s="1683"/>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807" t="s">
        <v>2568</v>
      </c>
      <c r="K72" s="145"/>
      <c r="L72" s="145"/>
      <c r="M72" s="145"/>
      <c r="N72" s="145"/>
      <c r="O72" s="145"/>
      <c r="P72" s="858"/>
      <c r="Q72" s="859"/>
      <c r="R72" s="857"/>
      <c r="X72" s="145"/>
      <c r="Y72" s="145"/>
      <c r="Z72" s="1683"/>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807" t="s">
        <v>2569</v>
      </c>
      <c r="K73" s="145"/>
      <c r="L73" s="145"/>
      <c r="M73" s="145"/>
      <c r="N73" s="145"/>
      <c r="O73" s="145"/>
      <c r="P73" s="858"/>
      <c r="Q73" s="859"/>
      <c r="R73" s="857"/>
      <c r="X73" s="145"/>
      <c r="Y73" s="145"/>
      <c r="Z73" s="1683"/>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807" t="s">
        <v>2570</v>
      </c>
      <c r="K74" s="145"/>
      <c r="L74" s="145"/>
      <c r="M74" s="145"/>
      <c r="N74" s="145"/>
      <c r="O74" s="145"/>
      <c r="P74" s="858"/>
      <c r="Q74" s="859"/>
      <c r="R74" s="857"/>
      <c r="X74" s="145"/>
      <c r="Y74" s="145"/>
      <c r="Z74" s="1683"/>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807" t="s">
        <v>3295</v>
      </c>
      <c r="K75" s="145"/>
      <c r="L75" s="145"/>
      <c r="M75" s="145"/>
      <c r="N75" s="145"/>
      <c r="O75" s="145"/>
      <c r="P75" s="858"/>
      <c r="Q75" s="859"/>
      <c r="R75" s="857"/>
      <c r="X75" s="145"/>
      <c r="Y75" s="145"/>
      <c r="Z75" s="1683"/>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D76" s="236"/>
      <c r="E76" s="145"/>
      <c r="F76" s="145"/>
      <c r="G76" s="145"/>
      <c r="H76" s="145"/>
      <c r="I76" s="145"/>
      <c r="J76" s="145"/>
      <c r="K76" s="145"/>
      <c r="L76" s="145"/>
      <c r="M76" s="145"/>
      <c r="N76" s="145"/>
      <c r="O76" s="145"/>
      <c r="P76" s="858"/>
      <c r="Q76" s="859"/>
      <c r="R76" s="857"/>
      <c r="X76" s="145"/>
      <c r="Y76" s="145"/>
      <c r="Z76" s="1683"/>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D77" s="236"/>
      <c r="E77" s="145"/>
      <c r="F77" s="145"/>
      <c r="G77" s="145"/>
      <c r="H77" s="145"/>
      <c r="I77" s="145"/>
      <c r="J77" s="145"/>
      <c r="K77" s="145"/>
      <c r="L77" s="145"/>
      <c r="M77" s="145"/>
      <c r="N77" s="145"/>
      <c r="O77" s="145"/>
      <c r="P77" s="858"/>
      <c r="Q77" s="859"/>
      <c r="R77" s="857"/>
      <c r="X77" s="145"/>
      <c r="Y77" s="145"/>
      <c r="Z77" s="1683"/>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3"/>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D79" s="236"/>
      <c r="E79" s="145"/>
      <c r="F79" s="145"/>
      <c r="G79" s="145"/>
      <c r="H79" s="145"/>
      <c r="I79" s="145"/>
      <c r="J79" s="145"/>
      <c r="K79" s="145"/>
      <c r="L79" s="145"/>
      <c r="M79" s="145"/>
      <c r="N79" s="145"/>
      <c r="O79" s="145"/>
      <c r="P79" s="858"/>
      <c r="Q79" s="859"/>
      <c r="R79" s="857"/>
      <c r="X79" s="145"/>
      <c r="Y79" s="145"/>
      <c r="Z79" s="1683"/>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E80" s="145"/>
      <c r="F80" s="145"/>
      <c r="G80" s="145"/>
      <c r="H80" s="145"/>
      <c r="I80" s="145"/>
      <c r="J80" s="145"/>
      <c r="K80" s="145"/>
      <c r="L80" s="145"/>
      <c r="M80" s="145"/>
      <c r="N80" s="145"/>
      <c r="O80" s="145"/>
      <c r="P80" s="858"/>
      <c r="Q80" s="859"/>
      <c r="R80" s="857"/>
      <c r="X80" s="145"/>
      <c r="Y80" s="145"/>
      <c r="Z80" s="1683"/>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E81" s="145"/>
      <c r="F81" s="145"/>
      <c r="G81" s="145"/>
      <c r="H81" s="145"/>
      <c r="I81" s="145"/>
      <c r="J81" s="145"/>
      <c r="K81" s="145"/>
      <c r="L81" s="145"/>
      <c r="M81" s="145"/>
      <c r="N81" s="145"/>
      <c r="O81" s="145"/>
      <c r="P81" s="860"/>
      <c r="Q81" s="857"/>
      <c r="R81" s="857"/>
      <c r="X81" s="145"/>
      <c r="Y81" s="145"/>
      <c r="Z81" s="1683"/>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236"/>
      <c r="E82" s="145"/>
      <c r="F82" s="145"/>
      <c r="G82" s="145"/>
      <c r="H82" s="145"/>
      <c r="I82" s="145"/>
      <c r="J82" s="145"/>
      <c r="K82" s="145"/>
      <c r="L82" s="145"/>
      <c r="M82" s="145"/>
      <c r="N82" s="145"/>
      <c r="O82" s="145"/>
      <c r="P82" s="858"/>
      <c r="Q82" s="859"/>
      <c r="R82" s="857"/>
      <c r="X82" s="145"/>
      <c r="Y82" s="145"/>
      <c r="Z82" s="1683"/>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E83" s="145"/>
      <c r="F83" s="145"/>
      <c r="G83" s="145"/>
      <c r="H83" s="145"/>
      <c r="I83" s="145"/>
      <c r="J83" s="145"/>
      <c r="K83" s="145"/>
      <c r="L83" s="145"/>
      <c r="M83" s="145"/>
      <c r="N83" s="145"/>
      <c r="O83" s="145"/>
      <c r="P83" s="858"/>
      <c r="Q83" s="859"/>
      <c r="R83" s="857"/>
      <c r="X83" s="145"/>
      <c r="Y83" s="145"/>
      <c r="Z83" s="1683"/>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3"/>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60"/>
      <c r="Q85" s="857"/>
      <c r="R85" s="857"/>
      <c r="X85" s="145"/>
      <c r="Y85" s="145"/>
      <c r="Z85" s="1683"/>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3"/>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3"/>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3"/>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3"/>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3"/>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3"/>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3"/>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3"/>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3"/>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58"/>
      <c r="Q95" s="859"/>
      <c r="R95" s="857"/>
      <c r="X95" s="145"/>
      <c r="Y95" s="145"/>
      <c r="Z95" s="1683"/>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7"/>
      <c r="X96" s="145"/>
      <c r="Y96" s="145"/>
      <c r="Z96" s="1683"/>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7"/>
      <c r="X97" s="145"/>
      <c r="Y97" s="145"/>
      <c r="Z97" s="1683"/>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7"/>
      <c r="X98" s="145"/>
      <c r="Y98" s="145"/>
      <c r="Z98" s="1683"/>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60"/>
      <c r="Q99" s="859"/>
      <c r="R99" s="858"/>
      <c r="S99" s="403"/>
      <c r="X99" s="145"/>
      <c r="Y99" s="145"/>
      <c r="Z99" s="1683"/>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58"/>
      <c r="Q100" s="859"/>
      <c r="R100" s="858"/>
      <c r="S100" s="403"/>
      <c r="X100" s="145"/>
      <c r="Y100" s="145"/>
      <c r="Z100" s="1683"/>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8"/>
      <c r="S101" s="403"/>
      <c r="X101" s="145"/>
      <c r="Y101" s="145"/>
      <c r="Z101" s="1683"/>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8"/>
      <c r="S102" s="403"/>
      <c r="X102" s="145"/>
      <c r="Y102" s="145"/>
      <c r="Z102" s="1683"/>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58"/>
      <c r="Q103" s="857"/>
      <c r="R103" s="857"/>
      <c r="X103" s="145"/>
      <c r="Y103" s="145"/>
      <c r="Z103" s="1683"/>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60"/>
      <c r="Q104" s="857"/>
      <c r="R104" s="857"/>
      <c r="X104" s="145"/>
      <c r="Y104" s="145"/>
      <c r="Z104" s="1683"/>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3"/>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3"/>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60"/>
      <c r="Q107" s="859"/>
      <c r="R107" s="857"/>
      <c r="X107" s="145"/>
      <c r="Y107" s="145"/>
      <c r="Z107" s="1683"/>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3"/>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3"/>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3"/>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58"/>
      <c r="Q111" s="859"/>
      <c r="R111" s="857"/>
      <c r="X111" s="145"/>
      <c r="Y111" s="145"/>
      <c r="Z111" s="1683"/>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3"/>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3"/>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3"/>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60"/>
      <c r="Q115" s="859"/>
      <c r="R115" s="857"/>
      <c r="X115" s="145"/>
      <c r="Y115" s="145"/>
      <c r="Z115" s="1683"/>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3"/>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3"/>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3"/>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3"/>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3"/>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3"/>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3"/>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3"/>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3"/>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3"/>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58"/>
      <c r="Q126" s="859"/>
      <c r="R126" s="857"/>
      <c r="X126" s="145"/>
      <c r="Y126" s="145"/>
      <c r="Z126" s="1683"/>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3"/>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3"/>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3"/>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61"/>
      <c r="Q130" s="859"/>
      <c r="R130" s="857"/>
      <c r="X130" s="145"/>
      <c r="Y130" s="145"/>
      <c r="Z130" s="1683"/>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3"/>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3"/>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3"/>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3"/>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3"/>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3"/>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3"/>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3"/>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3"/>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3"/>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3"/>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3"/>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3"/>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3"/>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3"/>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3"/>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3"/>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3"/>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3"/>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3"/>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3"/>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3"/>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58"/>
      <c r="Q153" s="859"/>
      <c r="R153" s="857"/>
      <c r="X153" s="145"/>
      <c r="Y153" s="145"/>
      <c r="Z153" s="1683"/>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3"/>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3"/>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3"/>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60"/>
      <c r="Q157" s="859"/>
      <c r="R157" s="857"/>
      <c r="X157" s="145"/>
      <c r="Y157" s="145"/>
      <c r="Z157" s="1683"/>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3"/>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3"/>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3"/>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3"/>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3"/>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3"/>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9"/>
      <c r="R164" s="857"/>
      <c r="X164" s="145"/>
      <c r="Y164" s="145"/>
      <c r="Z164" s="1683"/>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3"/>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3"/>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3"/>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58"/>
      <c r="Q168" s="857"/>
      <c r="R168" s="857"/>
      <c r="X168" s="145"/>
      <c r="Y168" s="145"/>
      <c r="Z168" s="1683"/>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3"/>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3"/>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3"/>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3"/>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3"/>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3"/>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9"/>
      <c r="R175" s="857"/>
      <c r="X175" s="145"/>
      <c r="Y175" s="145"/>
      <c r="Z175" s="1683"/>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3"/>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3"/>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3"/>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7"/>
      <c r="R179" s="857"/>
      <c r="X179" s="145"/>
      <c r="Y179" s="145"/>
      <c r="Z179" s="1683"/>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3"/>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3"/>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58"/>
      <c r="Q182" s="859"/>
      <c r="R182" s="857"/>
      <c r="X182" s="145"/>
      <c r="Y182" s="145"/>
      <c r="Z182" s="1683"/>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9"/>
      <c r="R183" s="857"/>
      <c r="X183" s="145"/>
      <c r="Y183" s="145"/>
      <c r="Z183" s="1683"/>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60"/>
      <c r="Q184" s="857"/>
      <c r="R184" s="857"/>
      <c r="X184" s="145"/>
      <c r="Y184" s="145"/>
      <c r="Z184" s="1683"/>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3"/>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60"/>
      <c r="Q186" s="859"/>
      <c r="R186" s="857"/>
      <c r="X186" s="145"/>
      <c r="Y186" s="145"/>
      <c r="Z186" s="1683"/>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3"/>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58"/>
      <c r="Q188" s="859"/>
      <c r="R188" s="857"/>
      <c r="X188" s="145"/>
      <c r="Y188" s="145"/>
      <c r="Z188" s="1683"/>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3"/>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3"/>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7"/>
      <c r="R191" s="857"/>
      <c r="X191" s="145"/>
      <c r="Y191" s="145"/>
      <c r="Z191" s="1683"/>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60"/>
      <c r="Q192" s="859"/>
      <c r="R192" s="857"/>
      <c r="X192" s="145"/>
      <c r="Y192" s="145"/>
      <c r="Z192" s="1683"/>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3"/>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3"/>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3"/>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3"/>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3"/>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3"/>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3"/>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3"/>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3"/>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3"/>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3"/>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3"/>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3"/>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58"/>
      <c r="Q206" s="859"/>
      <c r="R206" s="857"/>
      <c r="X206" s="145"/>
      <c r="Y206" s="145"/>
      <c r="Z206" s="1683"/>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3"/>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7"/>
      <c r="X208" s="145"/>
      <c r="Y208" s="145"/>
      <c r="Z208" s="1683"/>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7"/>
      <c r="X209" s="145"/>
      <c r="Y209" s="145"/>
      <c r="Z209" s="1683"/>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60"/>
      <c r="Q210" s="859"/>
      <c r="R210" s="857"/>
      <c r="X210" s="145"/>
      <c r="Y210" s="145"/>
      <c r="Z210" s="1683"/>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9"/>
      <c r="R211" s="857"/>
      <c r="X211" s="145"/>
      <c r="Y211" s="145"/>
      <c r="Z211" s="1683"/>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58"/>
      <c r="Q212" s="859"/>
      <c r="R212" s="858"/>
      <c r="S212" s="403"/>
      <c r="X212" s="145"/>
      <c r="Y212" s="145"/>
      <c r="Z212" s="1683"/>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9"/>
      <c r="R213" s="858"/>
      <c r="S213" s="403"/>
      <c r="X213" s="145"/>
      <c r="Y213" s="145"/>
      <c r="Z213" s="1683"/>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9"/>
      <c r="R214" s="858"/>
      <c r="S214" s="403"/>
      <c r="X214" s="145"/>
      <c r="Y214" s="145"/>
      <c r="Z214" s="1683"/>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8"/>
      <c r="S215" s="403"/>
      <c r="X215" s="145"/>
      <c r="Y215" s="145"/>
      <c r="Z215" s="1683"/>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60"/>
      <c r="Q216" s="857"/>
      <c r="R216" s="858"/>
      <c r="S216" s="403"/>
      <c r="X216" s="145"/>
      <c r="Y216" s="145"/>
      <c r="Z216" s="1683"/>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8"/>
      <c r="S217" s="403"/>
      <c r="X217" s="145"/>
      <c r="Y217" s="145"/>
      <c r="Z217" s="1683"/>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8"/>
      <c r="S218" s="403"/>
      <c r="X218" s="145"/>
      <c r="Y218" s="145"/>
      <c r="Z218" s="1683"/>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58"/>
      <c r="Q219" s="857"/>
      <c r="R219" s="857"/>
      <c r="X219" s="145"/>
      <c r="Y219" s="145"/>
      <c r="Z219" s="1683"/>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3"/>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3"/>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3"/>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60"/>
      <c r="Q223" s="857"/>
      <c r="R223" s="857"/>
      <c r="X223" s="145"/>
      <c r="Y223" s="145"/>
      <c r="Z223" s="1683"/>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3"/>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3"/>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3"/>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58"/>
      <c r="Q227" s="857"/>
      <c r="R227" s="857"/>
      <c r="X227" s="145"/>
      <c r="Y227" s="145"/>
      <c r="Z227" s="1683"/>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58"/>
      <c r="Q228" s="857"/>
      <c r="R228" s="857"/>
      <c r="X228" s="145"/>
      <c r="Y228" s="145"/>
      <c r="Z228" s="1683"/>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3"/>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3"/>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60"/>
      <c r="Q231" s="857"/>
      <c r="R231" s="857"/>
      <c r="X231" s="145"/>
      <c r="Y231" s="145"/>
      <c r="Z231" s="1683"/>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60"/>
      <c r="Q232" s="857"/>
      <c r="R232" s="857"/>
      <c r="X232" s="145"/>
      <c r="Y232" s="145"/>
      <c r="Z232" s="1683"/>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3"/>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3"/>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3"/>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3"/>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145"/>
      <c r="C237" s="145"/>
      <c r="D237" s="145"/>
      <c r="E237" s="145"/>
      <c r="F237" s="145"/>
      <c r="G237" s="145"/>
      <c r="H237" s="145"/>
      <c r="I237" s="145"/>
      <c r="J237" s="145"/>
      <c r="K237" s="145"/>
      <c r="L237" s="145"/>
      <c r="M237" s="145"/>
      <c r="N237" s="145"/>
      <c r="O237" s="145"/>
      <c r="P237" s="858"/>
      <c r="Q237" s="857"/>
      <c r="R237" s="857"/>
      <c r="X237" s="145"/>
      <c r="Y237" s="145"/>
      <c r="Z237" s="1683"/>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145"/>
      <c r="C238" s="145"/>
      <c r="D238" s="145"/>
      <c r="E238" s="145"/>
      <c r="F238" s="145"/>
      <c r="G238" s="145"/>
      <c r="H238" s="145"/>
      <c r="I238" s="145"/>
      <c r="J238" s="145"/>
      <c r="K238" s="145"/>
      <c r="L238" s="145"/>
      <c r="M238" s="145"/>
      <c r="N238" s="145"/>
      <c r="O238" s="145"/>
      <c r="P238" s="858"/>
      <c r="Q238" s="857"/>
      <c r="R238" s="857"/>
      <c r="X238" s="145"/>
      <c r="Y238" s="145"/>
      <c r="Z238" s="1683"/>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145"/>
      <c r="C239" s="145"/>
      <c r="D239" s="145"/>
      <c r="E239" s="145"/>
      <c r="F239" s="145"/>
      <c r="G239" s="145"/>
      <c r="H239" s="145"/>
      <c r="I239" s="145"/>
      <c r="J239" s="145"/>
      <c r="K239" s="145"/>
      <c r="L239" s="145"/>
      <c r="M239" s="145"/>
      <c r="N239" s="145"/>
      <c r="O239" s="145"/>
      <c r="P239" s="858"/>
      <c r="Q239" s="857"/>
      <c r="R239" s="857"/>
      <c r="X239" s="145"/>
      <c r="Y239" s="145"/>
      <c r="Z239" s="1683"/>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145"/>
      <c r="C240" s="145"/>
      <c r="D240" s="145"/>
      <c r="E240" s="145"/>
      <c r="F240" s="145"/>
      <c r="G240" s="145"/>
      <c r="H240" s="145"/>
      <c r="I240" s="145"/>
      <c r="J240" s="145"/>
      <c r="K240" s="145"/>
      <c r="L240" s="145"/>
      <c r="M240" s="145"/>
      <c r="N240" s="145"/>
      <c r="O240" s="145"/>
      <c r="P240" s="858"/>
      <c r="Q240" s="857"/>
      <c r="R240" s="857"/>
      <c r="X240" s="145"/>
      <c r="Y240" s="145"/>
      <c r="Z240" s="1683"/>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3"/>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3"/>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58"/>
      <c r="Q243" s="857"/>
      <c r="R243" s="857"/>
      <c r="X243" s="145"/>
      <c r="Y243" s="145"/>
      <c r="Z243" s="1683"/>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58"/>
      <c r="Q244" s="857"/>
      <c r="R244" s="857"/>
      <c r="X244" s="145"/>
      <c r="Y244" s="145"/>
      <c r="Z244" s="1683"/>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58"/>
      <c r="Q245" s="857"/>
      <c r="R245" s="857"/>
      <c r="X245" s="145"/>
      <c r="Y245" s="145"/>
      <c r="Z245" s="1683"/>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3"/>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60"/>
      <c r="Q247" s="857"/>
      <c r="R247" s="857"/>
      <c r="X247" s="145"/>
      <c r="Y247" s="145"/>
      <c r="Z247" s="1683"/>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3"/>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60"/>
      <c r="Q249" s="857"/>
      <c r="R249" s="857"/>
      <c r="X249" s="145"/>
      <c r="Y249" s="145"/>
      <c r="Z249" s="1683"/>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3"/>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3"/>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60"/>
      <c r="Q252" s="857"/>
      <c r="R252" s="857"/>
      <c r="X252" s="145"/>
      <c r="Y252" s="145"/>
      <c r="Z252" s="1683"/>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3"/>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3"/>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3"/>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3"/>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3"/>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3"/>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3"/>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58"/>
      <c r="Q260" s="857"/>
      <c r="R260" s="857"/>
      <c r="X260" s="145"/>
      <c r="Y260" s="145"/>
      <c r="Z260" s="1683"/>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3"/>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3"/>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3"/>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60"/>
      <c r="Q264" s="857"/>
      <c r="R264" s="857"/>
      <c r="X264" s="145"/>
      <c r="Y264" s="145"/>
      <c r="Z264" s="1683"/>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3"/>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3"/>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B267" s="857"/>
      <c r="C267" s="857"/>
      <c r="D267" s="857"/>
      <c r="E267" s="857"/>
      <c r="F267" s="857"/>
      <c r="G267" s="857"/>
      <c r="H267" s="857"/>
      <c r="I267" s="857"/>
      <c r="J267" s="857"/>
      <c r="K267" s="857"/>
      <c r="L267" s="857"/>
      <c r="M267" s="857"/>
      <c r="N267" s="857"/>
      <c r="O267" s="857"/>
      <c r="P267" s="858"/>
      <c r="Q267" s="857"/>
      <c r="R267" s="857"/>
      <c r="X267" s="145"/>
      <c r="Y267" s="145"/>
      <c r="Z267" s="1683"/>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B268" s="857"/>
      <c r="C268" s="857"/>
      <c r="D268" s="857"/>
      <c r="E268" s="857"/>
      <c r="F268" s="857"/>
      <c r="G268" s="857"/>
      <c r="H268" s="857"/>
      <c r="I268" s="857"/>
      <c r="J268" s="857"/>
      <c r="K268" s="857"/>
      <c r="L268" s="857"/>
      <c r="M268" s="857"/>
      <c r="N268" s="857"/>
      <c r="O268" s="857"/>
      <c r="P268" s="858"/>
      <c r="Q268" s="857"/>
      <c r="R268" s="857"/>
      <c r="X268" s="145"/>
      <c r="Y268" s="145"/>
      <c r="Z268" s="1683"/>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B269" s="857"/>
      <c r="C269" s="857"/>
      <c r="D269" s="857"/>
      <c r="E269" s="857"/>
      <c r="F269" s="857"/>
      <c r="G269" s="857"/>
      <c r="H269" s="857"/>
      <c r="I269" s="857"/>
      <c r="J269" s="857"/>
      <c r="K269" s="857"/>
      <c r="L269" s="857"/>
      <c r="M269" s="857"/>
      <c r="N269" s="857"/>
      <c r="O269" s="857"/>
      <c r="P269" s="858"/>
      <c r="Q269" s="857"/>
      <c r="R269" s="857"/>
      <c r="X269" s="145"/>
      <c r="Y269" s="145"/>
      <c r="Z269" s="1683"/>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B270" s="857"/>
      <c r="C270" s="857"/>
      <c r="D270" s="857"/>
      <c r="E270" s="857"/>
      <c r="F270" s="857"/>
      <c r="G270" s="857"/>
      <c r="H270" s="857"/>
      <c r="I270" s="857"/>
      <c r="J270" s="857"/>
      <c r="K270" s="857"/>
      <c r="L270" s="857"/>
      <c r="M270" s="857"/>
      <c r="N270" s="857"/>
      <c r="O270" s="857"/>
      <c r="P270" s="858"/>
      <c r="Q270" s="857"/>
      <c r="R270" s="857"/>
      <c r="X270" s="145"/>
      <c r="Y270" s="145"/>
      <c r="Z270" s="1683"/>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3"/>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3"/>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3"/>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409"/>
      <c r="X274" s="145"/>
      <c r="Y274" s="145"/>
      <c r="Z274" s="1683"/>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3"/>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3"/>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3"/>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3"/>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3"/>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3"/>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3"/>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3"/>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3"/>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236"/>
      <c r="X284" s="145"/>
      <c r="Y284" s="145"/>
      <c r="Z284" s="1683"/>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3"/>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3"/>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3"/>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3"/>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3"/>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3"/>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3"/>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409"/>
      <c r="X292" s="145"/>
      <c r="Y292" s="145"/>
      <c r="Z292" s="1683"/>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3"/>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236"/>
      <c r="X294" s="145"/>
      <c r="Y294" s="145"/>
      <c r="Z294" s="1683"/>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3"/>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3"/>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3"/>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409"/>
      <c r="X298" s="145"/>
      <c r="Y298" s="145"/>
      <c r="Z298" s="1683"/>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3"/>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3"/>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3"/>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3"/>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3"/>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3"/>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3"/>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3"/>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236"/>
      <c r="X307" s="145"/>
      <c r="Y307" s="145"/>
      <c r="Z307" s="1683"/>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3"/>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3"/>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3"/>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409"/>
      <c r="X311" s="145"/>
      <c r="Y311" s="145"/>
      <c r="Z311" s="1683"/>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3"/>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3"/>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3"/>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3"/>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3"/>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3"/>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3"/>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3"/>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3"/>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236"/>
      <c r="X321" s="145"/>
      <c r="Y321" s="145"/>
      <c r="Z321" s="1683"/>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3"/>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236"/>
      <c r="X323" s="145"/>
      <c r="Y323" s="145"/>
      <c r="Z323" s="1683"/>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3"/>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3"/>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3"/>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409"/>
      <c r="X327" s="145"/>
      <c r="Y327" s="145"/>
      <c r="Z327" s="1683"/>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3"/>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409"/>
      <c r="X329" s="145"/>
      <c r="Y329" s="145"/>
      <c r="Z329" s="1683"/>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3"/>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3"/>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3"/>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3"/>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3"/>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3"/>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3"/>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3"/>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3"/>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3"/>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3"/>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236"/>
      <c r="X341" s="145"/>
      <c r="Y341" s="145"/>
      <c r="Z341" s="1683"/>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3"/>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3"/>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3"/>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409"/>
      <c r="X345" s="145"/>
      <c r="Y345" s="145"/>
      <c r="Z345" s="1683"/>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3"/>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3"/>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3"/>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3"/>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236"/>
      <c r="X350" s="145"/>
      <c r="Y350" s="145"/>
      <c r="Z350" s="1683"/>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236"/>
      <c r="X351" s="145"/>
      <c r="Y351" s="145"/>
      <c r="Z351" s="1683"/>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3"/>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3"/>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409"/>
      <c r="X354" s="145"/>
      <c r="Y354" s="145"/>
      <c r="Z354" s="1683"/>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409"/>
      <c r="X355" s="145"/>
      <c r="Y355" s="145"/>
      <c r="Z355" s="1683"/>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3"/>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3"/>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3"/>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3"/>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3"/>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236"/>
      <c r="X361" s="145"/>
      <c r="Y361" s="145"/>
      <c r="Z361" s="1683"/>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3"/>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236"/>
      <c r="X363" s="145"/>
      <c r="Y363" s="145"/>
      <c r="Z363" s="1683"/>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236"/>
      <c r="X364" s="145"/>
      <c r="Y364" s="145"/>
      <c r="Z364" s="1683"/>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409"/>
      <c r="X365" s="145"/>
      <c r="Y365" s="145"/>
      <c r="Z365" s="1683"/>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3"/>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409"/>
      <c r="X367" s="145"/>
      <c r="Y367" s="145"/>
      <c r="Z367" s="1683"/>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409"/>
      <c r="X368" s="145"/>
      <c r="Y368" s="145"/>
      <c r="Z368" s="1683"/>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3"/>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3"/>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3"/>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3"/>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3"/>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3"/>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3"/>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3"/>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3"/>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3"/>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236"/>
      <c r="X379" s="145"/>
      <c r="Y379" s="145"/>
      <c r="Z379" s="1683"/>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3"/>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3"/>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3"/>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409"/>
      <c r="X383" s="145"/>
      <c r="Y383" s="145"/>
      <c r="Z383" s="1683"/>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3"/>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3"/>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3"/>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3"/>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236"/>
      <c r="X388" s="145"/>
      <c r="Y388" s="145"/>
      <c r="Z388" s="1683"/>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3"/>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3"/>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3"/>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409"/>
      <c r="X392" s="145"/>
      <c r="Y392" s="145"/>
      <c r="Z392" s="1683"/>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3"/>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3"/>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3"/>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3"/>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3"/>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3"/>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3"/>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3"/>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3"/>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3"/>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3"/>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3"/>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3"/>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236"/>
      <c r="X406" s="145"/>
      <c r="Y406" s="145"/>
      <c r="Z406" s="1683"/>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3"/>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3"/>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3"/>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409"/>
      <c r="X410" s="145"/>
      <c r="Y410" s="145"/>
      <c r="Z410" s="1683"/>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236"/>
      <c r="X411" s="145"/>
      <c r="Y411" s="145"/>
      <c r="Z411" s="1683"/>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3"/>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3"/>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236"/>
      <c r="X414" s="145"/>
      <c r="Y414" s="145"/>
      <c r="Z414" s="1683"/>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409"/>
      <c r="X415" s="145"/>
      <c r="Y415" s="145"/>
      <c r="Z415" s="1683"/>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3"/>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3"/>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409"/>
      <c r="X418" s="145"/>
      <c r="Y418" s="145"/>
      <c r="Z418" s="1683"/>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3"/>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3"/>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3"/>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3"/>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3"/>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3"/>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3"/>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236"/>
      <c r="X426" s="145"/>
      <c r="Y426" s="145"/>
      <c r="Z426" s="1683"/>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3"/>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3"/>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236"/>
      <c r="X429" s="145"/>
      <c r="Y429" s="145"/>
      <c r="Z429" s="1683"/>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409"/>
      <c r="X430" s="145"/>
      <c r="Y430" s="145"/>
      <c r="Z430" s="1683"/>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3"/>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3"/>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409"/>
      <c r="X433" s="145"/>
      <c r="Y433" s="145"/>
      <c r="Z433" s="1683"/>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3"/>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3"/>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3"/>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3"/>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3"/>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236"/>
      <c r="X439" s="145"/>
      <c r="Y439" s="145"/>
      <c r="Z439" s="1683"/>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236"/>
      <c r="X440" s="145"/>
      <c r="Y440" s="145"/>
      <c r="Z440" s="1683"/>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236"/>
      <c r="X441" s="145"/>
      <c r="Y441" s="145"/>
      <c r="Z441" s="1683"/>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3"/>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409"/>
      <c r="X443" s="145"/>
      <c r="Y443" s="145"/>
      <c r="Z443" s="1683"/>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409"/>
      <c r="X444" s="145"/>
      <c r="Y444" s="145"/>
      <c r="Z444" s="1683"/>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409"/>
      <c r="X445" s="145"/>
      <c r="Y445" s="145"/>
      <c r="Z445" s="1683"/>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3"/>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3"/>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3"/>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3"/>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3"/>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3"/>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3"/>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3"/>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236"/>
      <c r="X454" s="145"/>
      <c r="Y454" s="145"/>
      <c r="Z454" s="1683"/>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3"/>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3"/>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3"/>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409"/>
      <c r="X458" s="145"/>
      <c r="Y458" s="145"/>
      <c r="Z458" s="1683"/>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236"/>
      <c r="X459" s="145"/>
      <c r="Y459" s="145"/>
      <c r="Z459" s="1683"/>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3"/>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3"/>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3"/>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409"/>
      <c r="X463" s="145"/>
      <c r="Y463" s="145"/>
      <c r="Z463" s="1683"/>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3"/>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3"/>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3"/>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3"/>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X468" s="145"/>
      <c r="Y468" s="145"/>
      <c r="Z468" s="1683"/>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X469" s="145"/>
      <c r="Y469" s="145"/>
      <c r="Z469" s="1683"/>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236"/>
      <c r="X470" s="145"/>
      <c r="Y470" s="145"/>
      <c r="Z470" s="1683"/>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X471" s="145"/>
      <c r="Y471" s="145"/>
      <c r="Z471" s="1683"/>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89</v>
      </c>
      <c r="S472" s="403" t="s">
        <v>91</v>
      </c>
      <c r="T472" s="403" t="s">
        <v>90</v>
      </c>
      <c r="X472" s="145"/>
      <c r="Y472" s="145"/>
      <c r="Z472" s="1683"/>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2359</v>
      </c>
      <c r="S473" s="403" t="s">
        <v>585</v>
      </c>
      <c r="T473" s="404" t="s">
        <v>1988</v>
      </c>
      <c r="X473" s="145"/>
      <c r="Y473" s="145"/>
      <c r="Z473" s="1683"/>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409"/>
      <c r="R474" s="403" t="s">
        <v>2360</v>
      </c>
      <c r="S474" s="403" t="s">
        <v>306</v>
      </c>
      <c r="T474" s="404" t="s">
        <v>1988</v>
      </c>
      <c r="X474" s="145"/>
      <c r="Y474" s="145"/>
      <c r="Z474" s="1683"/>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2361</v>
      </c>
      <c r="S475" s="403" t="s">
        <v>2288</v>
      </c>
      <c r="T475" s="404" t="s">
        <v>1988</v>
      </c>
      <c r="X475" s="145"/>
      <c r="Y475" s="145"/>
      <c r="Z475" s="1683"/>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2362</v>
      </c>
      <c r="S476" s="403"/>
      <c r="T476" s="404" t="s">
        <v>1988</v>
      </c>
      <c r="X476" s="145"/>
      <c r="Y476" s="145"/>
      <c r="Z476" s="1683"/>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2363</v>
      </c>
      <c r="S477" s="403" t="s">
        <v>1863</v>
      </c>
      <c r="T477" s="404" t="s">
        <v>1988</v>
      </c>
      <c r="X477" s="145"/>
      <c r="Y477" s="145"/>
      <c r="Z477" s="1683"/>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2364</v>
      </c>
      <c r="S478" s="403" t="s">
        <v>2288</v>
      </c>
      <c r="T478" s="404" t="s">
        <v>1988</v>
      </c>
      <c r="X478" s="145"/>
      <c r="Y478" s="145"/>
      <c r="Z478" s="1683"/>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2365</v>
      </c>
      <c r="S479" s="403" t="s">
        <v>1250</v>
      </c>
      <c r="T479" s="404" t="s">
        <v>1988</v>
      </c>
      <c r="X479" s="145"/>
      <c r="Y479" s="145"/>
      <c r="Z479" s="1683"/>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2366</v>
      </c>
      <c r="S480" s="403" t="s">
        <v>1865</v>
      </c>
      <c r="T480" s="404" t="s">
        <v>1988</v>
      </c>
      <c r="X480" s="145"/>
      <c r="Y480" s="145"/>
      <c r="Z480" s="1683"/>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2367</v>
      </c>
      <c r="S481" s="403" t="s">
        <v>620</v>
      </c>
      <c r="T481" s="404" t="s">
        <v>1988</v>
      </c>
      <c r="X481" s="145"/>
      <c r="Y481" s="145"/>
      <c r="Z481" s="1683"/>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2368</v>
      </c>
      <c r="S482" s="403" t="s">
        <v>585</v>
      </c>
      <c r="T482" s="404" t="s">
        <v>1988</v>
      </c>
      <c r="X482" s="145"/>
      <c r="Y482" s="145"/>
      <c r="Z482" s="1683"/>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2369</v>
      </c>
      <c r="S483" s="403" t="s">
        <v>2016</v>
      </c>
      <c r="T483" s="404" t="s">
        <v>1988</v>
      </c>
      <c r="X483" s="145"/>
      <c r="Y483" s="145"/>
      <c r="Z483" s="1683"/>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236"/>
      <c r="R484" s="403" t="s">
        <v>2370</v>
      </c>
      <c r="S484" s="403" t="s">
        <v>2330</v>
      </c>
      <c r="T484" s="404" t="s">
        <v>1988</v>
      </c>
      <c r="X484" s="145"/>
      <c r="Y484" s="145"/>
      <c r="Z484" s="1683"/>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2076</v>
      </c>
      <c r="S485" s="403" t="s">
        <v>2327</v>
      </c>
      <c r="T485" s="404" t="s">
        <v>1988</v>
      </c>
      <c r="X485" s="145"/>
      <c r="Y485" s="145"/>
      <c r="Z485" s="1683"/>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236"/>
      <c r="R486" s="403" t="s">
        <v>2371</v>
      </c>
      <c r="S486" s="403" t="s">
        <v>2016</v>
      </c>
      <c r="T486" s="404" t="s">
        <v>1988</v>
      </c>
      <c r="X486" s="145"/>
      <c r="Y486" s="145"/>
      <c r="Z486" s="1683"/>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2372</v>
      </c>
      <c r="S487" s="403" t="s">
        <v>2291</v>
      </c>
      <c r="T487" s="404" t="s">
        <v>1988</v>
      </c>
      <c r="X487" s="145"/>
      <c r="Y487" s="145"/>
      <c r="Z487" s="1683"/>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409"/>
      <c r="R488" s="403" t="s">
        <v>2373</v>
      </c>
      <c r="S488" s="403" t="s">
        <v>1863</v>
      </c>
      <c r="T488" s="404" t="s">
        <v>1988</v>
      </c>
      <c r="X488" s="145"/>
      <c r="Y488" s="145"/>
      <c r="Z488" s="1683"/>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236"/>
      <c r="R489" s="403" t="s">
        <v>981</v>
      </c>
      <c r="S489" s="403" t="s">
        <v>1367</v>
      </c>
      <c r="T489" s="404" t="s">
        <v>1988</v>
      </c>
      <c r="X489" s="145"/>
      <c r="Y489" s="145"/>
      <c r="Z489" s="1683"/>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409"/>
      <c r="R490" s="403" t="s">
        <v>846</v>
      </c>
      <c r="S490" s="403" t="s">
        <v>1039</v>
      </c>
      <c r="T490" s="404" t="s">
        <v>1988</v>
      </c>
      <c r="X490" s="145"/>
      <c r="Y490" s="145"/>
      <c r="Z490" s="1683"/>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R491" s="403" t="s">
        <v>982</v>
      </c>
      <c r="S491" s="403" t="s">
        <v>585</v>
      </c>
      <c r="T491" s="404" t="s">
        <v>1988</v>
      </c>
      <c r="X491" s="145"/>
      <c r="Y491" s="145"/>
      <c r="Z491" s="1683"/>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983</v>
      </c>
      <c r="S492" s="403" t="s">
        <v>1772</v>
      </c>
      <c r="T492" s="404" t="s">
        <v>1988</v>
      </c>
      <c r="X492" s="145"/>
      <c r="Y492" s="145"/>
      <c r="Z492" s="1683"/>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984</v>
      </c>
      <c r="S493" s="403" t="s">
        <v>1861</v>
      </c>
      <c r="T493" s="404" t="s">
        <v>1988</v>
      </c>
      <c r="X493" s="145"/>
      <c r="Y493" s="145"/>
      <c r="Z493" s="1683"/>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236"/>
      <c r="R494" s="403" t="s">
        <v>985</v>
      </c>
      <c r="S494" s="403" t="s">
        <v>1032</v>
      </c>
      <c r="T494" s="404" t="s">
        <v>1988</v>
      </c>
      <c r="X494" s="145"/>
      <c r="Y494" s="145"/>
      <c r="Z494" s="1683"/>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Q495" s="403"/>
      <c r="R495" s="403" t="s">
        <v>986</v>
      </c>
      <c r="S495" s="403" t="s">
        <v>1424</v>
      </c>
      <c r="T495" s="404" t="s">
        <v>1988</v>
      </c>
      <c r="X495" s="145"/>
      <c r="Y495" s="145"/>
      <c r="Z495" s="1683"/>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987</v>
      </c>
      <c r="S496" s="403" t="s">
        <v>2288</v>
      </c>
      <c r="T496" s="404" t="s">
        <v>1988</v>
      </c>
      <c r="X496" s="145"/>
      <c r="Y496" s="145"/>
      <c r="Z496" s="1683"/>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409"/>
      <c r="R497" s="403" t="s">
        <v>988</v>
      </c>
      <c r="S497" s="403" t="s">
        <v>152</v>
      </c>
      <c r="T497" s="404" t="s">
        <v>1988</v>
      </c>
      <c r="X497" s="145"/>
      <c r="Y497" s="145"/>
      <c r="Z497" s="1683"/>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409"/>
      <c r="R498" s="403" t="s">
        <v>989</v>
      </c>
      <c r="S498" s="403" t="s">
        <v>1257</v>
      </c>
      <c r="T498" s="404" t="s">
        <v>1988</v>
      </c>
      <c r="X498" s="145"/>
      <c r="Y498" s="145"/>
      <c r="Z498" s="1683"/>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990</v>
      </c>
      <c r="S499" s="403" t="s">
        <v>1424</v>
      </c>
      <c r="T499" s="404" t="s">
        <v>1988</v>
      </c>
      <c r="X499" s="145"/>
      <c r="Y499" s="145"/>
      <c r="Z499" s="1683"/>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991</v>
      </c>
      <c r="S500" s="403" t="s">
        <v>1046</v>
      </c>
      <c r="T500" s="404" t="s">
        <v>1988</v>
      </c>
      <c r="X500" s="145"/>
      <c r="Y500" s="145"/>
      <c r="Z500" s="1683"/>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992</v>
      </c>
      <c r="S501" s="403" t="s">
        <v>1861</v>
      </c>
      <c r="T501" s="404" t="s">
        <v>1988</v>
      </c>
      <c r="X501" s="145"/>
      <c r="Y501" s="145"/>
      <c r="Z501" s="1683"/>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379" t="s">
        <v>771</v>
      </c>
      <c r="S502" s="379" t="s">
        <v>815</v>
      </c>
      <c r="T502" s="404" t="s">
        <v>1988</v>
      </c>
      <c r="X502" s="145"/>
      <c r="Y502" s="145"/>
      <c r="Z502" s="1683"/>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993</v>
      </c>
      <c r="S503" s="403" t="s">
        <v>2291</v>
      </c>
      <c r="T503" s="404" t="s">
        <v>1988</v>
      </c>
      <c r="X503" s="145"/>
      <c r="Y503" s="145"/>
      <c r="Z503" s="1683"/>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1503</v>
      </c>
      <c r="S504" s="403" t="s">
        <v>2327</v>
      </c>
      <c r="T504" s="404" t="s">
        <v>1988</v>
      </c>
      <c r="X504" s="145"/>
      <c r="Y504" s="145"/>
      <c r="Z504" s="1683"/>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994</v>
      </c>
      <c r="S505" s="403"/>
      <c r="T505" s="404" t="s">
        <v>1988</v>
      </c>
      <c r="X505" s="145"/>
      <c r="Y505" s="145"/>
      <c r="Z505" s="1683"/>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177</v>
      </c>
      <c r="S506" s="403" t="s">
        <v>152</v>
      </c>
      <c r="T506" s="404" t="s">
        <v>1988</v>
      </c>
      <c r="X506" s="145"/>
      <c r="Y506" s="145"/>
      <c r="Z506" s="1683"/>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995</v>
      </c>
      <c r="S507" s="403" t="s">
        <v>168</v>
      </c>
      <c r="T507" s="404" t="s">
        <v>1988</v>
      </c>
      <c r="X507" s="145"/>
      <c r="Y507" s="145"/>
      <c r="Z507" s="1683"/>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2111</v>
      </c>
      <c r="S508" s="403" t="s">
        <v>1133</v>
      </c>
      <c r="T508" s="404" t="s">
        <v>1988</v>
      </c>
      <c r="X508" s="145"/>
      <c r="Y508" s="145"/>
      <c r="Z508" s="1683"/>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996</v>
      </c>
      <c r="S509" s="403" t="s">
        <v>585</v>
      </c>
      <c r="T509" s="404" t="s">
        <v>1988</v>
      </c>
      <c r="X509" s="145"/>
      <c r="Y509" s="145"/>
      <c r="Z509" s="1683"/>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997</v>
      </c>
      <c r="S510" s="403" t="s">
        <v>585</v>
      </c>
      <c r="T510" s="404" t="s">
        <v>1988</v>
      </c>
      <c r="X510" s="145"/>
      <c r="Y510" s="145"/>
      <c r="Z510" s="1683"/>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998</v>
      </c>
      <c r="S511" s="403" t="s">
        <v>585</v>
      </c>
      <c r="T511" s="404" t="s">
        <v>1988</v>
      </c>
      <c r="X511" s="145"/>
      <c r="Y511" s="145"/>
      <c r="Z511" s="1683"/>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236"/>
      <c r="R512" s="403" t="s">
        <v>999</v>
      </c>
      <c r="S512" s="403" t="s">
        <v>585</v>
      </c>
      <c r="T512" s="404" t="s">
        <v>1988</v>
      </c>
      <c r="X512" s="145"/>
      <c r="Y512" s="145"/>
      <c r="Z512" s="1683"/>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1000</v>
      </c>
      <c r="S513" s="403" t="s">
        <v>1555</v>
      </c>
      <c r="T513" s="404" t="s">
        <v>1988</v>
      </c>
      <c r="X513" s="145"/>
      <c r="Y513" s="145"/>
      <c r="Z513" s="1683"/>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1001</v>
      </c>
      <c r="S514" s="403" t="s">
        <v>895</v>
      </c>
      <c r="T514" s="404" t="s">
        <v>1988</v>
      </c>
      <c r="X514" s="145"/>
      <c r="Y514" s="145"/>
      <c r="Z514" s="1683"/>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1002</v>
      </c>
      <c r="S515" s="403" t="s">
        <v>116</v>
      </c>
      <c r="T515" s="404" t="s">
        <v>1988</v>
      </c>
      <c r="X515" s="145"/>
      <c r="Y515" s="145"/>
      <c r="Z515" s="1683"/>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409"/>
      <c r="R516" s="403" t="s">
        <v>1003</v>
      </c>
      <c r="S516" s="403" t="s">
        <v>585</v>
      </c>
      <c r="T516" s="404" t="s">
        <v>1988</v>
      </c>
      <c r="X516" s="145"/>
      <c r="Y516" s="145"/>
      <c r="Z516" s="1683"/>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1004</v>
      </c>
      <c r="S517" s="403" t="s">
        <v>303</v>
      </c>
      <c r="T517" s="404" t="s">
        <v>1988</v>
      </c>
      <c r="X517" s="145"/>
      <c r="Y517" s="145"/>
      <c r="Z517" s="1683"/>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1005</v>
      </c>
      <c r="S518" s="403" t="s">
        <v>307</v>
      </c>
      <c r="T518" s="404" t="s">
        <v>1988</v>
      </c>
      <c r="X518" s="145"/>
      <c r="Y518" s="145"/>
      <c r="Z518" s="1683"/>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775</v>
      </c>
      <c r="S519" s="403" t="s">
        <v>1236</v>
      </c>
      <c r="T519" s="404" t="s">
        <v>1988</v>
      </c>
      <c r="X519" s="145"/>
      <c r="Y519" s="145"/>
      <c r="Z519" s="1683"/>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1006</v>
      </c>
      <c r="S520" s="403" t="s">
        <v>620</v>
      </c>
      <c r="T520" s="404" t="s">
        <v>1988</v>
      </c>
      <c r="X520" s="145"/>
      <c r="Y520" s="145"/>
      <c r="Z520" s="1683"/>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236"/>
      <c r="R521" s="403" t="s">
        <v>1007</v>
      </c>
      <c r="S521" s="403" t="s">
        <v>1424</v>
      </c>
      <c r="T521" s="404" t="s">
        <v>1988</v>
      </c>
      <c r="X521" s="145"/>
      <c r="Y521" s="145"/>
      <c r="Z521" s="1683"/>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236"/>
      <c r="R522" s="403" t="s">
        <v>1008</v>
      </c>
      <c r="S522" s="403" t="s">
        <v>585</v>
      </c>
      <c r="T522" s="404" t="s">
        <v>1988</v>
      </c>
      <c r="X522" s="145"/>
      <c r="Y522" s="145"/>
      <c r="Z522" s="1683"/>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1009</v>
      </c>
      <c r="S523" s="403" t="s">
        <v>612</v>
      </c>
      <c r="T523" s="404" t="s">
        <v>1988</v>
      </c>
      <c r="X523" s="145"/>
      <c r="Y523" s="145"/>
      <c r="Z523" s="1683"/>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1010</v>
      </c>
      <c r="S524" s="403" t="s">
        <v>152</v>
      </c>
      <c r="T524" s="404" t="s">
        <v>1988</v>
      </c>
      <c r="X524" s="145"/>
      <c r="Y524" s="145"/>
      <c r="Z524" s="1683"/>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1011</v>
      </c>
      <c r="S525" s="403" t="s">
        <v>1772</v>
      </c>
      <c r="T525" s="404" t="s">
        <v>1988</v>
      </c>
      <c r="X525" s="145"/>
      <c r="Y525" s="145"/>
      <c r="Z525" s="1683"/>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409"/>
      <c r="R526" s="403" t="s">
        <v>1012</v>
      </c>
      <c r="S526" s="403" t="s">
        <v>1861</v>
      </c>
      <c r="T526" s="404" t="s">
        <v>1988</v>
      </c>
      <c r="X526" s="145"/>
      <c r="Y526" s="145"/>
      <c r="Z526" s="1683"/>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1013</v>
      </c>
      <c r="S527" s="403" t="s">
        <v>585</v>
      </c>
      <c r="T527" s="404" t="s">
        <v>1988</v>
      </c>
      <c r="X527" s="145"/>
      <c r="Y527" s="145"/>
      <c r="Z527" s="1683"/>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R528" s="403" t="s">
        <v>1014</v>
      </c>
      <c r="S528" s="403" t="s">
        <v>1555</v>
      </c>
      <c r="T528" s="404" t="s">
        <v>1988</v>
      </c>
      <c r="X528" s="145"/>
      <c r="Y528" s="145"/>
      <c r="Z528" s="1683"/>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409"/>
      <c r="R529" s="403" t="s">
        <v>1015</v>
      </c>
      <c r="S529" s="403" t="s">
        <v>2291</v>
      </c>
      <c r="T529" s="404" t="s">
        <v>1988</v>
      </c>
      <c r="X529" s="145"/>
      <c r="Y529" s="145"/>
      <c r="Z529" s="1683"/>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R530" s="403" t="s">
        <v>1016</v>
      </c>
      <c r="S530" s="403" t="s">
        <v>152</v>
      </c>
      <c r="T530" s="404" t="s">
        <v>1988</v>
      </c>
      <c r="X530" s="145"/>
      <c r="Y530" s="145"/>
      <c r="Z530" s="1683"/>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R531" s="403" t="s">
        <v>1017</v>
      </c>
      <c r="S531" s="403" t="s">
        <v>152</v>
      </c>
      <c r="T531" s="404" t="s">
        <v>1988</v>
      </c>
      <c r="X531" s="145"/>
      <c r="Y531" s="145"/>
      <c r="Z531" s="1683"/>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3"/>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236"/>
      <c r="X533" s="145"/>
      <c r="Y533" s="145"/>
      <c r="Z533" s="1683"/>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3"/>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3"/>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3"/>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409"/>
      <c r="X537" s="145"/>
      <c r="Y537" s="145"/>
      <c r="Z537" s="1683"/>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236"/>
      <c r="X538" s="145"/>
      <c r="Y538" s="145"/>
      <c r="Z538" s="1683"/>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3"/>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3"/>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3"/>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409"/>
      <c r="X542" s="145"/>
      <c r="Y542" s="145"/>
      <c r="Z542" s="1683"/>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3"/>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236"/>
      <c r="X544" s="145"/>
      <c r="Y544" s="145"/>
      <c r="Z544" s="1683"/>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3"/>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3"/>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3"/>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409"/>
      <c r="X548" s="145"/>
      <c r="Y548" s="145"/>
      <c r="Z548" s="1683"/>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3"/>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3"/>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3"/>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3"/>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3"/>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3"/>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236"/>
      <c r="X555" s="145"/>
      <c r="Y555" s="145"/>
      <c r="Z555" s="1683"/>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3"/>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3"/>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3"/>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409"/>
      <c r="X559" s="145"/>
      <c r="Y559" s="145"/>
      <c r="Z559" s="1683"/>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3"/>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3"/>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3"/>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3"/>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3"/>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3"/>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3"/>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236"/>
      <c r="X567" s="145"/>
      <c r="Y567" s="145"/>
      <c r="Z567" s="1683"/>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236"/>
      <c r="X568" s="145"/>
      <c r="Y568" s="145"/>
      <c r="Z568" s="1683"/>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3"/>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3"/>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409"/>
      <c r="X571" s="145"/>
      <c r="Y571" s="145"/>
      <c r="Z571" s="1683"/>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409"/>
      <c r="X572" s="145"/>
      <c r="Y572" s="145"/>
      <c r="Z572" s="1683"/>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3"/>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3"/>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3"/>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3"/>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3"/>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3"/>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X579" s="145"/>
      <c r="Y579" s="145"/>
      <c r="Z579" s="1683"/>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3"/>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3"/>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3"/>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Q583" s="403"/>
      <c r="X583" s="145"/>
      <c r="Y583" s="145"/>
      <c r="Z583" s="1683"/>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236"/>
      <c r="X584" s="145"/>
      <c r="Y584" s="145"/>
      <c r="Z584" s="1683"/>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3"/>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3"/>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3"/>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409"/>
      <c r="X588" s="145"/>
      <c r="Y588" s="145"/>
      <c r="Z588" s="1683"/>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3"/>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3"/>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3"/>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3"/>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3"/>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3"/>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3"/>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236"/>
      <c r="X596" s="145"/>
      <c r="Y596" s="145"/>
      <c r="Z596" s="1683"/>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3"/>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3"/>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3"/>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409"/>
      <c r="X600" s="145"/>
      <c r="Y600" s="145"/>
      <c r="Z600" s="1683"/>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3"/>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3"/>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3"/>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3"/>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3"/>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236"/>
      <c r="X606" s="145"/>
      <c r="Y606" s="145"/>
      <c r="Z606" s="1683"/>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3"/>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3"/>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3"/>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409"/>
      <c r="X610" s="145"/>
      <c r="Y610" s="145"/>
      <c r="Z610" s="1683"/>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3"/>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236"/>
      <c r="X612" s="145"/>
      <c r="Y612" s="145"/>
      <c r="Z612" s="1683"/>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3"/>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3"/>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236"/>
      <c r="X615" s="145"/>
      <c r="Y615" s="145"/>
      <c r="Z615" s="1683"/>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409"/>
      <c r="X616" s="145"/>
      <c r="Y616" s="145"/>
      <c r="Z616" s="1683"/>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3"/>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3"/>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409"/>
      <c r="X619" s="145"/>
      <c r="Y619" s="145"/>
      <c r="Z619" s="1683"/>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3"/>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3"/>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3"/>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3"/>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3"/>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3"/>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3"/>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3"/>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3"/>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3"/>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3"/>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236"/>
      <c r="X631" s="145"/>
      <c r="Y631" s="145"/>
      <c r="Z631" s="1683"/>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3"/>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3"/>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3"/>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3"/>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3"/>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3"/>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3"/>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3"/>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3"/>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3"/>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3"/>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409"/>
      <c r="X643" s="145"/>
      <c r="Y643" s="145"/>
      <c r="Z643" s="1683"/>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3"/>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3"/>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3"/>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3"/>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3"/>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3"/>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3"/>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3"/>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3"/>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236"/>
      <c r="X653" s="145"/>
      <c r="Y653" s="145"/>
      <c r="Z653" s="1683"/>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236"/>
      <c r="X654" s="145"/>
      <c r="Y654" s="145"/>
      <c r="Z654" s="1683"/>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236"/>
      <c r="X655" s="145"/>
      <c r="Y655" s="145"/>
      <c r="Z655" s="1683"/>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236"/>
      <c r="X656" s="145"/>
      <c r="Y656" s="145"/>
      <c r="Z656" s="1683"/>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3"/>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3"/>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3"/>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3"/>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3"/>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3"/>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3"/>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3"/>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3"/>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3"/>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3"/>
      <c r="AA667" s="145"/>
      <c r="AB667" s="145"/>
      <c r="AC667" s="145"/>
      <c r="AD667" s="145"/>
      <c r="AE667" s="145"/>
      <c r="AF667" s="145"/>
      <c r="AG667" s="145"/>
      <c r="AH667" s="145"/>
      <c r="AI667" s="145"/>
      <c r="AJ667" s="145"/>
      <c r="AK667" s="145"/>
      <c r="AL667" s="145"/>
      <c r="AM667" s="145"/>
      <c r="AN667" s="145"/>
      <c r="AO667" s="145"/>
      <c r="AP667" s="145"/>
      <c r="AQ667" s="145"/>
      <c r="AR667" s="145"/>
    </row>
    <row r="668" spans="1:44" s="378" customFormat="1" ht="12" customHeight="1">
      <c r="A668" s="145"/>
      <c r="P668" s="145"/>
      <c r="X668" s="145"/>
      <c r="Y668" s="145"/>
      <c r="Z668" s="1683"/>
      <c r="AA668" s="145"/>
      <c r="AB668" s="145"/>
      <c r="AC668" s="145"/>
      <c r="AD668" s="145"/>
      <c r="AE668" s="145"/>
      <c r="AF668" s="145"/>
      <c r="AG668" s="145"/>
      <c r="AH668" s="145"/>
      <c r="AI668" s="145"/>
      <c r="AJ668" s="145"/>
      <c r="AK668" s="145"/>
      <c r="AL668" s="145"/>
      <c r="AM668" s="145"/>
      <c r="AN668" s="145"/>
      <c r="AO668" s="145"/>
      <c r="AP668" s="145"/>
      <c r="AQ668" s="145"/>
      <c r="AR668" s="145"/>
    </row>
    <row r="669" spans="1:44" s="378" customFormat="1" ht="12" customHeight="1">
      <c r="A669" s="145"/>
      <c r="P669" s="145"/>
      <c r="X669" s="145"/>
      <c r="Y669" s="145"/>
      <c r="Z669" s="1683"/>
      <c r="AA669" s="145"/>
      <c r="AB669" s="145"/>
      <c r="AC669" s="145"/>
      <c r="AD669" s="145"/>
      <c r="AE669" s="145"/>
      <c r="AF669" s="145"/>
      <c r="AG669" s="145"/>
      <c r="AH669" s="145"/>
      <c r="AI669" s="145"/>
      <c r="AJ669" s="145"/>
      <c r="AK669" s="145"/>
      <c r="AL669" s="145"/>
      <c r="AM669" s="145"/>
      <c r="AN669" s="145"/>
      <c r="AO669" s="145"/>
      <c r="AP669" s="145"/>
      <c r="AQ669" s="145"/>
      <c r="AR669" s="145"/>
    </row>
    <row r="670" spans="1:44" s="378" customFormat="1" ht="12" customHeight="1">
      <c r="A670" s="145"/>
      <c r="P670" s="145"/>
      <c r="X670" s="145"/>
      <c r="Y670" s="145"/>
      <c r="Z670" s="1683"/>
      <c r="AA670" s="145"/>
      <c r="AB670" s="145"/>
      <c r="AC670" s="145"/>
      <c r="AD670" s="145"/>
      <c r="AE670" s="145"/>
      <c r="AF670" s="145"/>
      <c r="AG670" s="145"/>
      <c r="AH670" s="145"/>
      <c r="AI670" s="145"/>
      <c r="AJ670" s="145"/>
      <c r="AK670" s="145"/>
      <c r="AL670" s="145"/>
      <c r="AM670" s="145"/>
      <c r="AN670" s="145"/>
      <c r="AO670" s="145"/>
      <c r="AP670" s="145"/>
      <c r="AQ670" s="145"/>
      <c r="AR670" s="145"/>
    </row>
    <row r="671" spans="1:44" s="378" customFormat="1" ht="12" customHeight="1">
      <c r="A671" s="145"/>
      <c r="P671" s="145"/>
      <c r="X671" s="145"/>
      <c r="Y671" s="145"/>
      <c r="Z671" s="1683"/>
      <c r="AA671" s="145"/>
      <c r="AB671" s="145"/>
      <c r="AC671" s="145"/>
      <c r="AD671" s="145"/>
      <c r="AE671" s="145"/>
      <c r="AF671" s="145"/>
      <c r="AG671" s="145"/>
    </row>
    <row r="672" spans="1:44" s="378" customFormat="1" ht="12" customHeight="1">
      <c r="A672" s="145"/>
      <c r="P672" s="145"/>
      <c r="X672" s="145"/>
      <c r="Y672" s="145"/>
      <c r="Z672" s="1683"/>
      <c r="AA672" s="145"/>
      <c r="AB672" s="145"/>
      <c r="AC672" s="145"/>
      <c r="AD672" s="145"/>
      <c r="AE672" s="145"/>
      <c r="AF672" s="145"/>
      <c r="AG672" s="145"/>
    </row>
    <row r="673" spans="1:33" s="378" customFormat="1" ht="12" customHeight="1">
      <c r="A673" s="145"/>
      <c r="P673" s="145"/>
      <c r="X673" s="145"/>
      <c r="Y673" s="145"/>
      <c r="Z673" s="1683"/>
      <c r="AA673" s="145"/>
      <c r="AB673" s="145"/>
      <c r="AC673" s="145"/>
      <c r="AD673" s="145"/>
      <c r="AE673" s="145"/>
      <c r="AF673" s="145"/>
      <c r="AG673" s="145"/>
    </row>
    <row r="674" spans="1:33" s="378" customFormat="1" ht="12" customHeight="1">
      <c r="A674" s="145"/>
      <c r="P674" s="145"/>
      <c r="X674" s="145"/>
      <c r="Y674" s="145"/>
      <c r="Z674" s="1683"/>
      <c r="AA674" s="145"/>
      <c r="AB674" s="145"/>
      <c r="AC674" s="145"/>
      <c r="AD674" s="145"/>
      <c r="AE674" s="145"/>
      <c r="AF674" s="145"/>
      <c r="AG674" s="145"/>
    </row>
    <row r="675" spans="1:33" s="378" customFormat="1" ht="12" customHeight="1">
      <c r="A675" s="145"/>
      <c r="P675" s="145"/>
      <c r="X675" s="145"/>
      <c r="Y675" s="145"/>
      <c r="Z675" s="1683"/>
      <c r="AA675" s="145"/>
      <c r="AB675" s="145"/>
      <c r="AC675" s="145"/>
      <c r="AD675" s="145"/>
      <c r="AE675" s="145"/>
      <c r="AF675" s="145"/>
      <c r="AG675" s="145"/>
    </row>
    <row r="676" spans="1:33" s="378" customFormat="1" ht="12" customHeight="1">
      <c r="A676" s="145"/>
      <c r="P676" s="145"/>
      <c r="X676" s="145"/>
      <c r="Y676" s="145"/>
      <c r="Z676" s="1683"/>
      <c r="AA676" s="145"/>
      <c r="AB676" s="145"/>
      <c r="AC676" s="145"/>
      <c r="AD676" s="145"/>
      <c r="AE676" s="145"/>
      <c r="AF676" s="145"/>
      <c r="AG676" s="145"/>
    </row>
    <row r="677" spans="1:33" s="378" customFormat="1" ht="12" customHeight="1">
      <c r="A677" s="145"/>
      <c r="P677" s="145"/>
      <c r="X677" s="145"/>
      <c r="Y677" s="145"/>
      <c r="Z677" s="1683"/>
      <c r="AA677" s="145"/>
      <c r="AB677" s="145"/>
      <c r="AC677" s="145"/>
      <c r="AD677" s="145"/>
      <c r="AE677" s="145"/>
      <c r="AF677" s="145"/>
      <c r="AG677" s="145"/>
    </row>
    <row r="678" spans="1:33" s="378" customFormat="1" ht="12" customHeight="1">
      <c r="A678" s="145"/>
      <c r="P678" s="145"/>
      <c r="X678" s="145"/>
      <c r="Y678" s="145"/>
      <c r="Z678" s="1683"/>
      <c r="AA678" s="145"/>
      <c r="AB678" s="145"/>
      <c r="AC678" s="145"/>
      <c r="AD678" s="145"/>
      <c r="AE678" s="145"/>
      <c r="AF678" s="145"/>
      <c r="AG678" s="145"/>
    </row>
    <row r="679" spans="1:33" s="378" customFormat="1" ht="12" customHeight="1">
      <c r="A679" s="145"/>
      <c r="P679" s="145"/>
      <c r="X679" s="145"/>
      <c r="Y679" s="145"/>
      <c r="Z679" s="1683"/>
      <c r="AA679" s="145"/>
      <c r="AB679" s="145"/>
      <c r="AC679" s="145"/>
      <c r="AD679" s="145"/>
      <c r="AE679" s="145"/>
      <c r="AF679" s="145"/>
      <c r="AG679" s="145"/>
    </row>
    <row r="680" spans="1:33" s="378" customFormat="1" ht="12" customHeight="1">
      <c r="A680" s="145"/>
      <c r="P680" s="145"/>
      <c r="X680" s="145"/>
      <c r="Y680" s="145"/>
      <c r="Z680" s="1683"/>
      <c r="AA680" s="145"/>
      <c r="AB680" s="145"/>
      <c r="AC680" s="145"/>
      <c r="AD680" s="145"/>
      <c r="AE680" s="145"/>
      <c r="AF680" s="145"/>
      <c r="AG680" s="145"/>
    </row>
    <row r="681" spans="1:33" s="378" customFormat="1" ht="12" customHeight="1">
      <c r="A681" s="145"/>
      <c r="P681" s="145"/>
      <c r="X681" s="145"/>
      <c r="Y681" s="145"/>
      <c r="Z681" s="1683"/>
      <c r="AA681" s="145"/>
      <c r="AB681" s="145"/>
      <c r="AC681" s="145"/>
      <c r="AD681" s="145"/>
      <c r="AE681" s="145"/>
      <c r="AF681" s="145"/>
      <c r="AG681" s="145"/>
    </row>
    <row r="682" spans="1:33" s="378" customFormat="1" ht="12" customHeight="1">
      <c r="A682" s="145"/>
      <c r="P682" s="145"/>
      <c r="X682" s="145"/>
      <c r="Y682" s="145"/>
      <c r="Z682" s="1683"/>
      <c r="AA682" s="145"/>
      <c r="AB682" s="145"/>
      <c r="AC682" s="145"/>
      <c r="AD682" s="145"/>
      <c r="AE682" s="145"/>
      <c r="AF682" s="145"/>
      <c r="AG682" s="145"/>
    </row>
    <row r="683" spans="1:33" s="378" customFormat="1" ht="12" customHeight="1">
      <c r="A683" s="145"/>
      <c r="P683" s="145"/>
      <c r="X683" s="145"/>
      <c r="Y683" s="145"/>
      <c r="Z683" s="1683"/>
      <c r="AA683" s="145"/>
      <c r="AB683" s="145"/>
      <c r="AC683" s="145"/>
      <c r="AD683" s="145"/>
      <c r="AE683" s="145"/>
      <c r="AF683" s="145"/>
      <c r="AG683" s="145"/>
    </row>
    <row r="684" spans="1:33" s="378" customFormat="1" ht="12" customHeight="1">
      <c r="A684" s="145"/>
      <c r="P684" s="145"/>
      <c r="X684" s="145"/>
      <c r="Y684" s="145"/>
      <c r="Z684" s="1683"/>
      <c r="AA684" s="145"/>
      <c r="AB684" s="145"/>
      <c r="AC684" s="145"/>
      <c r="AD684" s="145"/>
      <c r="AE684" s="145"/>
      <c r="AF684" s="145"/>
      <c r="AG684" s="145"/>
    </row>
    <row r="685" spans="1:33" s="378" customFormat="1" ht="12" customHeight="1">
      <c r="A685" s="145"/>
      <c r="P685" s="145"/>
      <c r="X685" s="145"/>
      <c r="Y685" s="145"/>
      <c r="Z685" s="1683"/>
      <c r="AA685" s="145"/>
      <c r="AB685" s="145"/>
      <c r="AC685" s="145"/>
      <c r="AD685" s="145"/>
      <c r="AE685" s="145"/>
      <c r="AF685" s="145"/>
      <c r="AG685" s="145"/>
    </row>
    <row r="686" spans="1:33" s="378" customFormat="1" ht="12" customHeight="1">
      <c r="B686" s="377"/>
      <c r="X686" s="145"/>
      <c r="Y686" s="145"/>
      <c r="Z686" s="1683"/>
      <c r="AA686" s="145"/>
      <c r="AB686" s="145"/>
      <c r="AC686" s="145"/>
      <c r="AD686" s="145"/>
      <c r="AE686" s="145"/>
      <c r="AF686" s="145"/>
      <c r="AG686" s="145"/>
    </row>
    <row r="687" spans="1:33" s="378" customFormat="1" ht="12" customHeight="1">
      <c r="B687" s="377"/>
      <c r="Z687" s="1683"/>
    </row>
    <row r="688" spans="1:33" s="378" customFormat="1" ht="12" customHeight="1">
      <c r="B688" s="377"/>
      <c r="Z688" s="1683"/>
    </row>
    <row r="689" spans="2:26" s="378" customFormat="1" ht="12" customHeight="1">
      <c r="B689" s="377"/>
      <c r="Z689" s="1683"/>
    </row>
    <row r="690" spans="2:26" s="378" customFormat="1" ht="12" customHeight="1">
      <c r="B690" s="377"/>
      <c r="Z690" s="1683"/>
    </row>
    <row r="691" spans="2:26" s="378" customFormat="1" ht="12" customHeight="1">
      <c r="B691" s="377"/>
      <c r="Z691" s="1683"/>
    </row>
    <row r="692" spans="2:26" s="378" customFormat="1" ht="12" customHeight="1">
      <c r="B692" s="377"/>
      <c r="Z692" s="1683"/>
    </row>
    <row r="693" spans="2:26" s="378" customFormat="1" ht="12" customHeight="1">
      <c r="B693" s="377"/>
      <c r="Z693" s="1683"/>
    </row>
    <row r="694" spans="2:26" s="378" customFormat="1" ht="12" customHeight="1">
      <c r="B694" s="377"/>
      <c r="Z694" s="1683"/>
    </row>
    <row r="695" spans="2:26" s="378" customFormat="1" ht="12" customHeight="1">
      <c r="B695" s="377"/>
      <c r="Z695" s="1683"/>
    </row>
    <row r="696" spans="2:26" s="378" customFormat="1" ht="12" customHeight="1">
      <c r="B696" s="377"/>
      <c r="Z696" s="1683"/>
    </row>
    <row r="697" spans="2:26" s="378" customFormat="1" ht="12" customHeight="1">
      <c r="B697" s="377"/>
      <c r="Z697" s="1683"/>
    </row>
    <row r="698" spans="2:26" s="378" customFormat="1" ht="12" customHeight="1">
      <c r="B698" s="377"/>
      <c r="Z698" s="1683"/>
    </row>
    <row r="699" spans="2:26" s="378" customFormat="1" ht="12" customHeight="1">
      <c r="B699" s="377"/>
      <c r="Z699" s="1683"/>
    </row>
    <row r="700" spans="2:26" s="378" customFormat="1" ht="12" customHeight="1">
      <c r="B700" s="377"/>
      <c r="Z700" s="1683"/>
    </row>
    <row r="701" spans="2:26" s="378" customFormat="1" ht="12" customHeight="1">
      <c r="B701" s="377"/>
      <c r="Z701" s="1683"/>
    </row>
    <row r="702" spans="2:26" s="378" customFormat="1" ht="12" customHeight="1">
      <c r="B702" s="377"/>
      <c r="Z702" s="1683"/>
    </row>
    <row r="703" spans="2:26" s="378" customFormat="1" ht="12" customHeight="1">
      <c r="B703" s="377"/>
      <c r="Z703" s="1683"/>
    </row>
    <row r="704" spans="2:26" s="378" customFormat="1" ht="12" customHeight="1">
      <c r="B704" s="377"/>
      <c r="Z704" s="1683"/>
    </row>
    <row r="705" spans="2:27" s="378" customFormat="1" ht="12" customHeight="1">
      <c r="B705" s="377"/>
      <c r="Z705" s="1683"/>
    </row>
    <row r="706" spans="2:27" s="378" customFormat="1" ht="12" customHeight="1">
      <c r="B706" s="377"/>
      <c r="Z706" s="1683"/>
    </row>
    <row r="707" spans="2:27" s="378" customFormat="1" ht="12" customHeight="1">
      <c r="B707" s="377"/>
      <c r="Z707" s="1683"/>
    </row>
    <row r="708" spans="2:27" s="378" customFormat="1" ht="12" customHeight="1">
      <c r="B708" s="377"/>
      <c r="Z708" s="1683"/>
    </row>
    <row r="709" spans="2:27" s="378" customFormat="1" ht="12" customHeight="1">
      <c r="B709" s="377"/>
      <c r="Z709" s="1683"/>
    </row>
    <row r="710" spans="2:27" s="378" customFormat="1" ht="12" customHeight="1">
      <c r="B710" s="377"/>
      <c r="Z710" s="1683"/>
    </row>
    <row r="711" spans="2:27" s="378" customFormat="1" ht="12" customHeight="1">
      <c r="B711" s="377"/>
      <c r="Z711" s="1683"/>
    </row>
    <row r="712" spans="2:27" s="378" customFormat="1" ht="12" customHeight="1">
      <c r="B712" s="377"/>
      <c r="Z712" s="1683"/>
    </row>
    <row r="713" spans="2:27" s="378" customFormat="1" ht="12" customHeight="1">
      <c r="B713" s="377"/>
      <c r="Z713" s="1683"/>
    </row>
    <row r="714" spans="2:27" s="378" customFormat="1" ht="12" customHeight="1">
      <c r="B714" s="377"/>
      <c r="N714" s="145"/>
      <c r="O714" s="145"/>
      <c r="Z714" s="1683"/>
    </row>
    <row r="715" spans="2:27" ht="12" customHeight="1">
      <c r="I715" s="378"/>
      <c r="AA715" s="320"/>
    </row>
    <row r="716" spans="2:27" ht="12" customHeight="1">
      <c r="AA716" s="320"/>
    </row>
    <row r="717" spans="2:27" ht="12" customHeight="1">
      <c r="AA717" s="320"/>
    </row>
    <row r="718" spans="2:27" ht="12" customHeight="1">
      <c r="AA718" s="320"/>
    </row>
  </sheetData>
  <sheetProtection algorithmName="SHA-512" hashValue="rBc6/SU7J5K0LiPqFLccCh8mDxxK8TmXuNen4N/QOBDxXQCe8nPdWQQI1PFlAwSHeV00Ah4kDUFUKe2AyS45uA==" saltValue="nfAHgj2u1IKjbpNTB7ClYA=="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140625" defaultRowHeight="14.25"/>
  <cols>
    <col min="1" max="1" width="22.85546875" style="516" customWidth="1"/>
    <col min="2" max="2" width="1.85546875" style="516" customWidth="1"/>
    <col min="3" max="3" width="13" style="516" customWidth="1"/>
    <col min="4" max="4" width="11.140625" style="516" customWidth="1"/>
    <col min="5" max="5" width="14.85546875" style="516" customWidth="1"/>
    <col min="6" max="6" width="15.140625" style="516" customWidth="1"/>
    <col min="7" max="7" width="11.85546875" style="516" customWidth="1"/>
    <col min="8" max="8" width="11.42578125" style="516" customWidth="1"/>
    <col min="9" max="9" width="10.5703125" style="516" customWidth="1"/>
    <col min="10" max="10" width="6" style="516" customWidth="1"/>
    <col min="11" max="11" width="12.85546875" style="516" customWidth="1"/>
    <col min="12" max="12" width="10.85546875" style="516" customWidth="1"/>
    <col min="13" max="13" width="26.140625" style="516" customWidth="1"/>
    <col min="14" max="14" width="9.140625" style="516"/>
    <col min="15" max="15" width="12.42578125" style="516" customWidth="1"/>
    <col min="16" max="16" width="9.140625" style="516"/>
    <col min="17" max="17" width="11.85546875" style="516" bestFit="1" customWidth="1"/>
    <col min="18" max="16384" width="9.140625" style="516"/>
  </cols>
  <sheetData>
    <row r="1" spans="1:15" ht="13.5" customHeight="1">
      <c r="A1" s="517" t="s">
        <v>2708</v>
      </c>
      <c r="B1" s="517"/>
      <c r="C1" s="516" t="str">
        <f>'Sensitivity Analysis'!C8</f>
        <v>Harrison Village Apartments</v>
      </c>
    </row>
    <row r="2" spans="1:15" ht="13.5" customHeight="1"/>
    <row r="3" spans="1:15" ht="13.5" customHeight="1">
      <c r="A3" s="517" t="s">
        <v>2709</v>
      </c>
      <c r="C3" s="516" t="s">
        <v>2710</v>
      </c>
      <c r="E3" s="586">
        <f>SUM('Part III-A-Uses of Funds'!J162,'Part III-A-Uses of Funds'!M162,'Part III-A-Uses of Funds'!P162)</f>
        <v>33363630</v>
      </c>
      <c r="F3" s="1026" t="s">
        <v>2711</v>
      </c>
      <c r="H3" s="1008">
        <v>27.5</v>
      </c>
      <c r="I3" s="516" t="s">
        <v>2274</v>
      </c>
      <c r="K3" s="521" t="s">
        <v>2732</v>
      </c>
      <c r="M3" s="1026"/>
      <c r="O3" s="587"/>
    </row>
    <row r="4" spans="1:15" ht="13.5" customHeight="1">
      <c r="C4" s="516" t="s">
        <v>3131</v>
      </c>
      <c r="E4" s="586">
        <f>SUM('Part III-A-Uses of Funds'!G97:H101)</f>
        <v>693132</v>
      </c>
      <c r="F4" s="1026" t="s">
        <v>3665</v>
      </c>
      <c r="H4" s="517">
        <f>'Part II-Sources of Funds'!M40</f>
        <v>40</v>
      </c>
      <c r="I4" s="516" t="s">
        <v>2274</v>
      </c>
      <c r="K4" s="588" t="s">
        <v>2960</v>
      </c>
      <c r="M4" s="1026"/>
    </row>
    <row r="5" spans="1:15" ht="13.5" customHeight="1">
      <c r="C5" s="516" t="s">
        <v>3132</v>
      </c>
      <c r="E5" s="586">
        <f>SUM('Part III-A-Uses of Funds'!G105:H111)</f>
        <v>268290</v>
      </c>
      <c r="F5" s="1026" t="s">
        <v>3664</v>
      </c>
      <c r="H5" s="1008">
        <v>15</v>
      </c>
      <c r="I5" s="516" t="s">
        <v>2274</v>
      </c>
      <c r="K5" s="587">
        <f>-E6</f>
        <v>-25848071</v>
      </c>
    </row>
    <row r="6" spans="1:15" ht="13.5" customHeight="1">
      <c r="C6" s="516" t="s">
        <v>2712</v>
      </c>
      <c r="E6" s="589">
        <f>'Part II-Sources of Funds'!$I$51+'Part II-Sources of Funds'!$I$52</f>
        <v>25848071</v>
      </c>
      <c r="F6" s="1026" t="s">
        <v>2713</v>
      </c>
      <c r="H6" s="590">
        <v>0.35</v>
      </c>
      <c r="K6" s="587" t="e">
        <f>C24</f>
        <v>#VALUE!</v>
      </c>
      <c r="M6" s="516" t="s">
        <v>2714</v>
      </c>
      <c r="O6" s="591">
        <f>'Sensitivity Analysis'!K32</f>
        <v>0</v>
      </c>
    </row>
    <row r="7" spans="1:15" ht="13.5" customHeight="1">
      <c r="K7" s="587" t="e">
        <f>D24</f>
        <v>#VALUE!</v>
      </c>
      <c r="O7" s="592"/>
    </row>
    <row r="8" spans="1:15" ht="13.5" customHeight="1">
      <c r="A8" s="517" t="s">
        <v>2285</v>
      </c>
      <c r="C8" s="593">
        <v>1</v>
      </c>
      <c r="D8" s="593">
        <v>2</v>
      </c>
      <c r="E8" s="593">
        <v>3</v>
      </c>
      <c r="F8" s="593">
        <v>4</v>
      </c>
      <c r="G8" s="593">
        <v>5</v>
      </c>
      <c r="H8" s="593">
        <v>6</v>
      </c>
      <c r="I8" s="593">
        <v>7</v>
      </c>
      <c r="K8" s="587" t="e">
        <f>E24</f>
        <v>#VALUE!</v>
      </c>
      <c r="M8" s="516" t="s">
        <v>2715</v>
      </c>
      <c r="O8" s="983" t="e">
        <f>'Part VI-Pro Forma'!$K$72+'Part VI-Pro Forma'!$K$73+'Part VI-Pro Forma'!$K$74</f>
        <v>#VALUE!</v>
      </c>
    </row>
    <row r="9" spans="1:15" ht="13.5" customHeight="1">
      <c r="A9" s="516" t="s">
        <v>2716</v>
      </c>
      <c r="C9" s="594">
        <f>'Part VI-Pro Forma'!B33</f>
        <v>169796.1532004833</v>
      </c>
      <c r="D9" s="594">
        <f>'Part VI-Pro Forma'!C33</f>
        <v>179735.95382448344</v>
      </c>
      <c r="E9" s="594">
        <f>'Part VI-Pro Forma'!D33</f>
        <v>189640.32246096327</v>
      </c>
      <c r="F9" s="594">
        <f>'Part VI-Pro Forma'!E33</f>
        <v>199502.48523017264</v>
      </c>
      <c r="G9" s="594">
        <f>'Part VI-Pro Forma'!F33</f>
        <v>209314.32261756668</v>
      </c>
      <c r="H9" s="594">
        <f>'Part VI-Pro Forma'!G33</f>
        <v>219067.35625639244</v>
      </c>
      <c r="I9" s="594">
        <f>'Part VI-Pro Forma'!H33</f>
        <v>228752.73525678902</v>
      </c>
      <c r="K9" s="587" t="e">
        <f>F24</f>
        <v>#VALUE!</v>
      </c>
      <c r="N9" s="595" t="s">
        <v>2718</v>
      </c>
    </row>
    <row r="10" spans="1:15" ht="13.5" customHeight="1">
      <c r="A10" s="516" t="s">
        <v>2717</v>
      </c>
      <c r="C10" s="980">
        <f>'Part II-Sources of Funds'!I40-'Part VI-Pro Forma'!B40</f>
        <v>61565.202471742406</v>
      </c>
      <c r="D10" s="596">
        <f>'Part VI-Pro Forma'!B40-'Part VI-Pro Forma'!C40</f>
        <v>65495.860473614186</v>
      </c>
      <c r="E10" s="596">
        <f>'Part VI-Pro Forma'!C40-'Part VI-Pro Forma'!D40</f>
        <v>69677.473100943491</v>
      </c>
      <c r="F10" s="596">
        <f>'Part VI-Pro Forma'!D40-'Part VI-Pro Forma'!E40</f>
        <v>74126.062664505094</v>
      </c>
      <c r="G10" s="596">
        <f>'Part VI-Pro Forma'!E40-'Part VI-Pro Forma'!F40</f>
        <v>78858.674426695332</v>
      </c>
      <c r="H10" s="596">
        <f>'Part VI-Pro Forma'!F40-'Part VI-Pro Forma'!G40</f>
        <v>83893.441912345588</v>
      </c>
      <c r="I10" s="596">
        <f>'Part VI-Pro Forma'!G40-'Part VI-Pro Forma'!H40</f>
        <v>89249.656389323995</v>
      </c>
      <c r="K10" s="587" t="e">
        <f>G24</f>
        <v>#VALUE!</v>
      </c>
      <c r="N10" s="595" t="s">
        <v>2719</v>
      </c>
      <c r="O10" s="592"/>
    </row>
    <row r="11" spans="1:15" ht="13.5" customHeight="1">
      <c r="A11" s="516" t="s">
        <v>2717</v>
      </c>
      <c r="C11" s="980"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2717</v>
      </c>
      <c r="C12" s="980"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2721</v>
      </c>
      <c r="N12" s="597">
        <v>0.06</v>
      </c>
      <c r="O12" s="592">
        <f>N12*O6</f>
        <v>0</v>
      </c>
    </row>
    <row r="13" spans="1:15" ht="13.5" customHeight="1">
      <c r="A13" s="598" t="s">
        <v>3133</v>
      </c>
      <c r="B13" s="598"/>
      <c r="C13" s="981">
        <f>'Part VI-Pro Forma'!B23</f>
        <v>-30000</v>
      </c>
      <c r="D13" s="981">
        <f>'Part VI-Pro Forma'!C23</f>
        <v>-30900</v>
      </c>
      <c r="E13" s="981">
        <f>'Part VI-Pro Forma'!D23</f>
        <v>-31827</v>
      </c>
      <c r="F13" s="981">
        <f>'Part VI-Pro Forma'!E23</f>
        <v>-32781.81</v>
      </c>
      <c r="G13" s="981">
        <f>'Part VI-Pro Forma'!F23</f>
        <v>-33765.264299999995</v>
      </c>
      <c r="H13" s="981">
        <f>'Part VI-Pro Forma'!G23</f>
        <v>-34778.222228999992</v>
      </c>
      <c r="I13" s="981">
        <f>'Part VI-Pro Forma'!H23</f>
        <v>-35821.568895869998</v>
      </c>
      <c r="K13" s="587" t="e">
        <f>C44</f>
        <v>#VALUE!</v>
      </c>
      <c r="O13" s="592"/>
    </row>
    <row r="14" spans="1:15" ht="13.5" customHeight="1">
      <c r="A14" s="598" t="s">
        <v>3134</v>
      </c>
      <c r="B14" s="598"/>
      <c r="C14" s="981">
        <f>'Part VI-Pro Forma'!B32</f>
        <v>0</v>
      </c>
      <c r="D14" s="981">
        <f>'Part VI-Pro Forma'!C32</f>
        <v>0</v>
      </c>
      <c r="E14" s="981">
        <f>'Part VI-Pro Forma'!D32</f>
        <v>0</v>
      </c>
      <c r="F14" s="981">
        <f>'Part VI-Pro Forma'!E32</f>
        <v>0</v>
      </c>
      <c r="G14" s="981">
        <f>'Part VI-Pro Forma'!F32</f>
        <v>0</v>
      </c>
      <c r="H14" s="981">
        <f>'Part VI-Pro Forma'!G32</f>
        <v>0</v>
      </c>
      <c r="I14" s="981">
        <f>'Part VI-Pro Forma'!H32</f>
        <v>0</v>
      </c>
      <c r="K14" s="587" t="e">
        <f>D44</f>
        <v>#VALUE!</v>
      </c>
      <c r="M14" s="516" t="s">
        <v>2724</v>
      </c>
      <c r="O14" s="592" t="e">
        <f>O6-O8-O12</f>
        <v>#VALUE!</v>
      </c>
    </row>
    <row r="15" spans="1:15" ht="13.5" customHeight="1">
      <c r="A15" s="516" t="s">
        <v>2720</v>
      </c>
      <c r="C15" s="599">
        <f t="shared" ref="C15:I15" si="0">$E$3/$H$3</f>
        <v>1213222.9090909092</v>
      </c>
      <c r="D15" s="599">
        <f t="shared" si="0"/>
        <v>1213222.9090909092</v>
      </c>
      <c r="E15" s="599">
        <f t="shared" si="0"/>
        <v>1213222.9090909092</v>
      </c>
      <c r="F15" s="599">
        <f t="shared" si="0"/>
        <v>1213222.9090909092</v>
      </c>
      <c r="G15" s="599">
        <f t="shared" si="0"/>
        <v>1213222.9090909092</v>
      </c>
      <c r="H15" s="599">
        <f t="shared" si="0"/>
        <v>1213222.9090909092</v>
      </c>
      <c r="I15" s="599">
        <f t="shared" si="0"/>
        <v>1213222.9090909092</v>
      </c>
      <c r="K15" s="587" t="e">
        <f>E44</f>
        <v>#VALUE!</v>
      </c>
      <c r="O15" s="592"/>
    </row>
    <row r="16" spans="1:15" ht="13.5" customHeight="1">
      <c r="A16" s="516" t="s">
        <v>2722</v>
      </c>
      <c r="C16" s="599">
        <f>IF(C$8&lt;=$H$4,($E$4/$H$4),0)+IF(C$8&lt;=$H$5,($E$5/$H$5),0)</f>
        <v>35214.300000000003</v>
      </c>
      <c r="D16" s="599">
        <f t="shared" ref="D16:I16" si="1">IF(D$8&lt;=$H$4,($E$4/$H$4),0)+IF(D$8&lt;=$H$5,($E$5/$H$5),0)</f>
        <v>35214.300000000003</v>
      </c>
      <c r="E16" s="599">
        <f t="shared" si="1"/>
        <v>35214.300000000003</v>
      </c>
      <c r="F16" s="599">
        <f t="shared" si="1"/>
        <v>35214.300000000003</v>
      </c>
      <c r="G16" s="599">
        <f t="shared" si="1"/>
        <v>35214.300000000003</v>
      </c>
      <c r="H16" s="599">
        <f t="shared" si="1"/>
        <v>35214.300000000003</v>
      </c>
      <c r="I16" s="599">
        <f t="shared" si="1"/>
        <v>35214.300000000003</v>
      </c>
      <c r="K16" s="587" t="e">
        <f>F44</f>
        <v>#VALUE!</v>
      </c>
      <c r="M16" s="516" t="s">
        <v>2726</v>
      </c>
      <c r="O16" s="592">
        <f>E3</f>
        <v>33363630</v>
      </c>
    </row>
    <row r="17" spans="1:17" ht="13.5" customHeight="1">
      <c r="A17" s="516" t="s">
        <v>2723</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2720</v>
      </c>
      <c r="O17" s="592">
        <f>20*(E3/H3)</f>
        <v>24264458.181818184</v>
      </c>
    </row>
    <row r="18" spans="1:17" ht="13.5" customHeight="1">
      <c r="A18" s="516" t="s">
        <v>2725</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2730</v>
      </c>
      <c r="O19" s="592">
        <f>O16-O17</f>
        <v>9099171.8181818165</v>
      </c>
    </row>
    <row r="20" spans="1:17" ht="13.5" customHeight="1">
      <c r="A20" s="516" t="s">
        <v>2727</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2728</v>
      </c>
      <c r="C21" s="600">
        <f>'Part III-A-Uses of Funds'!$J$191</f>
        <v>1734863</v>
      </c>
      <c r="D21" s="600">
        <f t="shared" ref="D21:I21" si="5">C21</f>
        <v>1734863</v>
      </c>
      <c r="E21" s="600">
        <f t="shared" si="5"/>
        <v>1734863</v>
      </c>
      <c r="F21" s="600">
        <f t="shared" si="5"/>
        <v>1734863</v>
      </c>
      <c r="G21" s="600">
        <f t="shared" si="5"/>
        <v>1734863</v>
      </c>
      <c r="H21" s="600">
        <f t="shared" si="5"/>
        <v>1734863</v>
      </c>
      <c r="I21" s="600">
        <f t="shared" si="5"/>
        <v>1734863</v>
      </c>
      <c r="J21" s="516" t="s">
        <v>233</v>
      </c>
      <c r="K21" s="587" t="e">
        <f>D64</f>
        <v>#VALUE!</v>
      </c>
      <c r="O21" s="592"/>
    </row>
    <row r="22" spans="1:17" ht="13.5" customHeight="1">
      <c r="A22" s="516" t="s">
        <v>2729</v>
      </c>
      <c r="C22" s="600">
        <f>C21</f>
        <v>1734863</v>
      </c>
      <c r="D22" s="600">
        <f t="shared" ref="D22:I22" si="6">D21</f>
        <v>1734863</v>
      </c>
      <c r="E22" s="600">
        <f t="shared" si="6"/>
        <v>1734863</v>
      </c>
      <c r="F22" s="600">
        <f t="shared" si="6"/>
        <v>1734863</v>
      </c>
      <c r="G22" s="600">
        <f t="shared" si="6"/>
        <v>1734863</v>
      </c>
      <c r="H22" s="600">
        <f t="shared" si="6"/>
        <v>1734863</v>
      </c>
      <c r="I22" s="600">
        <f t="shared" si="6"/>
        <v>1734863</v>
      </c>
      <c r="K22" s="587" t="e">
        <f>E64</f>
        <v>#VALUE!</v>
      </c>
      <c r="M22" s="516" t="s">
        <v>2714</v>
      </c>
      <c r="O22" s="592">
        <f>O6</f>
        <v>0</v>
      </c>
    </row>
    <row r="23" spans="1:17" ht="13.5" customHeight="1">
      <c r="A23" s="516" t="s">
        <v>2731</v>
      </c>
      <c r="C23" s="594">
        <v>0</v>
      </c>
      <c r="D23" s="594">
        <v>0</v>
      </c>
      <c r="E23" s="594">
        <v>0</v>
      </c>
      <c r="F23" s="594">
        <v>0</v>
      </c>
      <c r="G23" s="594">
        <v>0</v>
      </c>
      <c r="H23" s="594">
        <v>0</v>
      </c>
      <c r="I23" s="594">
        <v>0</v>
      </c>
      <c r="K23" s="587" t="e">
        <f>F64</f>
        <v>#VALUE!</v>
      </c>
      <c r="M23" s="516" t="s">
        <v>2733</v>
      </c>
      <c r="O23" s="592">
        <f>O19</f>
        <v>9099171.8181818165</v>
      </c>
    </row>
    <row r="24" spans="1:17" ht="13.5" customHeight="1">
      <c r="A24" s="516" t="s">
        <v>2732</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2734</v>
      </c>
      <c r="O25" s="592">
        <f>O22-O23</f>
        <v>-9099171.8181818165</v>
      </c>
      <c r="Q25" s="601"/>
    </row>
    <row r="26" spans="1:17" ht="13.5" customHeight="1">
      <c r="A26" s="602"/>
      <c r="B26" s="602"/>
      <c r="C26" s="602"/>
      <c r="D26" s="602"/>
      <c r="E26" s="602"/>
      <c r="F26" s="602"/>
      <c r="G26" s="602"/>
      <c r="H26" s="602"/>
      <c r="I26" s="602"/>
      <c r="K26" s="587"/>
      <c r="O26" s="592"/>
    </row>
    <row r="27" spans="1:17" ht="13.5" customHeight="1">
      <c r="K27" s="587"/>
      <c r="M27" s="516" t="s">
        <v>2735</v>
      </c>
      <c r="N27" s="603"/>
      <c r="O27" s="597">
        <v>0.2</v>
      </c>
    </row>
    <row r="28" spans="1:17" ht="13.5" customHeight="1">
      <c r="A28" s="517" t="s">
        <v>2285</v>
      </c>
      <c r="B28" s="517"/>
      <c r="C28" s="593">
        <v>8</v>
      </c>
      <c r="D28" s="593">
        <v>9</v>
      </c>
      <c r="E28" s="593">
        <v>10</v>
      </c>
      <c r="F28" s="593">
        <v>11</v>
      </c>
      <c r="G28" s="593">
        <v>12</v>
      </c>
      <c r="H28" s="593">
        <v>13</v>
      </c>
      <c r="I28" s="593">
        <v>14</v>
      </c>
      <c r="N28" s="603"/>
      <c r="O28" s="603"/>
    </row>
    <row r="29" spans="1:17" ht="13.5" customHeight="1">
      <c r="A29" s="516" t="s">
        <v>2716</v>
      </c>
      <c r="C29" s="594">
        <f>'Part VI-Pro Forma'!I33</f>
        <v>238361.2220666518</v>
      </c>
      <c r="D29" s="594">
        <f>'Part VI-Pro Forma'!J33</f>
        <v>247882.17784905422</v>
      </c>
      <c r="E29" s="594">
        <f>'Part VI-Pro Forma'!K33</f>
        <v>257307.54736053653</v>
      </c>
      <c r="F29" s="594">
        <f>'Part VI-Pro Forma'!B65</f>
        <v>266624.84331408457</v>
      </c>
      <c r="G29" s="594">
        <f>'Part VI-Pro Forma'!C65</f>
        <v>275824.13021009369</v>
      </c>
      <c r="H29" s="594">
        <f>'Part VI-Pro Forma'!D65</f>
        <v>284893.00761811563</v>
      </c>
      <c r="I29" s="594">
        <f>'Part VI-Pro Forma'!E65</f>
        <v>293820.59289161174</v>
      </c>
      <c r="N29" s="603"/>
      <c r="O29" s="603"/>
    </row>
    <row r="30" spans="1:17" ht="13.5" customHeight="1">
      <c r="A30" s="516" t="s">
        <v>2717</v>
      </c>
      <c r="C30" s="596">
        <f>'Part VI-Pro Forma'!H40-'Part VI-Pro Forma'!I40</f>
        <v>94947.840785158798</v>
      </c>
      <c r="D30" s="596">
        <f>'Part VI-Pro Forma'!I40-'Part VI-Pro Forma'!J40</f>
        <v>101009.82832290418</v>
      </c>
      <c r="E30" s="596">
        <f>'Part VI-Pro Forma'!J40-'Part VI-Pro Forma'!K40</f>
        <v>107458.84617754817</v>
      </c>
      <c r="F30" s="978">
        <f>'Part VI-Pro Forma'!K40-'Part VI-Pro Forma'!B72</f>
        <v>114319.60447349399</v>
      </c>
      <c r="G30" s="978">
        <f>'Part VI-Pro Forma'!B72-'Part VI-Pro Forma'!C72</f>
        <v>121618.39096413553</v>
      </c>
      <c r="H30" s="978">
        <f>'Part VI-Pro Forma'!C72-'Part VI-Pro Forma'!D72</f>
        <v>129383.17175629176</v>
      </c>
      <c r="I30" s="978">
        <f>'Part VI-Pro Forma'!D72-'Part VI-Pro Forma'!E72</f>
        <v>137643.69846542925</v>
      </c>
    </row>
    <row r="31" spans="1:17" ht="13.5" customHeight="1">
      <c r="A31" s="516" t="s">
        <v>2717</v>
      </c>
      <c r="C31" s="596" t="e">
        <f>'Part VI-Pro Forma'!H41-'Part VI-Pro Forma'!I41</f>
        <v>#VALUE!</v>
      </c>
      <c r="D31" s="596" t="e">
        <f>'Part VI-Pro Forma'!I41-'Part VI-Pro Forma'!J41</f>
        <v>#VALUE!</v>
      </c>
      <c r="E31" s="596" t="e">
        <f>'Part VI-Pro Forma'!J41-'Part VI-Pro Forma'!K41</f>
        <v>#VALUE!</v>
      </c>
      <c r="F31" s="978" t="e">
        <f>'Part VI-Pro Forma'!K41-'Part VI-Pro Forma'!B73</f>
        <v>#VALUE!</v>
      </c>
      <c r="G31" s="978" t="e">
        <f>'Part VI-Pro Forma'!B73-'Part VI-Pro Forma'!C73</f>
        <v>#VALUE!</v>
      </c>
      <c r="H31" s="978" t="e">
        <f>'Part VI-Pro Forma'!C73-'Part VI-Pro Forma'!D73</f>
        <v>#VALUE!</v>
      </c>
      <c r="I31" s="978" t="e">
        <f>'Part VI-Pro Forma'!D73-'Part VI-Pro Forma'!E73</f>
        <v>#VALUE!</v>
      </c>
      <c r="K31" s="516" t="s">
        <v>233</v>
      </c>
      <c r="M31" s="516" t="s">
        <v>2736</v>
      </c>
      <c r="O31" s="594">
        <f>O25*O27</f>
        <v>-1819834.3636363633</v>
      </c>
    </row>
    <row r="32" spans="1:17" ht="13.5" customHeight="1">
      <c r="A32" s="516" t="s">
        <v>2717</v>
      </c>
      <c r="C32" s="596" t="e">
        <f>'Part VI-Pro Forma'!H42-'Part VI-Pro Forma'!I42</f>
        <v>#VALUE!</v>
      </c>
      <c r="D32" s="596" t="e">
        <f>'Part VI-Pro Forma'!I42-'Part VI-Pro Forma'!J42</f>
        <v>#VALUE!</v>
      </c>
      <c r="E32" s="596" t="e">
        <f>'Part VI-Pro Forma'!J42-'Part VI-Pro Forma'!K42</f>
        <v>#VALUE!</v>
      </c>
      <c r="F32" s="978" t="e">
        <f>'Part VI-Pro Forma'!K42-'Part VI-Pro Forma'!B74</f>
        <v>#VALUE!</v>
      </c>
      <c r="G32" s="978" t="e">
        <f>'Part VI-Pro Forma'!B74-'Part VI-Pro Forma'!C74</f>
        <v>#VALUE!</v>
      </c>
      <c r="H32" s="978" t="e">
        <f>'Part VI-Pro Forma'!C74-'Part VI-Pro Forma'!D74</f>
        <v>#VALUE!</v>
      </c>
      <c r="I32" s="978" t="e">
        <f>'Part VI-Pro Forma'!D74-'Part VI-Pro Forma'!E74</f>
        <v>#VALUE!</v>
      </c>
    </row>
    <row r="33" spans="1:15" ht="13.5" customHeight="1">
      <c r="A33" s="598" t="s">
        <v>3133</v>
      </c>
      <c r="B33" s="598"/>
      <c r="C33" s="981">
        <f>'Part VI-Pro Forma'!I23</f>
        <v>-36896.215962746101</v>
      </c>
      <c r="D33" s="981">
        <f>'Part VI-Pro Forma'!J23</f>
        <v>-38003.102441628478</v>
      </c>
      <c r="E33" s="981">
        <f>'Part VI-Pro Forma'!K23</f>
        <v>-39143.195514877334</v>
      </c>
      <c r="F33" s="981">
        <f>'Part VI-Pro Forma'!B55</f>
        <v>-40317.491380323656</v>
      </c>
      <c r="G33" s="981">
        <f>'Part VI-Pro Forma'!C55</f>
        <v>-41527.016121733366</v>
      </c>
      <c r="H33" s="981">
        <f>'Part VI-Pro Forma'!D55</f>
        <v>-42772.826605385359</v>
      </c>
      <c r="I33" s="981">
        <f>'Part VI-Pro Forma'!E55</f>
        <v>-44056.011403546916</v>
      </c>
      <c r="K33" s="516" t="s">
        <v>233</v>
      </c>
      <c r="M33" s="516" t="s">
        <v>2737</v>
      </c>
      <c r="O33" s="594" t="e">
        <f>O14-O31</f>
        <v>#VALUE!</v>
      </c>
    </row>
    <row r="34" spans="1:15" ht="13.5" customHeight="1">
      <c r="A34" s="598" t="s">
        <v>3134</v>
      </c>
      <c r="B34" s="598"/>
      <c r="C34" s="981">
        <f>'Part VI-Pro Forma'!I32</f>
        <v>0</v>
      </c>
      <c r="D34" s="981">
        <f>'Part VI-Pro Forma'!J32</f>
        <v>0</v>
      </c>
      <c r="E34" s="981">
        <f>'Part VI-Pro Forma'!K32</f>
        <v>0</v>
      </c>
      <c r="F34" s="981">
        <f>'Part VI-Pro Forma'!B64</f>
        <v>0</v>
      </c>
      <c r="G34" s="981">
        <f>'Part VI-Pro Forma'!C64</f>
        <v>0</v>
      </c>
      <c r="H34" s="981">
        <f>'Part VI-Pro Forma'!D64</f>
        <v>0</v>
      </c>
      <c r="I34" s="981">
        <f>'Part VI-Pro Forma'!E64</f>
        <v>0</v>
      </c>
    </row>
    <row r="35" spans="1:15" ht="13.5" customHeight="1">
      <c r="A35" s="516" t="s">
        <v>2720</v>
      </c>
      <c r="C35" s="599">
        <f t="shared" ref="C35:I35" si="8">$E$3/$H$3</f>
        <v>1213222.9090909092</v>
      </c>
      <c r="D35" s="599">
        <f t="shared" si="8"/>
        <v>1213222.9090909092</v>
      </c>
      <c r="E35" s="599">
        <f t="shared" si="8"/>
        <v>1213222.9090909092</v>
      </c>
      <c r="F35" s="599">
        <f t="shared" si="8"/>
        <v>1213222.9090909092</v>
      </c>
      <c r="G35" s="599">
        <f t="shared" si="8"/>
        <v>1213222.9090909092</v>
      </c>
      <c r="H35" s="599">
        <f t="shared" si="8"/>
        <v>1213222.9090909092</v>
      </c>
      <c r="I35" s="599">
        <f t="shared" si="8"/>
        <v>1213222.9090909092</v>
      </c>
    </row>
    <row r="36" spans="1:15" ht="13.5" customHeight="1">
      <c r="A36" s="516" t="s">
        <v>2722</v>
      </c>
      <c r="C36" s="594">
        <f>IF(C$28&lt;=$H$4,($E$4/$H$4),0)+IF(C$28&lt;=$H$5,($E$5/$H$5),0)</f>
        <v>35214.300000000003</v>
      </c>
      <c r="D36" s="594">
        <f t="shared" ref="D36:I36" si="9">IF(D$28&lt;=$H$4,($E$4/$H$4),0)+IF(D$28&lt;=$H$5,($E$5/$H$5),0)</f>
        <v>35214.300000000003</v>
      </c>
      <c r="E36" s="594">
        <f t="shared" si="9"/>
        <v>35214.300000000003</v>
      </c>
      <c r="F36" s="594">
        <f t="shared" si="9"/>
        <v>35214.300000000003</v>
      </c>
      <c r="G36" s="594">
        <f t="shared" si="9"/>
        <v>35214.300000000003</v>
      </c>
      <c r="H36" s="594">
        <f t="shared" si="9"/>
        <v>35214.300000000003</v>
      </c>
      <c r="I36" s="594">
        <f t="shared" si="9"/>
        <v>35214.300000000003</v>
      </c>
    </row>
    <row r="37" spans="1:15" ht="13.5" customHeight="1">
      <c r="A37" s="516" t="s">
        <v>2723</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2725</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2727</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2728</v>
      </c>
      <c r="C41" s="600">
        <f>C21</f>
        <v>1734863</v>
      </c>
      <c r="D41" s="600">
        <f>C41</f>
        <v>1734863</v>
      </c>
      <c r="E41" s="600">
        <f>D41</f>
        <v>1734863</v>
      </c>
      <c r="F41" s="600">
        <v>0</v>
      </c>
      <c r="G41" s="600">
        <v>0</v>
      </c>
      <c r="H41" s="600">
        <v>0</v>
      </c>
      <c r="I41" s="600">
        <v>0</v>
      </c>
    </row>
    <row r="42" spans="1:15" ht="13.5" customHeight="1">
      <c r="A42" s="516" t="s">
        <v>2729</v>
      </c>
      <c r="C42" s="600">
        <f>C22</f>
        <v>1734863</v>
      </c>
      <c r="D42" s="600">
        <f>C42</f>
        <v>1734863</v>
      </c>
      <c r="E42" s="600">
        <f>D42</f>
        <v>1734863</v>
      </c>
      <c r="F42" s="600">
        <v>0</v>
      </c>
      <c r="G42" s="600">
        <v>0</v>
      </c>
      <c r="H42" s="600">
        <v>0</v>
      </c>
      <c r="I42" s="600">
        <v>0</v>
      </c>
    </row>
    <row r="43" spans="1:15" ht="13.5" customHeight="1">
      <c r="A43" s="516" t="s">
        <v>2731</v>
      </c>
      <c r="C43" s="596">
        <v>0</v>
      </c>
      <c r="D43" s="596">
        <v>0</v>
      </c>
      <c r="E43" s="596">
        <v>0</v>
      </c>
      <c r="F43" s="596">
        <v>0</v>
      </c>
      <c r="G43" s="596">
        <v>0</v>
      </c>
      <c r="H43" s="596">
        <v>0</v>
      </c>
      <c r="I43" s="596">
        <v>0</v>
      </c>
    </row>
    <row r="44" spans="1:15" ht="13.5" customHeight="1">
      <c r="A44" s="516" t="s">
        <v>2732</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2285</v>
      </c>
      <c r="B48" s="517"/>
      <c r="C48" s="593">
        <v>15</v>
      </c>
      <c r="D48" s="517">
        <v>16</v>
      </c>
      <c r="E48" s="517">
        <v>17</v>
      </c>
      <c r="F48" s="517">
        <v>18</v>
      </c>
      <c r="G48" s="517">
        <v>19</v>
      </c>
      <c r="H48" s="517">
        <v>20</v>
      </c>
    </row>
    <row r="49" spans="1:10" ht="13.5" customHeight="1">
      <c r="A49" s="516" t="s">
        <v>2716</v>
      </c>
      <c r="C49" s="594">
        <f>'Part VI-Pro Forma'!F65</f>
        <v>302594.50329741335</v>
      </c>
      <c r="D49" s="594">
        <f>'Part VI-Pro Forma'!G62</f>
        <v>0</v>
      </c>
      <c r="E49" s="594">
        <f>'Part VI-Pro Forma'!H62</f>
        <v>0</v>
      </c>
      <c r="F49" s="594">
        <f>'Part VI-Pro Forma'!I62</f>
        <v>0</v>
      </c>
      <c r="G49" s="594">
        <f>'Part VI-Pro Forma'!J62</f>
        <v>0</v>
      </c>
      <c r="H49" s="594">
        <f>'Part VI-Pro Forma'!K62</f>
        <v>0</v>
      </c>
    </row>
    <row r="50" spans="1:10" ht="13.5" customHeight="1">
      <c r="A50" s="516" t="s">
        <v>2717</v>
      </c>
      <c r="C50" s="979">
        <f>'Part VI-Pro Forma'!E72-'Part VI-Pro Forma'!F72</f>
        <v>146431.62221226469</v>
      </c>
      <c r="D50" s="979">
        <f>'Part VI-Pro Forma'!F72-'Part VI-Pro Forma'!G72</f>
        <v>155780.61489753611</v>
      </c>
      <c r="E50" s="979">
        <f>'Part VI-Pro Forma'!G72-'Part VI-Pro Forma'!H72</f>
        <v>165726.49821960181</v>
      </c>
      <c r="F50" s="979">
        <f>'Part VI-Pro Forma'!H72-'Part VI-Pro Forma'!I72</f>
        <v>176307.38092924282</v>
      </c>
      <c r="G50" s="979">
        <f>'Part VI-Pro Forma'!I72-'Part VI-Pro Forma'!J72</f>
        <v>187563.80484755244</v>
      </c>
      <c r="H50" s="979">
        <f>'Part VI-Pro Forma'!J72-'Part VI-Pro Forma'!K72</f>
        <v>199538.90020639077</v>
      </c>
    </row>
    <row r="51" spans="1:10" ht="13.5" customHeight="1">
      <c r="A51" s="516" t="s">
        <v>2717</v>
      </c>
      <c r="C51" s="979" t="e">
        <f>'Part VI-Pro Forma'!E73-'Part VI-Pro Forma'!F73</f>
        <v>#VALUE!</v>
      </c>
      <c r="D51" s="979" t="e">
        <f>'Part VI-Pro Forma'!F73-'Part VI-Pro Forma'!G73</f>
        <v>#VALUE!</v>
      </c>
      <c r="E51" s="979" t="e">
        <f>'Part VI-Pro Forma'!G73-'Part VI-Pro Forma'!H73</f>
        <v>#VALUE!</v>
      </c>
      <c r="F51" s="979" t="e">
        <f>'Part VI-Pro Forma'!H73-'Part VI-Pro Forma'!I73</f>
        <v>#VALUE!</v>
      </c>
      <c r="G51" s="979" t="e">
        <f>'Part VI-Pro Forma'!I73-'Part VI-Pro Forma'!J73</f>
        <v>#VALUE!</v>
      </c>
      <c r="H51" s="979" t="e">
        <f>'Part VI-Pro Forma'!J73-'Part VI-Pro Forma'!K73</f>
        <v>#VALUE!</v>
      </c>
    </row>
    <row r="52" spans="1:10" ht="13.5" customHeight="1">
      <c r="A52" s="516" t="s">
        <v>2717</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3133</v>
      </c>
      <c r="B53" s="598"/>
      <c r="C53" s="981">
        <f>'Part VI-Pro Forma'!F55</f>
        <v>-45377.691745653334</v>
      </c>
      <c r="D53" s="981">
        <f>'Part VI-Pro Forma'!G55</f>
        <v>-46739.022498022932</v>
      </c>
      <c r="E53" s="981">
        <f>'Part VI-Pro Forma'!H55</f>
        <v>-48141.193172963613</v>
      </c>
      <c r="F53" s="981">
        <f>'Part VI-Pro Forma'!I55</f>
        <v>-49585.428968152519</v>
      </c>
      <c r="G53" s="981">
        <f>'Part VI-Pro Forma'!J55</f>
        <v>-51072.9918371971</v>
      </c>
      <c r="H53" s="981">
        <f>'Part VI-Pro Forma'!K55</f>
        <v>-52605.181592313005</v>
      </c>
    </row>
    <row r="54" spans="1:10" ht="13.5" customHeight="1">
      <c r="A54" s="598" t="s">
        <v>3134</v>
      </c>
      <c r="C54" s="982">
        <f>'Part VI-Pro Forma'!F64</f>
        <v>0</v>
      </c>
      <c r="D54" s="982">
        <f>'Part VI-Pro Forma'!G64</f>
        <v>0</v>
      </c>
      <c r="E54" s="982">
        <f>'Part VI-Pro Forma'!H64</f>
        <v>0</v>
      </c>
      <c r="F54" s="982">
        <f>'Part VI-Pro Forma'!I64</f>
        <v>0</v>
      </c>
      <c r="G54" s="982">
        <f>'Part VI-Pro Forma'!J64</f>
        <v>0</v>
      </c>
      <c r="H54" s="982">
        <f>'Part VI-Pro Forma'!K64</f>
        <v>0</v>
      </c>
    </row>
    <row r="55" spans="1:10" ht="13.5" customHeight="1">
      <c r="A55" s="516" t="s">
        <v>2720</v>
      </c>
      <c r="C55" s="599">
        <f t="shared" ref="C55:H55" si="14">$E$3/$H$3</f>
        <v>1213222.9090909092</v>
      </c>
      <c r="D55" s="599">
        <f t="shared" si="14"/>
        <v>1213222.9090909092</v>
      </c>
      <c r="E55" s="599">
        <f t="shared" si="14"/>
        <v>1213222.9090909092</v>
      </c>
      <c r="F55" s="599">
        <f t="shared" si="14"/>
        <v>1213222.9090909092</v>
      </c>
      <c r="G55" s="599">
        <f t="shared" si="14"/>
        <v>1213222.9090909092</v>
      </c>
      <c r="H55" s="599">
        <f t="shared" si="14"/>
        <v>1213222.9090909092</v>
      </c>
    </row>
    <row r="56" spans="1:10" ht="13.5" customHeight="1">
      <c r="A56" s="516" t="s">
        <v>2722</v>
      </c>
      <c r="C56" s="594">
        <f t="shared" ref="C56:H56" si="15">IF(C$48&lt;=$H$4,($E$4/$H$4),0)+IF(C$48&lt;=$H$5,($E$5/$H$5),0)</f>
        <v>35214.300000000003</v>
      </c>
      <c r="D56" s="594">
        <f t="shared" si="15"/>
        <v>17328.3</v>
      </c>
      <c r="E56" s="594">
        <f t="shared" si="15"/>
        <v>17328.3</v>
      </c>
      <c r="F56" s="594">
        <f t="shared" si="15"/>
        <v>17328.3</v>
      </c>
      <c r="G56" s="594">
        <f t="shared" si="15"/>
        <v>17328.3</v>
      </c>
      <c r="H56" s="594">
        <f t="shared" si="15"/>
        <v>17328.3</v>
      </c>
    </row>
    <row r="57" spans="1:10" ht="13.5" customHeight="1">
      <c r="A57" s="516" t="s">
        <v>2723</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2725</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2727</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2728</v>
      </c>
      <c r="C61" s="599">
        <v>0</v>
      </c>
      <c r="D61" s="599">
        <v>0</v>
      </c>
      <c r="E61" s="599">
        <v>0</v>
      </c>
      <c r="F61" s="599">
        <v>0</v>
      </c>
      <c r="G61" s="599">
        <v>0</v>
      </c>
      <c r="H61" s="594">
        <v>0</v>
      </c>
    </row>
    <row r="62" spans="1:10">
      <c r="A62" s="516" t="s">
        <v>2729</v>
      </c>
      <c r="C62" s="599">
        <v>0</v>
      </c>
      <c r="D62" s="594">
        <v>0</v>
      </c>
      <c r="E62" s="594">
        <v>0</v>
      </c>
      <c r="F62" s="594">
        <v>0</v>
      </c>
      <c r="G62" s="594">
        <v>0</v>
      </c>
      <c r="H62" s="594">
        <v>0</v>
      </c>
    </row>
    <row r="63" spans="1:10">
      <c r="A63" s="516" t="s">
        <v>2731</v>
      </c>
      <c r="C63" s="594">
        <v>0</v>
      </c>
      <c r="D63" s="594">
        <v>0</v>
      </c>
      <c r="E63" s="594">
        <v>0</v>
      </c>
      <c r="F63" s="594">
        <v>0</v>
      </c>
      <c r="G63" s="594">
        <v>0</v>
      </c>
      <c r="H63" s="594" t="e">
        <f>O33</f>
        <v>#VALUE!</v>
      </c>
    </row>
    <row r="64" spans="1:10">
      <c r="A64" s="516" t="s">
        <v>2732</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2738</v>
      </c>
      <c r="G66" s="3786" t="e">
        <f>IRR(K5:K25)</f>
        <v>#VALUE!</v>
      </c>
      <c r="H66" s="3787"/>
      <c r="I66" s="605"/>
      <c r="J66" s="60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140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140625" style="432"/>
  </cols>
  <sheetData>
    <row r="1" spans="1:11" s="439" customFormat="1" ht="17.45" customHeight="1">
      <c r="A1" s="3789" t="str">
        <f>'Sensitivity Analysis'!C8</f>
        <v>Harrison Village Apartments</v>
      </c>
      <c r="B1" s="3789"/>
      <c r="C1" s="3789"/>
      <c r="D1" s="3789"/>
      <c r="E1" s="3789"/>
      <c r="F1" s="3789"/>
      <c r="G1" s="3789"/>
      <c r="H1" s="3789"/>
      <c r="I1" s="3789"/>
      <c r="J1" s="3789"/>
      <c r="K1" s="3789"/>
    </row>
    <row r="2" spans="1:11" s="439" customFormat="1" ht="17.45" customHeight="1">
      <c r="A2" s="3788" t="s">
        <v>2889</v>
      </c>
      <c r="B2" s="3788"/>
      <c r="C2" s="3788"/>
      <c r="D2" s="3788"/>
      <c r="E2" s="3788"/>
      <c r="F2" s="3788"/>
      <c r="G2" s="3788"/>
      <c r="H2" s="3788"/>
      <c r="I2" s="3788"/>
      <c r="J2" s="3788"/>
      <c r="K2" s="3788"/>
    </row>
    <row r="3" spans="1:11" ht="9" customHeight="1">
      <c r="A3" s="1477"/>
      <c r="B3" s="1477"/>
      <c r="C3" s="1477"/>
      <c r="D3" s="1477"/>
      <c r="E3" s="1477"/>
      <c r="G3" s="1477"/>
      <c r="H3" s="1477"/>
      <c r="J3" s="1477"/>
      <c r="K3" s="1477"/>
    </row>
    <row r="4" spans="1:11" ht="12.6" customHeight="1">
      <c r="A4" s="3790" t="s">
        <v>6066</v>
      </c>
      <c r="B4" s="3790"/>
      <c r="C4" s="1478"/>
      <c r="D4" s="3790" t="s">
        <v>6067</v>
      </c>
      <c r="E4" s="3790"/>
      <c r="F4" s="523"/>
      <c r="G4" s="3790" t="s">
        <v>6068</v>
      </c>
      <c r="H4" s="3790"/>
      <c r="I4" s="523"/>
      <c r="J4" s="3790" t="s">
        <v>6186</v>
      </c>
      <c r="K4" s="3790"/>
    </row>
    <row r="5" spans="1:11" ht="25.9" customHeight="1">
      <c r="A5" s="3791" t="str">
        <f>'Part II-Sources of Funds'!E40</f>
        <v>Bellwether (Freddie TEL)</v>
      </c>
      <c r="B5" s="3792"/>
      <c r="C5" s="439"/>
      <c r="D5" s="3791">
        <f>'Part II-Sources of Funds'!E41</f>
        <v>0</v>
      </c>
      <c r="E5" s="3792"/>
      <c r="F5" s="1479"/>
      <c r="G5" s="3791">
        <f>'Part II-Sources of Funds'!E42</f>
        <v>0</v>
      </c>
      <c r="H5" s="3792"/>
      <c r="I5" s="1479"/>
      <c r="J5" s="3791">
        <f>'Part II-Sources of Funds'!E43</f>
        <v>0</v>
      </c>
      <c r="K5" s="3792"/>
    </row>
    <row r="6" spans="1:11" ht="9" customHeight="1"/>
    <row r="7" spans="1:11" ht="15.75">
      <c r="A7" s="984"/>
      <c r="B7" s="984" t="s">
        <v>2739</v>
      </c>
      <c r="D7" s="984"/>
      <c r="E7" s="984" t="s">
        <v>2739</v>
      </c>
      <c r="G7" s="984"/>
      <c r="H7" s="984" t="s">
        <v>2739</v>
      </c>
      <c r="J7" s="984"/>
      <c r="K7" s="984" t="s">
        <v>2739</v>
      </c>
    </row>
    <row r="8" spans="1:11" ht="15.75">
      <c r="A8" s="1009" t="s">
        <v>2285</v>
      </c>
      <c r="B8" s="1009" t="s">
        <v>2740</v>
      </c>
      <c r="D8" s="1009" t="s">
        <v>2285</v>
      </c>
      <c r="E8" s="1009" t="s">
        <v>2740</v>
      </c>
      <c r="G8" s="1009" t="s">
        <v>2285</v>
      </c>
      <c r="H8" s="1009" t="s">
        <v>2740</v>
      </c>
      <c r="J8" s="1009" t="s">
        <v>2285</v>
      </c>
      <c r="K8" s="1009" t="s">
        <v>2740</v>
      </c>
    </row>
    <row r="9" spans="1:11" ht="6" customHeight="1">
      <c r="A9" s="507"/>
      <c r="B9" s="507"/>
      <c r="D9" s="507"/>
      <c r="E9" s="507"/>
      <c r="G9" s="507"/>
      <c r="H9" s="507"/>
      <c r="J9" s="507"/>
      <c r="K9" s="507"/>
    </row>
    <row r="10" spans="1:11" ht="20.25" customHeight="1">
      <c r="A10" s="985">
        <v>1</v>
      </c>
      <c r="B10" s="986">
        <f>-'Part VI-Pro Forma'!$B26/12</f>
        <v>59279.906499959732</v>
      </c>
      <c r="D10" s="985">
        <v>1</v>
      </c>
      <c r="E10" s="986">
        <f>-'Part VI-Pro Forma'!$B27/12</f>
        <v>0</v>
      </c>
      <c r="G10" s="985">
        <v>1</v>
      </c>
      <c r="H10" s="986">
        <f>-'Part VI-Pro Forma'!$B28/12</f>
        <v>0</v>
      </c>
      <c r="J10" s="985">
        <v>1</v>
      </c>
      <c r="K10" s="986">
        <f>-'Part VI-Pro Forma'!$B29/12</f>
        <v>0</v>
      </c>
    </row>
    <row r="11" spans="1:11" ht="20.25" customHeight="1">
      <c r="A11" s="985">
        <v>2</v>
      </c>
      <c r="B11" s="986">
        <f>-'Part VI-Pro Forma'!$C26/12</f>
        <v>59279.906499959732</v>
      </c>
      <c r="D11" s="985">
        <v>2</v>
      </c>
      <c r="E11" s="986">
        <f>-'Part VI-Pro Forma'!$C27/12</f>
        <v>0</v>
      </c>
      <c r="G11" s="985">
        <v>2</v>
      </c>
      <c r="H11" s="986">
        <f>-'Part VI-Pro Forma'!$C28/12</f>
        <v>0</v>
      </c>
      <c r="J11" s="985">
        <v>2</v>
      </c>
      <c r="K11" s="986">
        <f>-'Part VI-Pro Forma'!$C29/12</f>
        <v>0</v>
      </c>
    </row>
    <row r="12" spans="1:11" ht="20.25" customHeight="1">
      <c r="A12" s="985">
        <v>3</v>
      </c>
      <c r="B12" s="986">
        <f>-'Part VI-Pro Forma'!$D26/12</f>
        <v>59279.906499959732</v>
      </c>
      <c r="D12" s="985">
        <v>3</v>
      </c>
      <c r="E12" s="986">
        <f>-'Part VI-Pro Forma'!$D27/12</f>
        <v>0</v>
      </c>
      <c r="G12" s="985">
        <v>3</v>
      </c>
      <c r="H12" s="986">
        <f>-'Part VI-Pro Forma'!$D28/12</f>
        <v>0</v>
      </c>
      <c r="J12" s="985">
        <v>3</v>
      </c>
      <c r="K12" s="986">
        <f>-'Part VI-Pro Forma'!$D29/12</f>
        <v>0</v>
      </c>
    </row>
    <row r="13" spans="1:11" ht="20.25" customHeight="1">
      <c r="A13" s="985">
        <v>4</v>
      </c>
      <c r="B13" s="986">
        <f>-'Part VI-Pro Forma'!$E26/12</f>
        <v>59279.906499959732</v>
      </c>
      <c r="D13" s="985">
        <v>4</v>
      </c>
      <c r="E13" s="986">
        <f>-'Part VI-Pro Forma'!$E27/12</f>
        <v>0</v>
      </c>
      <c r="G13" s="985">
        <v>4</v>
      </c>
      <c r="H13" s="986">
        <f>-'Part VI-Pro Forma'!$E28/12</f>
        <v>0</v>
      </c>
      <c r="J13" s="985">
        <v>4</v>
      </c>
      <c r="K13" s="986">
        <f>-'Part VI-Pro Forma'!$E29/12</f>
        <v>0</v>
      </c>
    </row>
    <row r="14" spans="1:11" ht="20.25" customHeight="1">
      <c r="A14" s="1480">
        <v>5</v>
      </c>
      <c r="B14" s="1481">
        <f>-'Part VI-Pro Forma'!$F26/12</f>
        <v>59279.906499959732</v>
      </c>
      <c r="D14" s="1480">
        <v>5</v>
      </c>
      <c r="E14" s="1481">
        <f>-'Part VI-Pro Forma'!$F27/12</f>
        <v>0</v>
      </c>
      <c r="G14" s="1480">
        <v>5</v>
      </c>
      <c r="H14" s="1481">
        <f>-'Part VI-Pro Forma'!$F28/12</f>
        <v>0</v>
      </c>
      <c r="J14" s="1480">
        <v>5</v>
      </c>
      <c r="K14" s="1481">
        <f>-'Part VI-Pro Forma'!$F29/12</f>
        <v>0</v>
      </c>
    </row>
    <row r="15" spans="1:11" ht="20.25" customHeight="1">
      <c r="A15" s="985">
        <v>6</v>
      </c>
      <c r="B15" s="986">
        <f>-'Part VI-Pro Forma'!$G26/12</f>
        <v>59279.906499959732</v>
      </c>
      <c r="D15" s="985">
        <v>6</v>
      </c>
      <c r="E15" s="986">
        <f>-'Part VI-Pro Forma'!$G27/12</f>
        <v>0</v>
      </c>
      <c r="G15" s="985">
        <v>6</v>
      </c>
      <c r="H15" s="986">
        <f>-'Part VI-Pro Forma'!$G28/12</f>
        <v>0</v>
      </c>
      <c r="J15" s="985">
        <v>6</v>
      </c>
      <c r="K15" s="986">
        <f>-'Part VI-Pro Forma'!$G29/12</f>
        <v>0</v>
      </c>
    </row>
    <row r="16" spans="1:11" ht="20.25" customHeight="1">
      <c r="A16" s="985">
        <v>7</v>
      </c>
      <c r="B16" s="986">
        <f>-'Part VI-Pro Forma'!$H26/12</f>
        <v>59279.906499959732</v>
      </c>
      <c r="D16" s="985">
        <v>7</v>
      </c>
      <c r="E16" s="986">
        <f>-'Part VI-Pro Forma'!$H27/12</f>
        <v>0</v>
      </c>
      <c r="G16" s="985">
        <v>7</v>
      </c>
      <c r="H16" s="986">
        <f>-'Part VI-Pro Forma'!$H28/12</f>
        <v>0</v>
      </c>
      <c r="J16" s="985">
        <v>7</v>
      </c>
      <c r="K16" s="986">
        <f>-'Part VI-Pro Forma'!$H29/12</f>
        <v>0</v>
      </c>
    </row>
    <row r="17" spans="1:11" ht="20.25" customHeight="1">
      <c r="A17" s="985">
        <v>8</v>
      </c>
      <c r="B17" s="986">
        <f>-'Part VI-Pro Forma'!$I26/12</f>
        <v>59279.906499959732</v>
      </c>
      <c r="D17" s="985">
        <v>8</v>
      </c>
      <c r="E17" s="986">
        <f>-'Part VI-Pro Forma'!$I27/12</f>
        <v>0</v>
      </c>
      <c r="G17" s="985">
        <v>8</v>
      </c>
      <c r="H17" s="986">
        <f>-'Part VI-Pro Forma'!$I28/12</f>
        <v>0</v>
      </c>
      <c r="J17" s="985">
        <v>8</v>
      </c>
      <c r="K17" s="986">
        <f>-'Part VI-Pro Forma'!$I29/12</f>
        <v>0</v>
      </c>
    </row>
    <row r="18" spans="1:11" ht="20.25" customHeight="1">
      <c r="A18" s="985">
        <v>9</v>
      </c>
      <c r="B18" s="986">
        <f>-'Part VI-Pro Forma'!$J26/12</f>
        <v>59279.906499959732</v>
      </c>
      <c r="D18" s="985">
        <v>9</v>
      </c>
      <c r="E18" s="986">
        <f>-'Part VI-Pro Forma'!$J27/12</f>
        <v>0</v>
      </c>
      <c r="G18" s="985">
        <v>9</v>
      </c>
      <c r="H18" s="986">
        <f>-'Part VI-Pro Forma'!$J28/12</f>
        <v>0</v>
      </c>
      <c r="J18" s="985">
        <v>9</v>
      </c>
      <c r="K18" s="986">
        <f>-'Part VI-Pro Forma'!$J29/12</f>
        <v>0</v>
      </c>
    </row>
    <row r="19" spans="1:11" ht="20.25" customHeight="1">
      <c r="A19" s="1480">
        <v>10</v>
      </c>
      <c r="B19" s="1481">
        <f>-'Part VI-Pro Forma'!$K26/12</f>
        <v>59279.906499959732</v>
      </c>
      <c r="D19" s="1480">
        <v>10</v>
      </c>
      <c r="E19" s="1481">
        <f>-'Part VI-Pro Forma'!$K27/12</f>
        <v>0</v>
      </c>
      <c r="G19" s="1480">
        <v>10</v>
      </c>
      <c r="H19" s="1481">
        <f>-'Part VI-Pro Forma'!$K28/12</f>
        <v>0</v>
      </c>
      <c r="J19" s="1480">
        <v>10</v>
      </c>
      <c r="K19" s="1481">
        <f>-'Part VI-Pro Forma'!$K29/12</f>
        <v>0</v>
      </c>
    </row>
    <row r="20" spans="1:11" ht="20.25" customHeight="1">
      <c r="A20" s="985">
        <v>11</v>
      </c>
      <c r="B20" s="986">
        <f>-'Part VI-Pro Forma'!$B58/12</f>
        <v>59279.906499959732</v>
      </c>
      <c r="D20" s="985">
        <v>11</v>
      </c>
      <c r="E20" s="986">
        <f>-'Part VI-Pro Forma'!$B59/12</f>
        <v>0</v>
      </c>
      <c r="G20" s="985">
        <v>11</v>
      </c>
      <c r="H20" s="986">
        <f>-'Part VI-Pro Forma'!$B60/12</f>
        <v>0</v>
      </c>
      <c r="J20" s="985">
        <v>11</v>
      </c>
      <c r="K20" s="986">
        <f>-'Part VI-Pro Forma'!$B61/12</f>
        <v>0</v>
      </c>
    </row>
    <row r="21" spans="1:11" ht="20.25" customHeight="1">
      <c r="A21" s="985">
        <v>12</v>
      </c>
      <c r="B21" s="986">
        <f>-'Part VI-Pro Forma'!$C58/12</f>
        <v>59279.906499959732</v>
      </c>
      <c r="D21" s="985">
        <v>12</v>
      </c>
      <c r="E21" s="986">
        <f>-'Part VI-Pro Forma'!$C59/12</f>
        <v>0</v>
      </c>
      <c r="G21" s="985">
        <v>12</v>
      </c>
      <c r="H21" s="986">
        <f>-'Part VI-Pro Forma'!$C60/12</f>
        <v>0</v>
      </c>
      <c r="J21" s="985">
        <v>12</v>
      </c>
      <c r="K21" s="986">
        <f>-'Part VI-Pro Forma'!$C61/12</f>
        <v>0</v>
      </c>
    </row>
    <row r="22" spans="1:11" ht="20.25" customHeight="1">
      <c r="A22" s="985">
        <v>13</v>
      </c>
      <c r="B22" s="986">
        <f>-'Part VI-Pro Forma'!$D58/12</f>
        <v>59279.906499959732</v>
      </c>
      <c r="D22" s="985">
        <v>13</v>
      </c>
      <c r="E22" s="986">
        <f>-'Part VI-Pro Forma'!$D59/12</f>
        <v>0</v>
      </c>
      <c r="G22" s="985">
        <v>13</v>
      </c>
      <c r="H22" s="986">
        <f>-'Part VI-Pro Forma'!$D60/12</f>
        <v>0</v>
      </c>
      <c r="J22" s="985">
        <v>13</v>
      </c>
      <c r="K22" s="986">
        <f>-'Part VI-Pro Forma'!$D61/12</f>
        <v>0</v>
      </c>
    </row>
    <row r="23" spans="1:11" ht="20.25" customHeight="1">
      <c r="A23" s="985">
        <v>14</v>
      </c>
      <c r="B23" s="986">
        <f>-'Part VI-Pro Forma'!$E58/12</f>
        <v>59279.906499959732</v>
      </c>
      <c r="D23" s="985">
        <v>14</v>
      </c>
      <c r="E23" s="986">
        <f>-'Part VI-Pro Forma'!$E59/12</f>
        <v>0</v>
      </c>
      <c r="G23" s="985">
        <v>14</v>
      </c>
      <c r="H23" s="986">
        <f>-'Part VI-Pro Forma'!$E60/12</f>
        <v>0</v>
      </c>
      <c r="J23" s="985">
        <v>14</v>
      </c>
      <c r="K23" s="986">
        <f>-'Part VI-Pro Forma'!$E61/12</f>
        <v>0</v>
      </c>
    </row>
    <row r="24" spans="1:11" ht="20.25" customHeight="1">
      <c r="A24" s="1480">
        <v>15</v>
      </c>
      <c r="B24" s="1481">
        <f>-'Part VI-Pro Forma'!$F58/12</f>
        <v>59279.906499959732</v>
      </c>
      <c r="D24" s="1480">
        <v>15</v>
      </c>
      <c r="E24" s="1481">
        <f>-'Part VI-Pro Forma'!$F59/12</f>
        <v>0</v>
      </c>
      <c r="G24" s="1480">
        <v>15</v>
      </c>
      <c r="H24" s="1481">
        <f>-'Part VI-Pro Forma'!$F60/12</f>
        <v>0</v>
      </c>
      <c r="J24" s="1480">
        <v>15</v>
      </c>
      <c r="K24" s="1481">
        <f>-'Part VI-Pro Forma'!$F61/12</f>
        <v>0</v>
      </c>
    </row>
    <row r="25" spans="1:11" ht="20.25" customHeight="1">
      <c r="A25" s="985">
        <v>16</v>
      </c>
      <c r="B25" s="986">
        <f>-'Part VI-Pro Forma'!$G58/12</f>
        <v>59279.906499959732</v>
      </c>
      <c r="D25" s="985">
        <v>16</v>
      </c>
      <c r="E25" s="986">
        <f>-'Part VI-Pro Forma'!$G59/12</f>
        <v>0</v>
      </c>
      <c r="G25" s="985">
        <v>16</v>
      </c>
      <c r="H25" s="986">
        <f>-'Part VI-Pro Forma'!$G60/12</f>
        <v>0</v>
      </c>
      <c r="J25" s="985">
        <v>16</v>
      </c>
      <c r="K25" s="986">
        <f>-'Part VI-Pro Forma'!$G61/12</f>
        <v>0</v>
      </c>
    </row>
    <row r="26" spans="1:11" ht="20.25" customHeight="1">
      <c r="A26" s="985">
        <v>17</v>
      </c>
      <c r="B26" s="986">
        <f>-'Part VI-Pro Forma'!$H58/12</f>
        <v>59279.906499959732</v>
      </c>
      <c r="D26" s="985">
        <v>17</v>
      </c>
      <c r="E26" s="986">
        <f>-'Part VI-Pro Forma'!$H59/12</f>
        <v>0</v>
      </c>
      <c r="G26" s="985">
        <v>17</v>
      </c>
      <c r="H26" s="986">
        <f>-'Part VI-Pro Forma'!$H60/12</f>
        <v>0</v>
      </c>
      <c r="J26" s="985">
        <v>17</v>
      </c>
      <c r="K26" s="986">
        <f>-'Part VI-Pro Forma'!$H61/12</f>
        <v>0</v>
      </c>
    </row>
    <row r="27" spans="1:11" ht="20.25" customHeight="1">
      <c r="A27" s="985">
        <v>18</v>
      </c>
      <c r="B27" s="986">
        <f>-'Part VI-Pro Forma'!$I58/12</f>
        <v>59279.906499959732</v>
      </c>
      <c r="D27" s="985">
        <v>18</v>
      </c>
      <c r="E27" s="986">
        <f>-'Part VI-Pro Forma'!$I59/12</f>
        <v>0</v>
      </c>
      <c r="G27" s="985">
        <v>18</v>
      </c>
      <c r="H27" s="986">
        <f>-'Part VI-Pro Forma'!$I60/12</f>
        <v>0</v>
      </c>
      <c r="J27" s="985">
        <v>18</v>
      </c>
      <c r="K27" s="986">
        <f>-'Part VI-Pro Forma'!$I61/12</f>
        <v>0</v>
      </c>
    </row>
    <row r="28" spans="1:11" ht="20.25" customHeight="1">
      <c r="A28" s="985">
        <v>19</v>
      </c>
      <c r="B28" s="986">
        <f>-'Part VI-Pro Forma'!$J58/12</f>
        <v>59279.906499959732</v>
      </c>
      <c r="D28" s="985">
        <v>19</v>
      </c>
      <c r="E28" s="986">
        <f>-'Part VI-Pro Forma'!$J59/12</f>
        <v>0</v>
      </c>
      <c r="G28" s="985">
        <v>19</v>
      </c>
      <c r="H28" s="986">
        <f>-'Part VI-Pro Forma'!$J60/12</f>
        <v>0</v>
      </c>
      <c r="J28" s="985">
        <v>19</v>
      </c>
      <c r="K28" s="986">
        <f>-'Part VI-Pro Forma'!$J61/12</f>
        <v>0</v>
      </c>
    </row>
    <row r="29" spans="1:11" ht="20.25" customHeight="1">
      <c r="A29" s="1480">
        <v>20</v>
      </c>
      <c r="B29" s="1481">
        <f>-'Part VI-Pro Forma'!$K58/12</f>
        <v>59279.906499959732</v>
      </c>
      <c r="D29" s="1480">
        <v>20</v>
      </c>
      <c r="E29" s="1481">
        <f>-'Part VI-Pro Forma'!$K59/12</f>
        <v>0</v>
      </c>
      <c r="G29" s="1480">
        <v>20</v>
      </c>
      <c r="H29" s="1481">
        <f>-'Part VI-Pro Forma'!$K60/12</f>
        <v>0</v>
      </c>
      <c r="J29" s="1480">
        <v>20</v>
      </c>
      <c r="K29" s="1481">
        <f>-'Part VI-Pro Forma'!$K61/12</f>
        <v>0</v>
      </c>
    </row>
    <row r="30" spans="1:11" ht="20.25" customHeight="1">
      <c r="A30" s="985">
        <v>21</v>
      </c>
      <c r="B30" s="986">
        <f>-'Part VI-Pro Forma'!$B90/12</f>
        <v>59279.906499959732</v>
      </c>
      <c r="D30" s="985">
        <v>21</v>
      </c>
      <c r="E30" s="986">
        <f>-'Part VI-Pro Forma'!$B91/12</f>
        <v>0</v>
      </c>
      <c r="G30" s="985">
        <v>21</v>
      </c>
      <c r="H30" s="986">
        <f>-'Part VI-Pro Forma'!$B92/12</f>
        <v>0</v>
      </c>
      <c r="J30" s="985">
        <v>21</v>
      </c>
      <c r="K30" s="986">
        <f>-'Part VI-Pro Forma'!$B93/12</f>
        <v>0</v>
      </c>
    </row>
    <row r="31" spans="1:11" ht="20.25" customHeight="1">
      <c r="A31" s="985">
        <v>22</v>
      </c>
      <c r="B31" s="986">
        <f>-'Part VI-Pro Forma'!$C90/12</f>
        <v>59279.906499959732</v>
      </c>
      <c r="D31" s="985">
        <v>22</v>
      </c>
      <c r="E31" s="986">
        <f>-'Part VI-Pro Forma'!$C91/12</f>
        <v>0</v>
      </c>
      <c r="G31" s="985">
        <v>22</v>
      </c>
      <c r="H31" s="986">
        <f>-'Part VI-Pro Forma'!$C92/12</f>
        <v>0</v>
      </c>
      <c r="J31" s="985">
        <v>22</v>
      </c>
      <c r="K31" s="986">
        <f>-'Part VI-Pro Forma'!$C93/12</f>
        <v>0</v>
      </c>
    </row>
    <row r="32" spans="1:11" ht="20.25" customHeight="1">
      <c r="A32" s="985">
        <v>23</v>
      </c>
      <c r="B32" s="986">
        <f>-'Part VI-Pro Forma'!$D90/12</f>
        <v>59279.906499959732</v>
      </c>
      <c r="D32" s="985">
        <v>23</v>
      </c>
      <c r="E32" s="986">
        <f>-'Part VI-Pro Forma'!$D91/12</f>
        <v>0</v>
      </c>
      <c r="G32" s="985">
        <v>23</v>
      </c>
      <c r="H32" s="986">
        <f>-'Part VI-Pro Forma'!$D92/12</f>
        <v>0</v>
      </c>
      <c r="J32" s="985">
        <v>23</v>
      </c>
      <c r="K32" s="986">
        <f>-'Part VI-Pro Forma'!$D93/12</f>
        <v>0</v>
      </c>
    </row>
    <row r="33" spans="1:11" ht="20.25" customHeight="1">
      <c r="A33" s="985">
        <v>24</v>
      </c>
      <c r="B33" s="986">
        <f>-'Part VI-Pro Forma'!$E90/12</f>
        <v>59279.906499959732</v>
      </c>
      <c r="D33" s="985">
        <v>24</v>
      </c>
      <c r="E33" s="986">
        <f>-'Part VI-Pro Forma'!$E91/12</f>
        <v>0</v>
      </c>
      <c r="G33" s="985">
        <v>24</v>
      </c>
      <c r="H33" s="986">
        <f>-'Part VI-Pro Forma'!$E92/12</f>
        <v>0</v>
      </c>
      <c r="J33" s="985">
        <v>24</v>
      </c>
      <c r="K33" s="986">
        <f>-'Part VI-Pro Forma'!$E93/12</f>
        <v>0</v>
      </c>
    </row>
    <row r="34" spans="1:11" ht="20.25" customHeight="1">
      <c r="A34" s="1480">
        <v>25</v>
      </c>
      <c r="B34" s="1481">
        <f>-'Part VI-Pro Forma'!$F90/12</f>
        <v>59279.906499959732</v>
      </c>
      <c r="D34" s="1480">
        <v>25</v>
      </c>
      <c r="E34" s="1481">
        <f>-'Part VI-Pro Forma'!$F91/12</f>
        <v>0</v>
      </c>
      <c r="G34" s="1480">
        <v>25</v>
      </c>
      <c r="H34" s="1481">
        <f>-'Part VI-Pro Forma'!$F92/12</f>
        <v>0</v>
      </c>
      <c r="J34" s="1480">
        <v>25</v>
      </c>
      <c r="K34" s="1481">
        <f>-'Part VI-Pro Forma'!$F93/12</f>
        <v>0</v>
      </c>
    </row>
    <row r="35" spans="1:11" ht="20.25" customHeight="1">
      <c r="A35" s="985">
        <v>26</v>
      </c>
      <c r="B35" s="986">
        <f>-'Part VI-Pro Forma'!$G90/12</f>
        <v>59279.906499959732</v>
      </c>
      <c r="D35" s="985">
        <v>26</v>
      </c>
      <c r="E35" s="986">
        <f>-'Part VI-Pro Forma'!$G91/12</f>
        <v>0</v>
      </c>
      <c r="G35" s="985">
        <v>26</v>
      </c>
      <c r="H35" s="986">
        <f>-'Part VI-Pro Forma'!$G92/12</f>
        <v>0</v>
      </c>
      <c r="J35" s="985">
        <v>26</v>
      </c>
      <c r="K35" s="986">
        <f>-'Part VI-Pro Forma'!$G93/12</f>
        <v>0</v>
      </c>
    </row>
    <row r="36" spans="1:11" ht="20.25" customHeight="1">
      <c r="A36" s="985">
        <v>27</v>
      </c>
      <c r="B36" s="986">
        <f>-'Part VI-Pro Forma'!$H90/12</f>
        <v>59279.906499959732</v>
      </c>
      <c r="D36" s="985">
        <v>27</v>
      </c>
      <c r="E36" s="986">
        <f>-'Part VI-Pro Forma'!$H91/12</f>
        <v>0</v>
      </c>
      <c r="G36" s="985">
        <v>27</v>
      </c>
      <c r="H36" s="986">
        <f>-'Part VI-Pro Forma'!$H92/12</f>
        <v>0</v>
      </c>
      <c r="J36" s="985">
        <v>27</v>
      </c>
      <c r="K36" s="986">
        <f>-'Part VI-Pro Forma'!$H93/12</f>
        <v>0</v>
      </c>
    </row>
    <row r="37" spans="1:11" ht="20.25" customHeight="1">
      <c r="A37" s="985">
        <v>28</v>
      </c>
      <c r="B37" s="986">
        <f>-'Part VI-Pro Forma'!$I90/12</f>
        <v>59279.906499959732</v>
      </c>
      <c r="D37" s="985">
        <v>28</v>
      </c>
      <c r="E37" s="986">
        <f>-'Part VI-Pro Forma'!$I91/12</f>
        <v>0</v>
      </c>
      <c r="G37" s="985">
        <v>28</v>
      </c>
      <c r="H37" s="986">
        <f>-'Part VI-Pro Forma'!$I92/12</f>
        <v>0</v>
      </c>
      <c r="J37" s="985">
        <v>28</v>
      </c>
      <c r="K37" s="986">
        <f>-'Part VI-Pro Forma'!$I93/12</f>
        <v>0</v>
      </c>
    </row>
    <row r="38" spans="1:11" ht="20.25" customHeight="1">
      <c r="A38" s="985">
        <v>29</v>
      </c>
      <c r="B38" s="986">
        <f>-'Part VI-Pro Forma'!$J90/12</f>
        <v>59279.906499959732</v>
      </c>
      <c r="D38" s="985">
        <v>29</v>
      </c>
      <c r="E38" s="986">
        <f>-'Part VI-Pro Forma'!$J91/12</f>
        <v>0</v>
      </c>
      <c r="G38" s="985">
        <v>29</v>
      </c>
      <c r="H38" s="986">
        <f>-'Part VI-Pro Forma'!$J92/12</f>
        <v>0</v>
      </c>
      <c r="J38" s="985">
        <v>29</v>
      </c>
      <c r="K38" s="986">
        <f>-'Part VI-Pro Forma'!$J93/12</f>
        <v>0</v>
      </c>
    </row>
    <row r="39" spans="1:11" ht="20.25" customHeight="1">
      <c r="A39" s="1480">
        <v>30</v>
      </c>
      <c r="B39" s="1481">
        <f>-'Part VI-Pro Forma'!$K90/12</f>
        <v>59279.906499959732</v>
      </c>
      <c r="D39" s="1480">
        <v>30</v>
      </c>
      <c r="E39" s="1481">
        <f>-'Part VI-Pro Forma'!$K91/12</f>
        <v>0</v>
      </c>
      <c r="G39" s="1480">
        <v>30</v>
      </c>
      <c r="H39" s="1481">
        <f>-'Part VI-Pro Forma'!$K92/12</f>
        <v>0</v>
      </c>
      <c r="J39" s="1480">
        <v>30</v>
      </c>
      <c r="K39" s="1481">
        <f>-'Part VI-Pro Forma'!$K93/12</f>
        <v>0</v>
      </c>
    </row>
    <row r="40" spans="1:11" ht="20.25" customHeight="1">
      <c r="A40" s="985">
        <v>31</v>
      </c>
      <c r="B40" s="986">
        <f>-'Part VI-Pro Forma'!$B120/12</f>
        <v>59279.906499959732</v>
      </c>
      <c r="D40" s="985">
        <v>31</v>
      </c>
      <c r="E40" s="986">
        <f>-'Part VI-Pro Forma'!$B121/12</f>
        <v>0</v>
      </c>
      <c r="G40" s="985">
        <v>31</v>
      </c>
      <c r="H40" s="986">
        <f>-'Part VI-Pro Forma'!$B122/12</f>
        <v>0</v>
      </c>
      <c r="J40" s="985">
        <v>31</v>
      </c>
      <c r="K40" s="986">
        <f>-'Part VI-Pro Forma'!$B123/12</f>
        <v>0</v>
      </c>
    </row>
    <row r="41" spans="1:11" ht="20.25" customHeight="1">
      <c r="A41" s="985">
        <v>32</v>
      </c>
      <c r="B41" s="986">
        <f>-'Part VI-Pro Forma'!$C120/12</f>
        <v>59279.906499959732</v>
      </c>
      <c r="D41" s="985">
        <v>32</v>
      </c>
      <c r="E41" s="986">
        <f>-'Part VI-Pro Forma'!$C121/12</f>
        <v>0</v>
      </c>
      <c r="G41" s="985">
        <v>32</v>
      </c>
      <c r="H41" s="986">
        <f>-'Part VI-Pro Forma'!$C122/12</f>
        <v>0</v>
      </c>
      <c r="J41" s="985">
        <v>32</v>
      </c>
      <c r="K41" s="986">
        <f>-'Part VI-Pro Forma'!$C123/12</f>
        <v>0</v>
      </c>
    </row>
    <row r="42" spans="1:11" ht="20.25" customHeight="1">
      <c r="A42" s="985">
        <v>33</v>
      </c>
      <c r="B42" s="986">
        <f>-'Part VI-Pro Forma'!$D120/12</f>
        <v>59279.906499959732</v>
      </c>
      <c r="D42" s="985">
        <v>33</v>
      </c>
      <c r="E42" s="986">
        <f>-'Part VI-Pro Forma'!$D121/12</f>
        <v>0</v>
      </c>
      <c r="G42" s="985">
        <v>33</v>
      </c>
      <c r="H42" s="986">
        <f>-'Part VI-Pro Forma'!$D122/12</f>
        <v>0</v>
      </c>
      <c r="J42" s="985">
        <v>33</v>
      </c>
      <c r="K42" s="986">
        <f>-'Part VI-Pro Forma'!$D123/12</f>
        <v>0</v>
      </c>
    </row>
    <row r="43" spans="1:11" ht="20.25" customHeight="1">
      <c r="A43" s="985">
        <v>34</v>
      </c>
      <c r="B43" s="986">
        <f>-'Part VI-Pro Forma'!$E120/12</f>
        <v>59279.906499959732</v>
      </c>
      <c r="D43" s="985">
        <v>34</v>
      </c>
      <c r="E43" s="986">
        <f>-'Part VI-Pro Forma'!$E121/12</f>
        <v>0</v>
      </c>
      <c r="G43" s="985">
        <v>34</v>
      </c>
      <c r="H43" s="986">
        <f>-'Part VI-Pro Forma'!$E122/12</f>
        <v>0</v>
      </c>
      <c r="J43" s="985">
        <v>34</v>
      </c>
      <c r="K43" s="986">
        <f>-'Part VI-Pro Forma'!$E123/12</f>
        <v>0</v>
      </c>
    </row>
    <row r="44" spans="1:11" ht="20.25" customHeight="1">
      <c r="A44" s="985">
        <v>35</v>
      </c>
      <c r="B44" s="986">
        <f>-'Part VI-Pro Forma'!$F120/12</f>
        <v>59279.906499959732</v>
      </c>
      <c r="D44" s="985">
        <v>35</v>
      </c>
      <c r="E44" s="986">
        <f>-'Part VI-Pro Forma'!$F121/12</f>
        <v>0</v>
      </c>
      <c r="G44" s="985">
        <v>35</v>
      </c>
      <c r="H44" s="986">
        <f>-'Part VI-Pro Forma'!$F122/12</f>
        <v>0</v>
      </c>
      <c r="J44" s="985">
        <v>35</v>
      </c>
      <c r="K44" s="986">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140625" defaultRowHeight="12.75"/>
  <cols>
    <col min="1" max="1" width="3" style="432" customWidth="1"/>
    <col min="2" max="2" width="0.85546875" style="432" customWidth="1"/>
    <col min="3" max="3" width="16.42578125" style="432" customWidth="1"/>
    <col min="4" max="4" width="18.140625" style="432" customWidth="1"/>
    <col min="5" max="5" width="16.42578125" style="432" customWidth="1"/>
    <col min="6" max="6" width="13.140625" style="432" customWidth="1"/>
    <col min="7" max="7" width="14.42578125" style="432" customWidth="1"/>
    <col min="8" max="8" width="5.85546875" style="432" customWidth="1"/>
    <col min="9" max="16384" width="9.140625" style="432"/>
  </cols>
  <sheetData>
    <row r="1" spans="1:11" ht="12" customHeight="1">
      <c r="A1" s="3795" t="str">
        <f>CONCATENATE('Sensitivity Analysis'!E8,"  ",'Sensitivity Analysis'!C8)</f>
        <v>2022-522  Harrison Village Apartments</v>
      </c>
      <c r="B1" s="3795"/>
      <c r="C1" s="3795"/>
      <c r="D1" s="3795"/>
      <c r="E1" s="3795"/>
      <c r="F1" s="3795"/>
      <c r="G1" s="3795"/>
      <c r="H1" s="3795"/>
    </row>
    <row r="3" spans="1:11" ht="12" customHeight="1">
      <c r="A3" s="3796" t="s">
        <v>3108</v>
      </c>
      <c r="B3" s="3796"/>
      <c r="C3" s="3796"/>
      <c r="D3" s="3796"/>
      <c r="E3" s="3796"/>
      <c r="F3" s="3796"/>
      <c r="G3" s="3796"/>
      <c r="H3" s="3796"/>
      <c r="I3" s="1029"/>
      <c r="J3" s="3798" t="s">
        <v>3462</v>
      </c>
      <c r="K3" s="3798"/>
    </row>
    <row r="4" spans="1:11">
      <c r="J4" s="3798"/>
      <c r="K4" s="3798"/>
    </row>
    <row r="5" spans="1:11" ht="12" customHeight="1">
      <c r="A5" s="432">
        <v>1</v>
      </c>
      <c r="C5" s="432" t="s">
        <v>2742</v>
      </c>
      <c r="E5" s="620">
        <f>'Sensitivity Analysis'!H9</f>
        <v>0</v>
      </c>
      <c r="J5" s="3798"/>
      <c r="K5" s="3798"/>
    </row>
    <row r="6" spans="1:11" ht="3" customHeight="1">
      <c r="H6" s="610"/>
      <c r="J6" s="3798"/>
      <c r="K6" s="3798"/>
    </row>
    <row r="7" spans="1:11" ht="12" customHeight="1">
      <c r="A7" s="432">
        <v>2</v>
      </c>
      <c r="C7" s="432" t="s">
        <v>2743</v>
      </c>
      <c r="E7" s="3794"/>
      <c r="F7" s="3794"/>
      <c r="G7" s="3794"/>
      <c r="H7" s="3794"/>
      <c r="J7" s="3798"/>
      <c r="K7" s="3798"/>
    </row>
    <row r="8" spans="1:11" ht="12" customHeight="1">
      <c r="E8" s="3794"/>
      <c r="F8" s="3794"/>
      <c r="G8" s="3794"/>
      <c r="H8" s="3794"/>
      <c r="J8" s="3798"/>
      <c r="K8" s="3798"/>
    </row>
    <row r="9" spans="1:11" ht="12" customHeight="1">
      <c r="C9" s="432" t="s">
        <v>2744</v>
      </c>
      <c r="E9" s="3797"/>
      <c r="F9" s="3797"/>
      <c r="J9" s="3798"/>
      <c r="K9" s="3798"/>
    </row>
    <row r="10" spans="1:11" ht="12" customHeight="1">
      <c r="C10" s="432" t="s">
        <v>2745</v>
      </c>
      <c r="E10" s="3794"/>
      <c r="F10" s="3794"/>
      <c r="G10" s="3794"/>
      <c r="H10" s="3794"/>
    </row>
    <row r="11" spans="1:11" ht="12" customHeight="1">
      <c r="C11" s="432" t="s">
        <v>3467</v>
      </c>
      <c r="E11" s="3794"/>
      <c r="F11" s="3794"/>
      <c r="G11" s="3794"/>
      <c r="H11" s="3794"/>
    </row>
    <row r="12" spans="1:11" ht="12" customHeight="1">
      <c r="C12" s="432" t="s">
        <v>3463</v>
      </c>
      <c r="E12" s="2005"/>
    </row>
    <row r="13" spans="1:11" ht="12" customHeight="1">
      <c r="C13" s="432" t="s">
        <v>3466</v>
      </c>
      <c r="E13" s="2005"/>
    </row>
    <row r="14" spans="1:11" ht="3" customHeight="1"/>
    <row r="15" spans="1:11" ht="12" customHeight="1">
      <c r="A15" s="432">
        <v>3</v>
      </c>
      <c r="C15" s="432" t="s">
        <v>2746</v>
      </c>
      <c r="E15" s="620" t="str">
        <f>'Sensitivity Analysis'!C8</f>
        <v>Harrison Village Apartments</v>
      </c>
    </row>
    <row r="16" spans="1:11" ht="12" customHeight="1">
      <c r="C16" s="432" t="s">
        <v>2747</v>
      </c>
      <c r="E16" s="3794"/>
      <c r="F16" s="3794"/>
      <c r="G16" s="3794"/>
      <c r="H16" s="3794"/>
    </row>
    <row r="17" spans="1:8" ht="12" customHeight="1">
      <c r="E17" s="438" t="str">
        <f>'Part I-Project Identification'!$F$30</f>
        <v>Gainesville</v>
      </c>
      <c r="F17" s="609" t="s">
        <v>791</v>
      </c>
      <c r="G17" s="3793" t="s">
        <v>6815</v>
      </c>
      <c r="H17" s="3793"/>
    </row>
    <row r="18" spans="1:8" ht="12" customHeight="1">
      <c r="E18" s="620" t="str">
        <f>(CONCATENATE('Part I-Project Identification'!$J$30," County"))</f>
        <v>Hall County</v>
      </c>
    </row>
    <row r="19" spans="1:8" ht="3" customHeight="1"/>
    <row r="20" spans="1:8" ht="12" customHeight="1">
      <c r="A20" s="432">
        <v>4</v>
      </c>
      <c r="C20" s="432" t="s">
        <v>2748</v>
      </c>
      <c r="E20" s="3794"/>
      <c r="F20" s="3794"/>
      <c r="G20" s="3794"/>
      <c r="H20" s="3794"/>
    </row>
    <row r="21" spans="1:8" ht="12" customHeight="1">
      <c r="C21" s="432" t="s">
        <v>2749</v>
      </c>
      <c r="E21" s="3794"/>
      <c r="F21" s="3794"/>
      <c r="G21" s="3794"/>
      <c r="H21" s="3794"/>
    </row>
    <row r="22" spans="1:8" ht="12" customHeight="1">
      <c r="E22" s="3794"/>
      <c r="F22" s="3794"/>
      <c r="G22" s="3794"/>
      <c r="H22" s="3794"/>
    </row>
    <row r="23" spans="1:8" ht="12" customHeight="1">
      <c r="C23" s="432" t="s">
        <v>3463</v>
      </c>
      <c r="E23" s="2005"/>
    </row>
    <row r="24" spans="1:8" ht="12" customHeight="1">
      <c r="C24" s="432" t="s">
        <v>3466</v>
      </c>
      <c r="E24" s="2005"/>
    </row>
    <row r="25" spans="1:8" ht="12" customHeight="1">
      <c r="C25" s="432" t="s">
        <v>3467</v>
      </c>
      <c r="E25" s="3794"/>
      <c r="F25" s="3794"/>
      <c r="G25" s="3794"/>
      <c r="H25" s="3794"/>
    </row>
    <row r="26" spans="1:8" ht="3" customHeight="1">
      <c r="E26" s="620"/>
    </row>
    <row r="27" spans="1:8" ht="12" customHeight="1">
      <c r="A27" s="432">
        <v>5</v>
      </c>
      <c r="C27" s="432" t="s">
        <v>2750</v>
      </c>
      <c r="E27" s="620" t="str">
        <f>'Sensitivity Analysis'!$H$7</f>
        <v>New Construction</v>
      </c>
    </row>
    <row r="28" spans="1:8" ht="12" customHeight="1">
      <c r="E28" s="620" t="str">
        <f>'Part I-Project Identification'!F12</f>
        <v>4% Credit/TE Bond</v>
      </c>
    </row>
    <row r="29" spans="1:8" ht="12" customHeight="1">
      <c r="C29" s="432" t="s">
        <v>3107</v>
      </c>
      <c r="E29" s="432" t="str">
        <f>'Sensitivity Analysis'!$C$9</f>
        <v>&lt;&lt;Select&gt;&gt;</v>
      </c>
    </row>
    <row r="30" spans="1:8" ht="3" customHeight="1"/>
    <row r="31" spans="1:8" ht="12" customHeight="1">
      <c r="A31" s="432">
        <v>6</v>
      </c>
      <c r="C31" s="432" t="s">
        <v>2751</v>
      </c>
      <c r="E31" s="432" t="s">
        <v>2219</v>
      </c>
      <c r="F31" s="1030">
        <f>'Part II-Sources of Funds'!L22</f>
        <v>24830535</v>
      </c>
      <c r="G31" s="432" t="s">
        <v>2752</v>
      </c>
    </row>
    <row r="32" spans="1:8" ht="12" customHeight="1">
      <c r="F32" s="1030" t="s">
        <v>2753</v>
      </c>
      <c r="G32" s="432" t="s">
        <v>2754</v>
      </c>
    </row>
    <row r="33" spans="1:8" ht="3" customHeight="1">
      <c r="F33" s="614"/>
    </row>
    <row r="34" spans="1:8" ht="12" customHeight="1">
      <c r="A34" s="432">
        <v>7</v>
      </c>
      <c r="C34" s="432" t="s">
        <v>2755</v>
      </c>
      <c r="F34" s="1031">
        <v>0</v>
      </c>
    </row>
    <row r="35" spans="1:8" ht="3" customHeight="1">
      <c r="F35" s="614"/>
    </row>
    <row r="36" spans="1:8" ht="12" customHeight="1">
      <c r="A36" s="432">
        <v>8</v>
      </c>
      <c r="C36" s="432" t="s">
        <v>2756</v>
      </c>
      <c r="E36" s="432" t="s">
        <v>2219</v>
      </c>
      <c r="F36" s="1032">
        <v>0.01</v>
      </c>
    </row>
    <row r="37" spans="1:8" ht="3" customHeight="1">
      <c r="F37" s="1031"/>
    </row>
    <row r="38" spans="1:8" ht="12" customHeight="1">
      <c r="A38" s="432">
        <v>9</v>
      </c>
      <c r="C38" s="432" t="s">
        <v>2757</v>
      </c>
      <c r="F38" s="1033">
        <v>24</v>
      </c>
      <c r="G38" s="432" t="s">
        <v>2758</v>
      </c>
    </row>
    <row r="39" spans="1:8" ht="3" customHeight="1">
      <c r="F39" s="1031"/>
    </row>
    <row r="40" spans="1:8" ht="12" customHeight="1">
      <c r="A40" s="432">
        <v>10</v>
      </c>
      <c r="C40" s="432" t="s">
        <v>2759</v>
      </c>
      <c r="E40" s="432" t="s">
        <v>2219</v>
      </c>
      <c r="F40" s="614">
        <f>'Part II-Sources of Funds'!L40*12</f>
        <v>204</v>
      </c>
      <c r="G40" s="432" t="s">
        <v>2758</v>
      </c>
    </row>
    <row r="41" spans="1:8" ht="3" customHeight="1">
      <c r="F41" s="614"/>
    </row>
    <row r="42" spans="1:8" ht="12" customHeight="1">
      <c r="A42" s="432">
        <v>11</v>
      </c>
      <c r="C42" s="432" t="s">
        <v>2760</v>
      </c>
      <c r="F42" s="1034">
        <v>24</v>
      </c>
      <c r="G42" s="432" t="s">
        <v>2758</v>
      </c>
    </row>
    <row r="43" spans="1:8" ht="3" customHeight="1"/>
    <row r="44" spans="1:8" ht="12" customHeight="1">
      <c r="A44" s="432">
        <v>12</v>
      </c>
      <c r="C44" s="432" t="s">
        <v>2761</v>
      </c>
      <c r="F44" s="1035" t="s">
        <v>2762</v>
      </c>
    </row>
    <row r="45" spans="1:8" ht="3" customHeight="1"/>
    <row r="46" spans="1:8" ht="12" customHeight="1">
      <c r="A46" s="432">
        <v>13</v>
      </c>
      <c r="C46" s="432" t="s">
        <v>2763</v>
      </c>
      <c r="E46" s="432" t="s">
        <v>2219</v>
      </c>
      <c r="F46" s="620" t="s">
        <v>2764</v>
      </c>
    </row>
    <row r="47" spans="1:8" ht="3" customHeight="1">
      <c r="F47" s="610"/>
    </row>
    <row r="48" spans="1:8" ht="12" customHeight="1">
      <c r="A48" s="432">
        <v>14</v>
      </c>
      <c r="C48" s="432" t="s">
        <v>2765</v>
      </c>
      <c r="E48" s="3794"/>
      <c r="F48" s="3794"/>
      <c r="G48" s="3794"/>
      <c r="H48" s="3794"/>
    </row>
    <row r="49" spans="1:8" ht="3" customHeight="1">
      <c r="E49" s="620"/>
    </row>
    <row r="50" spans="1:8" ht="12" customHeight="1">
      <c r="A50" s="432">
        <v>15</v>
      </c>
      <c r="C50" s="432" t="s">
        <v>3469</v>
      </c>
      <c r="E50" s="3794"/>
      <c r="F50" s="3794"/>
      <c r="G50" s="3794"/>
      <c r="H50" s="3794"/>
    </row>
    <row r="51" spans="1:8" ht="12" customHeight="1">
      <c r="C51" s="432" t="s">
        <v>2766</v>
      </c>
      <c r="E51" s="3794"/>
      <c r="F51" s="3794"/>
      <c r="G51" s="3794"/>
      <c r="H51" s="3794"/>
    </row>
    <row r="52" spans="1:8" ht="3" customHeight="1">
      <c r="F52" s="614"/>
    </row>
    <row r="53" spans="1:8" ht="12" customHeight="1">
      <c r="A53" s="432">
        <v>16</v>
      </c>
      <c r="C53" s="432" t="s">
        <v>2767</v>
      </c>
      <c r="F53" s="1034">
        <f>'Sensitivity Analysis'!C13</f>
        <v>120</v>
      </c>
    </row>
    <row r="54" spans="1:8" ht="3" customHeight="1">
      <c r="F54" s="614"/>
    </row>
    <row r="55" spans="1:8" ht="12" customHeight="1">
      <c r="A55" s="432">
        <v>17</v>
      </c>
      <c r="C55" s="432" t="s">
        <v>2768</v>
      </c>
      <c r="F55" s="1036" t="e">
        <f>ProrationMethodCostAllocatnDCA!$H$52</f>
        <v>#VALUE!</v>
      </c>
    </row>
    <row r="56" spans="1:8" ht="3" customHeight="1">
      <c r="F56" s="614"/>
    </row>
    <row r="57" spans="1:8" ht="12" customHeight="1">
      <c r="A57" s="432">
        <v>18</v>
      </c>
      <c r="C57" s="432" t="s">
        <v>2769</v>
      </c>
      <c r="F57" s="1036">
        <f>'Part V-Revenues &amp; Expenses'!P66</f>
        <v>0</v>
      </c>
      <c r="G57" s="432" t="s">
        <v>3468</v>
      </c>
    </row>
    <row r="58" spans="1:8" ht="3" customHeight="1">
      <c r="F58" s="614"/>
    </row>
    <row r="59" spans="1:8" ht="12" customHeight="1">
      <c r="A59" s="432">
        <v>19</v>
      </c>
      <c r="C59" s="432" t="s">
        <v>2770</v>
      </c>
      <c r="F59" s="1557">
        <f>'Part VII-Threshold Criteria'!$P$44</f>
        <v>2</v>
      </c>
      <c r="G59" s="432" t="s">
        <v>3109</v>
      </c>
    </row>
    <row r="60" spans="1:8" ht="3" customHeight="1">
      <c r="F60" s="614"/>
    </row>
    <row r="61" spans="1:8" ht="12" customHeight="1">
      <c r="A61" s="432">
        <v>20</v>
      </c>
      <c r="C61" s="432" t="s">
        <v>2771</v>
      </c>
      <c r="F61" s="1037">
        <f>'Subsidy Layering Memo'!$L$70</f>
        <v>8139403.4263032796</v>
      </c>
    </row>
    <row r="62" spans="1:8" ht="3" customHeight="1"/>
    <row r="63" spans="1:8" ht="12" customHeight="1">
      <c r="A63" s="432">
        <v>21</v>
      </c>
      <c r="C63" s="432" t="s">
        <v>3124</v>
      </c>
      <c r="E63" s="1038" t="s">
        <v>3110</v>
      </c>
      <c r="F63" s="1039" t="s">
        <v>3111</v>
      </c>
      <c r="G63" s="1038" t="s">
        <v>2772</v>
      </c>
    </row>
    <row r="64" spans="1:8" ht="12" customHeight="1">
      <c r="E64" s="1038" t="s">
        <v>3110</v>
      </c>
      <c r="F64" s="1039" t="s">
        <v>3111</v>
      </c>
      <c r="G64" s="1038" t="s">
        <v>6170</v>
      </c>
    </row>
    <row r="65" spans="1:7" ht="12" customHeight="1">
      <c r="E65" s="1038" t="s">
        <v>3110</v>
      </c>
      <c r="F65" s="1039" t="s">
        <v>3111</v>
      </c>
      <c r="G65" s="1038" t="s">
        <v>6171</v>
      </c>
    </row>
    <row r="66" spans="1:7" ht="12" customHeight="1">
      <c r="E66" s="1038" t="s">
        <v>3110</v>
      </c>
      <c r="F66" s="1039" t="s">
        <v>3111</v>
      </c>
      <c r="G66" s="1038" t="s">
        <v>6172</v>
      </c>
    </row>
    <row r="67" spans="1:7" ht="3" customHeight="1"/>
    <row r="68" spans="1:7" ht="12" customHeight="1">
      <c r="A68" s="432">
        <v>22</v>
      </c>
      <c r="C68" s="432" t="s">
        <v>2773</v>
      </c>
      <c r="E68" s="620">
        <f>'Sensitivity Analysis'!H9</f>
        <v>0</v>
      </c>
    </row>
    <row r="69" spans="1:7" ht="3" customHeight="1"/>
    <row r="70" spans="1:7" ht="12" customHeight="1">
      <c r="A70" s="432">
        <v>23</v>
      </c>
      <c r="C70" s="432" t="s">
        <v>2774</v>
      </c>
      <c r="F70" s="614" t="s">
        <v>2775</v>
      </c>
    </row>
    <row r="71" spans="1:7" ht="3" customHeight="1"/>
    <row r="72" spans="1:7" ht="12" customHeight="1">
      <c r="A72" s="432">
        <v>24</v>
      </c>
      <c r="C72" s="432" t="s">
        <v>2776</v>
      </c>
      <c r="E72" s="432" t="s">
        <v>2219</v>
      </c>
      <c r="F72" s="614">
        <v>20</v>
      </c>
      <c r="G72" s="432" t="s">
        <v>2274</v>
      </c>
    </row>
    <row r="73" spans="1:7" ht="3" customHeight="1"/>
    <row r="74" spans="1:7" ht="12" customHeight="1">
      <c r="A74" s="432">
        <v>25</v>
      </c>
      <c r="C74" s="432" t="s">
        <v>2777</v>
      </c>
      <c r="F74" s="1040">
        <f>'Part III-A-Uses of Funds'!$G$131</f>
        <v>793965</v>
      </c>
    </row>
    <row r="75" spans="1:7" ht="3" customHeight="1">
      <c r="F75" s="1040"/>
    </row>
    <row r="76" spans="1:7" ht="12" customHeight="1">
      <c r="A76" s="432">
        <v>26</v>
      </c>
      <c r="C76" s="432" t="s">
        <v>2778</v>
      </c>
      <c r="F76" s="1040">
        <f>'Part III-A-Uses of Funds'!$G$132</f>
        <v>0</v>
      </c>
    </row>
    <row r="77" spans="1:7" ht="3" customHeight="1">
      <c r="F77" s="1040"/>
    </row>
    <row r="78" spans="1:7" ht="12" customHeight="1">
      <c r="A78" s="432">
        <v>27</v>
      </c>
      <c r="C78" s="432" t="s">
        <v>2779</v>
      </c>
      <c r="F78" s="1040">
        <f>'Part III-A-Uses of Funds'!$G$130</f>
        <v>216019</v>
      </c>
    </row>
    <row r="79" spans="1:7" ht="3" customHeight="1">
      <c r="F79" s="1040"/>
    </row>
    <row r="80" spans="1:7" ht="12" customHeight="1">
      <c r="A80" s="432">
        <v>28</v>
      </c>
      <c r="C80" s="432" t="s">
        <v>2780</v>
      </c>
      <c r="F80" s="1041"/>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140625" defaultRowHeight="12.75"/>
  <cols>
    <col min="1" max="1" width="23.5703125" style="432" customWidth="1"/>
    <col min="2" max="2" width="11" style="432" customWidth="1"/>
    <col min="3" max="3" width="31" style="432" customWidth="1"/>
    <col min="4" max="4" width="14" style="432" customWidth="1"/>
    <col min="5" max="10" width="11.140625" style="432" customWidth="1"/>
    <col min="11" max="16384" width="9.140625" style="432"/>
  </cols>
  <sheetData>
    <row r="1" spans="1:13" ht="15">
      <c r="A1" s="3809" t="s">
        <v>2963</v>
      </c>
      <c r="B1" s="3809"/>
      <c r="C1" s="3809"/>
      <c r="D1" s="3809"/>
      <c r="E1" s="3809"/>
      <c r="F1" s="3809"/>
      <c r="G1" s="3809"/>
      <c r="H1" s="3809"/>
      <c r="I1" s="3809"/>
      <c r="J1" s="3809"/>
    </row>
    <row r="2" spans="1:13" ht="15">
      <c r="A2" s="3809" t="str">
        <f>'Sensitivity Analysis'!E8&amp;"  "&amp;'Sensitivity Analysis'!C8</f>
        <v>2022-522  Harrison Village Apartments</v>
      </c>
      <c r="B2" s="3809"/>
      <c r="C2" s="3809"/>
      <c r="D2" s="3809"/>
      <c r="E2" s="3809"/>
      <c r="F2" s="3809"/>
      <c r="G2" s="3809"/>
      <c r="H2" s="3809"/>
      <c r="I2" s="3809"/>
      <c r="J2" s="3809"/>
    </row>
    <row r="3" spans="1:13" ht="6" customHeight="1">
      <c r="K3" s="3798" t="s">
        <v>3462</v>
      </c>
      <c r="L3" s="3798"/>
      <c r="M3" s="3798"/>
    </row>
    <row r="4" spans="1:13" ht="12" customHeight="1">
      <c r="A4" s="612" t="s">
        <v>2781</v>
      </c>
      <c r="K4" s="3798"/>
      <c r="L4" s="3798"/>
      <c r="M4" s="3798"/>
    </row>
    <row r="5" spans="1:13" ht="12" customHeight="1">
      <c r="A5" s="432" t="s">
        <v>2782</v>
      </c>
      <c r="C5" s="560" t="str">
        <f>'Subsidy Layering Memo'!D6</f>
        <v>(Underwriter)</v>
      </c>
      <c r="I5" s="560"/>
      <c r="K5" s="3798"/>
      <c r="L5" s="3798"/>
      <c r="M5" s="3798"/>
    </row>
    <row r="6" spans="1:13" ht="6" customHeight="1">
      <c r="C6" s="560"/>
      <c r="D6" s="560"/>
      <c r="I6" s="560"/>
      <c r="K6" s="3798"/>
      <c r="L6" s="3798"/>
      <c r="M6" s="3798"/>
    </row>
    <row r="7" spans="1:13" ht="12" customHeight="1">
      <c r="A7" s="612" t="s">
        <v>2783</v>
      </c>
      <c r="C7" s="560"/>
      <c r="D7" s="560"/>
      <c r="I7" s="560"/>
      <c r="K7" s="3798"/>
      <c r="L7" s="3798"/>
      <c r="M7" s="3798"/>
    </row>
    <row r="8" spans="1:13" ht="12" customHeight="1">
      <c r="A8" s="432" t="s">
        <v>2784</v>
      </c>
      <c r="C8" s="560">
        <f>'Sensitivity Analysis'!$H$9</f>
        <v>0</v>
      </c>
      <c r="I8" s="560"/>
      <c r="K8" s="3798"/>
      <c r="L8" s="3798"/>
      <c r="M8" s="3798"/>
    </row>
    <row r="9" spans="1:13" ht="3" customHeight="1">
      <c r="C9" s="560"/>
      <c r="D9" s="560"/>
      <c r="I9" s="560"/>
    </row>
    <row r="10" spans="1:13" ht="12" customHeight="1">
      <c r="A10" s="432" t="s">
        <v>2785</v>
      </c>
      <c r="C10" s="988" t="s">
        <v>1647</v>
      </c>
      <c r="I10" s="560"/>
    </row>
    <row r="11" spans="1:13" ht="12" customHeight="1">
      <c r="C11" s="988" t="s">
        <v>1647</v>
      </c>
      <c r="I11" s="560"/>
    </row>
    <row r="12" spans="1:13" ht="12" customHeight="1">
      <c r="C12" s="560" t="s">
        <v>2445</v>
      </c>
      <c r="D12" s="626" t="s">
        <v>1647</v>
      </c>
      <c r="I12" s="560"/>
    </row>
    <row r="13" spans="1:13" ht="12" customHeight="1">
      <c r="C13" s="560" t="s">
        <v>2786</v>
      </c>
      <c r="D13" s="3799"/>
      <c r="E13" s="3799"/>
      <c r="F13" s="3799"/>
      <c r="G13" s="3799"/>
      <c r="H13" s="3799"/>
      <c r="I13" s="3799"/>
      <c r="J13" s="3799"/>
    </row>
    <row r="14" spans="1:13" ht="3" customHeight="1">
      <c r="G14" s="560"/>
      <c r="H14" s="560"/>
      <c r="I14" s="560"/>
    </row>
    <row r="15" spans="1:13" ht="12" customHeight="1">
      <c r="A15" s="432" t="s">
        <v>2787</v>
      </c>
      <c r="C15" s="613">
        <f>'Preview term'!E10</f>
        <v>0</v>
      </c>
      <c r="G15" s="560"/>
      <c r="I15" s="560"/>
    </row>
    <row r="16" spans="1:13" ht="12" customHeight="1">
      <c r="A16" s="620" t="s">
        <v>3666</v>
      </c>
      <c r="C16" s="613">
        <f>'Part II-Development Team'!Q7</f>
        <v>0</v>
      </c>
      <c r="G16" s="560"/>
      <c r="I16" s="560"/>
    </row>
    <row r="17" spans="1:9" ht="3" customHeight="1">
      <c r="G17" s="560"/>
      <c r="H17" s="560"/>
      <c r="I17" s="560"/>
    </row>
    <row r="18" spans="1:9" ht="12" customHeight="1">
      <c r="A18" s="432" t="s">
        <v>2788</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2789</v>
      </c>
      <c r="C21" s="613" t="str">
        <f>CONCATENATE('Preview term'!E50," of  ",'Preview term'!G50)</f>
        <v xml:space="preserve"> of  </v>
      </c>
      <c r="G21" s="560"/>
      <c r="I21" s="560"/>
    </row>
    <row r="22" spans="1:9" ht="3" customHeight="1">
      <c r="C22" s="613"/>
      <c r="G22" s="560"/>
      <c r="I22" s="560"/>
    </row>
    <row r="23" spans="1:9" ht="12" customHeight="1">
      <c r="A23" s="432" t="s">
        <v>2790</v>
      </c>
      <c r="C23" s="613">
        <f>'Preview term'!E12</f>
        <v>0</v>
      </c>
      <c r="G23" s="560"/>
      <c r="I23" s="560"/>
    </row>
    <row r="24" spans="1:9" ht="3" customHeight="1">
      <c r="C24" s="613"/>
      <c r="G24" s="560"/>
      <c r="I24" s="560"/>
    </row>
    <row r="25" spans="1:9" ht="12" customHeight="1">
      <c r="A25" s="432" t="s">
        <v>2791</v>
      </c>
      <c r="C25" s="990">
        <f>'Preview term'!E11</f>
        <v>0</v>
      </c>
      <c r="G25" s="560"/>
    </row>
    <row r="26" spans="1:9" ht="6" customHeight="1">
      <c r="G26" s="560"/>
      <c r="H26" s="560"/>
      <c r="I26" s="560"/>
    </row>
    <row r="27" spans="1:9" ht="12" customHeight="1">
      <c r="A27" s="612" t="s">
        <v>2792</v>
      </c>
      <c r="G27" s="560"/>
      <c r="H27" s="560"/>
      <c r="I27" s="560"/>
    </row>
    <row r="28" spans="1:9" ht="12" customHeight="1">
      <c r="A28" s="432" t="s">
        <v>2793</v>
      </c>
      <c r="C28" s="613" t="str">
        <f>'Sensitivity Analysis'!$C$8</f>
        <v>Harrison Village Apartments</v>
      </c>
      <c r="I28" s="560"/>
    </row>
    <row r="29" spans="1:9" ht="3" customHeight="1">
      <c r="C29" s="613"/>
      <c r="I29" s="560"/>
    </row>
    <row r="30" spans="1:9" ht="12" customHeight="1">
      <c r="A30" s="432" t="s">
        <v>2794</v>
      </c>
      <c r="C30" s="613">
        <f>'Preview term'!E16</f>
        <v>0</v>
      </c>
      <c r="I30" s="560"/>
    </row>
    <row r="31" spans="1:9">
      <c r="C31" s="560" t="str">
        <f>'Preview term'!E17</f>
        <v>Gainesville</v>
      </c>
      <c r="I31" s="560"/>
    </row>
    <row r="32" spans="1:9" ht="3" customHeight="1">
      <c r="C32" s="560"/>
      <c r="D32" s="560"/>
      <c r="I32" s="560"/>
    </row>
    <row r="33" spans="1:10" ht="12" customHeight="1">
      <c r="A33" s="432" t="s">
        <v>2795</v>
      </c>
      <c r="C33" s="560" t="s">
        <v>2796</v>
      </c>
      <c r="D33" s="989" t="e">
        <f>'Preview term'!F55</f>
        <v>#VALUE!</v>
      </c>
      <c r="I33" s="560"/>
    </row>
    <row r="34" spans="1:10" ht="12" customHeight="1">
      <c r="C34" s="560" t="s">
        <v>2797</v>
      </c>
      <c r="D34" s="2007">
        <f>'Part V-Revenues &amp; Expenses'!$P$64</f>
        <v>0</v>
      </c>
      <c r="I34" s="560"/>
    </row>
    <row r="35" spans="1:10" ht="12" customHeight="1">
      <c r="C35" s="560" t="s">
        <v>2798</v>
      </c>
      <c r="D35" s="615" t="e">
        <f>SUM(D33:D34)</f>
        <v>#VALUE!</v>
      </c>
      <c r="I35" s="560"/>
    </row>
    <row r="36" spans="1:10" ht="3" customHeight="1">
      <c r="C36" s="560"/>
      <c r="D36" s="560"/>
      <c r="I36" s="560"/>
    </row>
    <row r="37" spans="1:10" ht="12" customHeight="1">
      <c r="A37" s="432" t="s">
        <v>2799</v>
      </c>
      <c r="C37" s="1038" t="s">
        <v>1647</v>
      </c>
      <c r="D37" s="987">
        <f>'Preview term'!F57</f>
        <v>0</v>
      </c>
      <c r="E37" s="560" t="s">
        <v>2800</v>
      </c>
      <c r="I37" s="560"/>
    </row>
    <row r="38" spans="1:10" ht="3" customHeight="1">
      <c r="G38" s="616"/>
      <c r="H38" s="560"/>
      <c r="I38" s="560"/>
    </row>
    <row r="39" spans="1:10" ht="25.5" customHeight="1">
      <c r="A39" s="617" t="s">
        <v>6173</v>
      </c>
      <c r="C39" s="3810" t="str">
        <f>_xlfn.CONCAT('Part VII-Threshold Criteria'!K192," and ",'Part VII-Threshold Criteria'!K193)</f>
        <v>Building and Gazebo</v>
      </c>
      <c r="D39" s="3810"/>
      <c r="E39" s="3810"/>
      <c r="F39" s="3810"/>
      <c r="G39" s="3810"/>
      <c r="H39" s="3810"/>
      <c r="I39" s="3810"/>
      <c r="J39" s="3810"/>
    </row>
    <row r="40" spans="1:10" ht="25.5" customHeight="1">
      <c r="A40" s="617" t="s">
        <v>6174</v>
      </c>
      <c r="C40" s="3810"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playground, Equipped Computer Center and WiFi , Covered pavilion with picnic/BBQ facilities , Furnished Exercise /Fitness Center,   , ,   , and  </v>
      </c>
      <c r="D40" s="3810"/>
      <c r="E40" s="3810"/>
      <c r="F40" s="3810"/>
      <c r="G40" s="3810"/>
      <c r="H40" s="3810"/>
      <c r="I40" s="3810"/>
      <c r="J40" s="3810"/>
    </row>
    <row r="41" spans="1:10" ht="3" customHeight="1">
      <c r="G41" s="560"/>
      <c r="H41" s="560"/>
      <c r="I41" s="560"/>
    </row>
    <row r="42" spans="1:10" ht="25.5" customHeight="1">
      <c r="A42" s="617" t="s">
        <v>2801</v>
      </c>
      <c r="C42" s="3810" t="s">
        <v>3112</v>
      </c>
      <c r="D42" s="3810"/>
      <c r="E42" s="3810"/>
      <c r="F42" s="3810"/>
      <c r="G42" s="3810"/>
      <c r="H42" s="3810"/>
      <c r="I42" s="3810"/>
      <c r="J42" s="3810"/>
    </row>
    <row r="43" spans="1:10" ht="3" customHeight="1">
      <c r="C43" s="438"/>
      <c r="D43" s="438"/>
      <c r="E43" s="438"/>
      <c r="F43" s="438"/>
      <c r="G43" s="438"/>
      <c r="H43" s="439"/>
      <c r="I43" s="439"/>
      <c r="J43" s="439"/>
    </row>
    <row r="44" spans="1:10" ht="12" customHeight="1">
      <c r="A44" s="432" t="s">
        <v>2802</v>
      </c>
      <c r="C44" s="504" t="str">
        <f>'Part I-Project Identification'!J30</f>
        <v>Hall</v>
      </c>
      <c r="D44" s="438"/>
      <c r="F44" s="439"/>
      <c r="I44" s="439"/>
      <c r="J44" s="439"/>
    </row>
    <row r="45" spans="1:10" ht="3" customHeight="1">
      <c r="C45" s="438"/>
      <c r="D45" s="438"/>
      <c r="E45" s="438"/>
      <c r="F45" s="439"/>
      <c r="I45" s="439"/>
      <c r="J45" s="439"/>
    </row>
    <row r="46" spans="1:10" ht="12" customHeight="1">
      <c r="A46" s="432" t="s">
        <v>2803</v>
      </c>
      <c r="C46" s="626" t="s">
        <v>1647</v>
      </c>
      <c r="I46" s="439"/>
      <c r="J46" s="439"/>
    </row>
    <row r="47" spans="1:10" ht="3" customHeight="1">
      <c r="C47" s="560"/>
      <c r="D47" s="616"/>
      <c r="I47" s="560"/>
    </row>
    <row r="48" spans="1:10" ht="12" customHeight="1">
      <c r="A48" s="432" t="s">
        <v>2804</v>
      </c>
      <c r="C48" s="1558">
        <f>'Preview term'!F59</f>
        <v>2</v>
      </c>
      <c r="I48" s="618"/>
      <c r="J48" s="618"/>
    </row>
    <row r="49" spans="1:10" ht="3" customHeight="1">
      <c r="D49" s="618"/>
      <c r="E49" s="618"/>
      <c r="F49" s="618"/>
      <c r="G49" s="618"/>
      <c r="H49" s="560"/>
      <c r="I49" s="618"/>
      <c r="J49" s="618"/>
    </row>
    <row r="50" spans="1:10" ht="12" customHeight="1">
      <c r="A50" s="560"/>
      <c r="B50" s="432" t="s">
        <v>2805</v>
      </c>
      <c r="C50" s="3810" t="s">
        <v>533</v>
      </c>
      <c r="D50" s="3810"/>
      <c r="E50" s="3810"/>
      <c r="F50" s="3810"/>
      <c r="G50" s="3810"/>
      <c r="H50" s="3810"/>
      <c r="I50" s="3810"/>
      <c r="J50" s="3810"/>
    </row>
    <row r="51" spans="1:10" ht="12" customHeight="1">
      <c r="C51" s="3801" t="s">
        <v>1678</v>
      </c>
      <c r="D51" s="3801"/>
      <c r="E51" s="3801"/>
      <c r="F51" s="3801"/>
      <c r="G51" s="3801"/>
      <c r="H51" s="3801"/>
      <c r="I51" s="3801"/>
      <c r="J51" s="3801"/>
    </row>
    <row r="52" spans="1:10" ht="3" customHeight="1">
      <c r="D52" s="618"/>
      <c r="E52" s="618"/>
      <c r="F52" s="618"/>
      <c r="G52" s="618"/>
      <c r="H52" s="560"/>
      <c r="I52" s="618"/>
      <c r="J52" s="618"/>
    </row>
    <row r="53" spans="1:10" ht="12" customHeight="1">
      <c r="A53" s="617" t="s">
        <v>2806</v>
      </c>
      <c r="B53" s="617"/>
      <c r="C53" s="619" t="s">
        <v>2807</v>
      </c>
      <c r="D53" s="619" t="s">
        <v>3113</v>
      </c>
      <c r="E53" s="3802"/>
      <c r="F53" s="3802"/>
      <c r="G53" s="3802"/>
      <c r="H53" s="3802"/>
      <c r="I53" s="3802"/>
      <c r="J53" s="3802"/>
    </row>
    <row r="54" spans="1:10" ht="12" customHeight="1">
      <c r="A54" s="617"/>
      <c r="B54" s="617"/>
      <c r="C54" s="617"/>
      <c r="D54" s="619" t="s">
        <v>3114</v>
      </c>
      <c r="E54" s="3803"/>
      <c r="F54" s="3803"/>
      <c r="G54" s="3803"/>
      <c r="H54" s="3803"/>
      <c r="I54" s="3803"/>
      <c r="J54" s="3803"/>
    </row>
    <row r="55" spans="1:10" ht="12" customHeight="1">
      <c r="A55" s="612" t="s">
        <v>2808</v>
      </c>
      <c r="G55" s="560"/>
      <c r="H55" s="560"/>
      <c r="I55" s="560"/>
    </row>
    <row r="56" spans="1:10" ht="18" customHeight="1">
      <c r="A56" s="432" t="s">
        <v>2809</v>
      </c>
      <c r="C56" s="613">
        <f>'Sensitivity Analysis'!C10</f>
        <v>0</v>
      </c>
      <c r="G56" s="560"/>
      <c r="I56" s="560"/>
    </row>
    <row r="57" spans="1:10" ht="3" customHeight="1">
      <c r="C57" s="613"/>
      <c r="G57" s="560"/>
      <c r="I57" s="560"/>
    </row>
    <row r="58" spans="1:10" ht="12" customHeight="1">
      <c r="A58" s="432" t="s">
        <v>2810</v>
      </c>
      <c r="C58" s="613">
        <f>'Sensitivity Analysis'!C11</f>
        <v>0</v>
      </c>
      <c r="E58" s="613">
        <f>'Sensitivity Analysis'!E11</f>
        <v>0</v>
      </c>
      <c r="G58" s="560"/>
      <c r="I58" s="560"/>
    </row>
    <row r="59" spans="1:10" ht="3" customHeight="1">
      <c r="C59" s="613"/>
      <c r="G59" s="560"/>
      <c r="I59" s="560"/>
    </row>
    <row r="60" spans="1:10" ht="12" customHeight="1">
      <c r="A60" s="432" t="s">
        <v>2811</v>
      </c>
      <c r="C60" s="613" t="s">
        <v>2517</v>
      </c>
      <c r="G60" s="560"/>
      <c r="I60" s="560"/>
    </row>
    <row r="61" spans="1:10" ht="6" customHeight="1">
      <c r="G61" s="560"/>
      <c r="H61" s="560"/>
      <c r="I61" s="560"/>
    </row>
    <row r="62" spans="1:10" ht="12" customHeight="1">
      <c r="A62" s="612" t="s">
        <v>2812</v>
      </c>
      <c r="G62" s="560"/>
      <c r="H62" s="560"/>
      <c r="I62" s="560"/>
    </row>
    <row r="63" spans="1:10" ht="12" customHeight="1">
      <c r="A63" s="432" t="s">
        <v>2813</v>
      </c>
      <c r="C63" s="432" t="s">
        <v>2814</v>
      </c>
      <c r="D63" s="991">
        <f>'Preview term'!F31</f>
        <v>24830535</v>
      </c>
      <c r="G63" s="560"/>
      <c r="I63" s="560"/>
    </row>
    <row r="64" spans="1:10" ht="3" customHeight="1">
      <c r="D64" s="620"/>
      <c r="G64" s="560"/>
      <c r="H64" s="621"/>
      <c r="I64" s="560"/>
    </row>
    <row r="65" spans="1:10" ht="12" customHeight="1">
      <c r="A65" s="432" t="s">
        <v>2815</v>
      </c>
      <c r="C65" s="432" t="s">
        <v>2817</v>
      </c>
      <c r="D65" s="613" t="s">
        <v>907</v>
      </c>
      <c r="G65" s="560"/>
      <c r="I65" s="560"/>
    </row>
    <row r="66" spans="1:10" ht="3" customHeight="1">
      <c r="D66" s="620"/>
      <c r="G66" s="560"/>
      <c r="H66" s="560"/>
      <c r="I66" s="560"/>
    </row>
    <row r="67" spans="1:10" ht="12" customHeight="1">
      <c r="A67" s="432" t="s">
        <v>2818</v>
      </c>
      <c r="C67" s="992" t="s">
        <v>1647</v>
      </c>
      <c r="D67" s="620"/>
      <c r="I67" s="560"/>
    </row>
    <row r="68" spans="1:10" ht="12" customHeight="1">
      <c r="C68" s="432" t="s">
        <v>2819</v>
      </c>
      <c r="D68" s="1028" t="s">
        <v>1647</v>
      </c>
      <c r="I68" s="560"/>
    </row>
    <row r="69" spans="1:10" ht="12" customHeight="1">
      <c r="C69" s="432" t="s">
        <v>2786</v>
      </c>
      <c r="D69" s="3799"/>
      <c r="E69" s="3799"/>
      <c r="F69" s="3799"/>
      <c r="G69" s="3799"/>
      <c r="H69" s="3799"/>
      <c r="I69" s="3799"/>
      <c r="J69" s="3799"/>
    </row>
    <row r="70" spans="1:10" ht="3" customHeight="1">
      <c r="D70" s="620"/>
      <c r="E70" s="560"/>
      <c r="F70" s="560"/>
      <c r="I70" s="560"/>
    </row>
    <row r="71" spans="1:10" ht="12" customHeight="1">
      <c r="A71" s="432" t="s">
        <v>2820</v>
      </c>
      <c r="C71" s="432" t="s">
        <v>2219</v>
      </c>
      <c r="D71" s="626" t="s">
        <v>1647</v>
      </c>
      <c r="I71" s="560"/>
    </row>
    <row r="72" spans="1:10" ht="3" customHeight="1">
      <c r="D72" s="560"/>
      <c r="E72" s="560"/>
      <c r="I72" s="560"/>
    </row>
    <row r="73" spans="1:10" ht="12" customHeight="1">
      <c r="A73" s="432" t="s">
        <v>2821</v>
      </c>
      <c r="C73" s="992" t="s">
        <v>1647</v>
      </c>
      <c r="I73" s="560"/>
    </row>
    <row r="74" spans="1:10" ht="3" customHeight="1">
      <c r="C74" s="620"/>
      <c r="G74" s="560"/>
      <c r="H74" s="560"/>
      <c r="I74" s="560"/>
    </row>
    <row r="75" spans="1:10" ht="12" customHeight="1">
      <c r="A75" s="432" t="s">
        <v>2822</v>
      </c>
      <c r="C75" s="620" t="s">
        <v>2823</v>
      </c>
      <c r="D75" s="994">
        <v>0</v>
      </c>
      <c r="J75" s="560"/>
    </row>
    <row r="76" spans="1:10" ht="12" customHeight="1">
      <c r="C76" s="622" t="s">
        <v>2975</v>
      </c>
      <c r="D76" s="995">
        <v>0.01</v>
      </c>
      <c r="J76" s="560"/>
    </row>
    <row r="77" spans="1:10" ht="3" customHeight="1">
      <c r="C77" s="620"/>
      <c r="D77" s="620"/>
      <c r="G77" s="560"/>
      <c r="H77" s="560"/>
      <c r="I77" s="560"/>
    </row>
    <row r="78" spans="1:10" ht="12" customHeight="1">
      <c r="A78" s="432" t="s">
        <v>2824</v>
      </c>
      <c r="C78" s="620" t="s">
        <v>3136</v>
      </c>
      <c r="D78" s="624">
        <v>24</v>
      </c>
      <c r="I78" s="560"/>
    </row>
    <row r="79" spans="1:10" ht="3" customHeight="1">
      <c r="D79" s="620"/>
      <c r="E79" s="560"/>
      <c r="F79" s="560"/>
      <c r="I79" s="560"/>
    </row>
    <row r="80" spans="1:10" ht="12" customHeight="1">
      <c r="A80" s="432" t="s">
        <v>2825</v>
      </c>
      <c r="C80" s="432" t="s">
        <v>2219</v>
      </c>
      <c r="D80" s="624">
        <f>'Preview term'!F40</f>
        <v>204</v>
      </c>
      <c r="E80" s="560" t="s">
        <v>3117</v>
      </c>
      <c r="I80" s="560"/>
    </row>
    <row r="81" spans="1:9" ht="3" customHeight="1">
      <c r="D81" s="620"/>
      <c r="G81" s="560"/>
      <c r="H81" s="560"/>
      <c r="I81" s="560"/>
    </row>
    <row r="82" spans="1:9" ht="12" customHeight="1">
      <c r="A82" s="432" t="s">
        <v>2826</v>
      </c>
      <c r="D82" s="993">
        <v>0</v>
      </c>
      <c r="E82" s="625">
        <f>D82*12</f>
        <v>0</v>
      </c>
      <c r="F82" s="560" t="s">
        <v>3137</v>
      </c>
    </row>
    <row r="83" spans="1:9" ht="3" customHeight="1">
      <c r="D83" s="613"/>
      <c r="E83" s="560"/>
      <c r="G83" s="560"/>
    </row>
    <row r="84" spans="1:9" ht="12" customHeight="1">
      <c r="A84" s="432" t="s">
        <v>2827</v>
      </c>
      <c r="D84" s="1028" t="s">
        <v>907</v>
      </c>
      <c r="E84" s="560" t="s">
        <v>6175</v>
      </c>
      <c r="G84" s="560"/>
    </row>
    <row r="85" spans="1:9" ht="3" customHeight="1">
      <c r="G85" s="560"/>
      <c r="H85" s="560"/>
      <c r="I85" s="560"/>
    </row>
    <row r="86" spans="1:9" ht="12" customHeight="1">
      <c r="A86" s="432" t="s">
        <v>2828</v>
      </c>
      <c r="C86" s="1559">
        <f>'Subsidy Layering Memo'!L70</f>
        <v>8139403.4263032796</v>
      </c>
      <c r="D86" s="627" t="s">
        <v>3115</v>
      </c>
      <c r="I86" s="560"/>
    </row>
    <row r="87" spans="1:9" ht="3" customHeight="1">
      <c r="C87" s="560" t="s">
        <v>1647</v>
      </c>
      <c r="D87" s="560"/>
      <c r="E87" s="560"/>
      <c r="I87" s="560"/>
    </row>
    <row r="88" spans="1:9" ht="12" customHeight="1">
      <c r="A88" s="432" t="s">
        <v>2829</v>
      </c>
      <c r="B88" s="628"/>
      <c r="C88" s="992" t="s">
        <v>1647</v>
      </c>
      <c r="D88" s="997"/>
      <c r="I88" s="560"/>
    </row>
    <row r="89" spans="1:9" ht="3" customHeight="1">
      <c r="G89" s="560"/>
      <c r="H89" s="560"/>
      <c r="I89" s="560"/>
    </row>
    <row r="90" spans="1:9" ht="12" customHeight="1">
      <c r="A90" s="432" t="s">
        <v>2830</v>
      </c>
      <c r="C90" s="620" t="s">
        <v>2831</v>
      </c>
      <c r="D90" s="613" t="s">
        <v>2762</v>
      </c>
      <c r="I90" s="560"/>
    </row>
    <row r="91" spans="1:9" ht="12" customHeight="1">
      <c r="C91" s="620" t="s">
        <v>2832</v>
      </c>
      <c r="D91" s="613" t="s">
        <v>907</v>
      </c>
      <c r="I91" s="560"/>
    </row>
    <row r="92" spans="1:9" ht="3" customHeight="1">
      <c r="G92" s="560"/>
      <c r="H92" s="560"/>
      <c r="I92" s="560"/>
    </row>
    <row r="93" spans="1:9" ht="12" customHeight="1">
      <c r="A93" s="432" t="s">
        <v>2833</v>
      </c>
      <c r="C93" s="620" t="s">
        <v>2823</v>
      </c>
      <c r="D93" s="560" t="s">
        <v>2834</v>
      </c>
      <c r="E93" s="620" t="str">
        <f>'Part II-Sources of Funds'!H22</f>
        <v>JP Morgan Chase</v>
      </c>
      <c r="I93" s="560"/>
    </row>
    <row r="94" spans="1:9" ht="12" customHeight="1">
      <c r="C94" s="620"/>
      <c r="D94" s="560"/>
      <c r="E94" s="620" t="s">
        <v>1671</v>
      </c>
      <c r="F94" s="3794"/>
      <c r="G94" s="3794"/>
      <c r="H94" s="3794"/>
      <c r="I94" s="560"/>
    </row>
    <row r="95" spans="1:9" ht="12" customHeight="1">
      <c r="C95" s="620"/>
      <c r="D95" s="560"/>
      <c r="E95" s="620" t="s">
        <v>1841</v>
      </c>
      <c r="F95" s="3804"/>
      <c r="G95" s="3804"/>
      <c r="H95" s="3804"/>
      <c r="I95" s="560"/>
    </row>
    <row r="96" spans="1:9" ht="12" customHeight="1">
      <c r="C96" s="620"/>
      <c r="D96" s="560"/>
      <c r="E96" s="620" t="s">
        <v>1673</v>
      </c>
      <c r="F96" s="3797"/>
      <c r="G96" s="3797"/>
      <c r="H96" s="3797"/>
      <c r="I96" s="560"/>
    </row>
    <row r="97" spans="1:10" ht="12" customHeight="1">
      <c r="B97" s="614"/>
      <c r="C97" s="622" t="s">
        <v>2975</v>
      </c>
      <c r="D97" s="560" t="s">
        <v>2834</v>
      </c>
      <c r="E97" s="620" t="str">
        <f>'Part II-Sources of Funds'!E40</f>
        <v>Bellwether (Freddie TEL)</v>
      </c>
      <c r="I97" s="560"/>
    </row>
    <row r="98" spans="1:10" ht="12" customHeight="1">
      <c r="C98" s="620"/>
      <c r="D98" s="560"/>
      <c r="E98" s="620" t="s">
        <v>1671</v>
      </c>
      <c r="F98" s="3794"/>
      <c r="G98" s="3794"/>
      <c r="H98" s="3794"/>
      <c r="I98" s="560"/>
    </row>
    <row r="99" spans="1:10" ht="12" customHeight="1">
      <c r="C99" s="620"/>
      <c r="D99" s="560"/>
      <c r="E99" s="620" t="s">
        <v>1841</v>
      </c>
      <c r="F99" s="3804"/>
      <c r="G99" s="3804"/>
      <c r="H99" s="3804"/>
      <c r="I99" s="560"/>
    </row>
    <row r="100" spans="1:10" ht="12" customHeight="1">
      <c r="C100" s="620"/>
      <c r="D100" s="560"/>
      <c r="E100" s="620" t="s">
        <v>1673</v>
      </c>
      <c r="F100" s="3797"/>
      <c r="G100" s="3797"/>
      <c r="H100" s="3797"/>
      <c r="I100" s="560"/>
    </row>
    <row r="101" spans="1:10" ht="3" customHeight="1">
      <c r="D101" s="629"/>
      <c r="G101" s="560"/>
      <c r="H101" s="560"/>
      <c r="I101" s="560"/>
    </row>
    <row r="102" spans="1:10" ht="12" customHeight="1">
      <c r="A102" s="432" t="s">
        <v>2835</v>
      </c>
      <c r="D102" s="1028" t="str">
        <f>'Part VIII Scoring Criteria'!O264</f>
        <v>N/a</v>
      </c>
      <c r="E102" s="560" t="s">
        <v>2816</v>
      </c>
      <c r="G102" s="432">
        <f>'Part VIII Scoring Criteria'!O260</f>
        <v>4</v>
      </c>
      <c r="H102" s="432" t="s">
        <v>3116</v>
      </c>
      <c r="I102" s="560"/>
    </row>
    <row r="103" spans="1:10" ht="3" customHeight="1">
      <c r="E103" s="560"/>
      <c r="F103" s="560"/>
      <c r="I103" s="560"/>
    </row>
    <row r="104" spans="1:10" ht="12" customHeight="1">
      <c r="A104" s="560" t="s">
        <v>2976</v>
      </c>
      <c r="D104" s="432" t="s">
        <v>907</v>
      </c>
      <c r="E104" s="560"/>
      <c r="I104" s="560"/>
    </row>
    <row r="105" spans="1:10" ht="6" customHeight="1">
      <c r="G105" s="560"/>
      <c r="H105" s="560"/>
      <c r="I105" s="560"/>
    </row>
    <row r="106" spans="1:10" ht="12" customHeight="1">
      <c r="A106" s="612" t="s">
        <v>2977</v>
      </c>
      <c r="I106" s="560"/>
    </row>
    <row r="107" spans="1:10" ht="12" customHeight="1">
      <c r="A107" s="432" t="s">
        <v>2836</v>
      </c>
      <c r="C107" s="996" t="s">
        <v>1647</v>
      </c>
      <c r="D107" s="3805"/>
      <c r="E107" s="3805"/>
      <c r="F107" s="3805"/>
      <c r="G107" s="3805"/>
      <c r="H107" s="3805"/>
      <c r="I107" s="3805"/>
      <c r="J107" s="3806"/>
    </row>
    <row r="108" spans="1:10" ht="3" customHeight="1">
      <c r="C108" s="620"/>
      <c r="D108" s="560"/>
      <c r="I108" s="560"/>
    </row>
    <row r="109" spans="1:10" ht="12" customHeight="1">
      <c r="A109" s="432" t="s">
        <v>2837</v>
      </c>
      <c r="C109" s="1028" t="s">
        <v>1647</v>
      </c>
    </row>
    <row r="110" spans="1:10" ht="3" customHeight="1">
      <c r="C110" s="620"/>
      <c r="E110" s="560"/>
      <c r="F110" s="560"/>
      <c r="I110" s="560"/>
    </row>
    <row r="111" spans="1:10" ht="12" customHeight="1">
      <c r="A111" s="432" t="s">
        <v>2838</v>
      </c>
      <c r="C111" s="1028" t="s">
        <v>1647</v>
      </c>
      <c r="I111" s="560"/>
    </row>
    <row r="112" spans="1:10" ht="3" customHeight="1">
      <c r="D112" s="616"/>
      <c r="I112" s="560"/>
    </row>
    <row r="113" spans="1:10" ht="12" customHeight="1">
      <c r="A113" s="432" t="s">
        <v>2839</v>
      </c>
      <c r="D113" s="624">
        <v>24</v>
      </c>
      <c r="E113" s="560" t="s">
        <v>2840</v>
      </c>
      <c r="I113" s="560"/>
    </row>
    <row r="114" spans="1:10" ht="12" customHeight="1">
      <c r="C114" s="613" t="s">
        <v>6176</v>
      </c>
      <c r="I114" s="560"/>
    </row>
    <row r="115" spans="1:10" ht="12" customHeight="1">
      <c r="C115" s="613" t="s">
        <v>6177</v>
      </c>
      <c r="G115" s="560"/>
      <c r="I115" s="560"/>
    </row>
    <row r="116" spans="1:10" ht="3" customHeight="1">
      <c r="G116" s="560"/>
      <c r="H116" s="560"/>
      <c r="I116" s="560"/>
    </row>
    <row r="117" spans="1:10" ht="12" customHeight="1">
      <c r="A117" s="432" t="s">
        <v>2841</v>
      </c>
      <c r="D117" s="630">
        <v>0</v>
      </c>
      <c r="E117" s="631" t="s">
        <v>2842</v>
      </c>
      <c r="I117" s="560"/>
    </row>
    <row r="118" spans="1:10" ht="3" customHeight="1">
      <c r="D118" s="620"/>
      <c r="E118" s="560"/>
      <c r="F118" s="560"/>
      <c r="I118" s="560"/>
    </row>
    <row r="119" spans="1:10" ht="12" customHeight="1">
      <c r="A119" s="432" t="s">
        <v>2843</v>
      </c>
      <c r="C119" s="992" t="s">
        <v>1647</v>
      </c>
      <c r="D119" s="620"/>
      <c r="I119" s="560"/>
    </row>
    <row r="120" spans="1:10" ht="12" customHeight="1">
      <c r="C120" s="560" t="s">
        <v>2844</v>
      </c>
      <c r="D120" s="623"/>
      <c r="E120" s="3808" t="s">
        <v>6178</v>
      </c>
      <c r="F120" s="3808"/>
      <c r="G120" s="3808"/>
      <c r="H120" s="3808"/>
      <c r="I120" s="3808"/>
      <c r="J120" s="3808"/>
    </row>
    <row r="121" spans="1:10" ht="12" customHeight="1">
      <c r="C121" s="560" t="s">
        <v>2845</v>
      </c>
      <c r="D121" s="998"/>
      <c r="E121" s="3808"/>
      <c r="F121" s="3808"/>
      <c r="G121" s="3808"/>
      <c r="H121" s="3808"/>
      <c r="I121" s="3808"/>
      <c r="J121" s="3808"/>
    </row>
    <row r="122" spans="1:10" ht="12" customHeight="1">
      <c r="C122" s="560" t="s">
        <v>2846</v>
      </c>
      <c r="D122" s="998"/>
      <c r="E122" s="3808"/>
      <c r="F122" s="3808"/>
      <c r="G122" s="3808"/>
      <c r="H122" s="3808"/>
      <c r="I122" s="3808"/>
      <c r="J122" s="3808"/>
    </row>
    <row r="123" spans="1:10" ht="12" customHeight="1">
      <c r="C123" s="560" t="s">
        <v>2846</v>
      </c>
      <c r="D123" s="998"/>
      <c r="E123" s="3808"/>
      <c r="F123" s="3808"/>
      <c r="G123" s="3808"/>
      <c r="H123" s="3808"/>
      <c r="I123" s="3808"/>
      <c r="J123" s="3808"/>
    </row>
    <row r="124" spans="1:10" ht="3" customHeight="1">
      <c r="E124" s="560"/>
      <c r="F124" s="560"/>
      <c r="I124" s="560"/>
    </row>
    <row r="125" spans="1:10" ht="12" customHeight="1">
      <c r="A125" s="432" t="s">
        <v>2847</v>
      </c>
      <c r="D125" s="625" t="s">
        <v>2816</v>
      </c>
      <c r="I125" s="560"/>
    </row>
    <row r="126" spans="1:10" ht="3" customHeight="1">
      <c r="D126" s="560"/>
      <c r="I126" s="560"/>
    </row>
    <row r="127" spans="1:10" ht="12" customHeight="1">
      <c r="A127" s="432" t="s">
        <v>2848</v>
      </c>
      <c r="D127" s="560" t="s">
        <v>2816</v>
      </c>
      <c r="I127" s="560"/>
    </row>
    <row r="128" spans="1:10" ht="3" customHeight="1">
      <c r="G128" s="560"/>
      <c r="H128" s="560"/>
      <c r="I128" s="560"/>
    </row>
    <row r="129" spans="1:10" ht="12" customHeight="1">
      <c r="A129" s="432" t="s">
        <v>2849</v>
      </c>
      <c r="D129" s="560" t="s">
        <v>2850</v>
      </c>
      <c r="G129" s="560"/>
      <c r="I129" s="560"/>
    </row>
    <row r="130" spans="1:10" ht="7.5" customHeight="1">
      <c r="G130" s="560"/>
      <c r="H130" s="560"/>
      <c r="I130" s="560"/>
    </row>
    <row r="131" spans="1:10" ht="12" customHeight="1">
      <c r="A131" s="612" t="s">
        <v>2851</v>
      </c>
      <c r="G131" s="560"/>
      <c r="H131" s="560"/>
      <c r="I131" s="560"/>
    </row>
    <row r="132" spans="1:10" ht="12" customHeight="1">
      <c r="A132" s="432" t="s">
        <v>2852</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2853</v>
      </c>
      <c r="C135" s="632">
        <f>('Part III-A-Uses of Funds'!G127-'Part II-Sources of Funds'!I45)/2</f>
        <v>1320000</v>
      </c>
      <c r="G135" s="560"/>
      <c r="I135" s="560"/>
    </row>
    <row r="136" spans="1:10" ht="3" customHeight="1">
      <c r="C136" s="560"/>
      <c r="G136" s="560"/>
      <c r="I136" s="560"/>
    </row>
    <row r="137" spans="1:10" ht="12" customHeight="1">
      <c r="A137" s="432" t="s">
        <v>2854</v>
      </c>
      <c r="C137" s="1028" t="s">
        <v>2855</v>
      </c>
      <c r="G137" s="560"/>
      <c r="I137" s="560"/>
    </row>
    <row r="138" spans="1:10" ht="3" customHeight="1">
      <c r="C138" s="613"/>
      <c r="G138" s="560"/>
      <c r="I138" s="560"/>
    </row>
    <row r="139" spans="1:10" ht="12" customHeight="1">
      <c r="A139" s="432" t="s">
        <v>2856</v>
      </c>
      <c r="C139" s="613">
        <f>'Preview term'!E20</f>
        <v>0</v>
      </c>
      <c r="G139" s="560"/>
      <c r="I139" s="560"/>
      <c r="J139" s="633"/>
    </row>
    <row r="140" spans="1:10" ht="3" customHeight="1">
      <c r="C140" s="613"/>
      <c r="G140" s="560"/>
      <c r="I140" s="560"/>
    </row>
    <row r="141" spans="1:10" ht="12" customHeight="1">
      <c r="A141" s="432" t="s">
        <v>2857</v>
      </c>
      <c r="C141" s="613">
        <f>C8</f>
        <v>0</v>
      </c>
      <c r="G141" s="560"/>
      <c r="I141" s="560"/>
    </row>
    <row r="142" spans="1:10" ht="3" customHeight="1">
      <c r="C142" s="613"/>
      <c r="G142" s="560"/>
      <c r="I142" s="560"/>
    </row>
    <row r="143" spans="1:10" ht="12" customHeight="1">
      <c r="A143" s="432" t="s">
        <v>2858</v>
      </c>
      <c r="C143" s="613">
        <f>C18</f>
        <v>0</v>
      </c>
      <c r="G143" s="560"/>
      <c r="I143" s="560"/>
    </row>
    <row r="144" spans="1:10">
      <c r="C144" s="613">
        <f>C19</f>
        <v>0</v>
      </c>
      <c r="G144" s="560"/>
      <c r="I144" s="560"/>
    </row>
    <row r="145" spans="1:10" ht="3" customHeight="1">
      <c r="C145" s="560"/>
      <c r="G145" s="560"/>
      <c r="I145" s="560"/>
    </row>
    <row r="146" spans="1:10" ht="12" customHeight="1">
      <c r="A146" s="432" t="s">
        <v>2859</v>
      </c>
      <c r="C146" s="613">
        <f>'Sensitivity Analysis'!H10</f>
        <v>0</v>
      </c>
      <c r="G146" s="560"/>
      <c r="I146" s="560"/>
      <c r="J146" s="633"/>
    </row>
    <row r="147" spans="1:10" ht="3" customHeight="1">
      <c r="C147" s="613"/>
      <c r="G147" s="560"/>
      <c r="I147" s="560"/>
    </row>
    <row r="148" spans="1:10" ht="12" customHeight="1">
      <c r="A148" s="432" t="s">
        <v>2860</v>
      </c>
      <c r="C148" s="613">
        <f>'Sensitivity Analysis'!K10</f>
        <v>0</v>
      </c>
      <c r="G148" s="560"/>
      <c r="I148" s="560"/>
      <c r="J148" s="633"/>
    </row>
    <row r="149" spans="1:10" ht="3" customHeight="1">
      <c r="C149" s="560"/>
      <c r="G149" s="560"/>
      <c r="I149" s="560"/>
    </row>
    <row r="150" spans="1:10" ht="12" customHeight="1">
      <c r="A150" s="432" t="s">
        <v>2861</v>
      </c>
      <c r="C150" s="560" t="s">
        <v>2816</v>
      </c>
      <c r="G150" s="560"/>
      <c r="I150" s="560"/>
    </row>
    <row r="151" spans="1:10" ht="3" customHeight="1">
      <c r="C151" s="560"/>
      <c r="G151" s="560"/>
      <c r="I151" s="560"/>
    </row>
    <row r="152" spans="1:10" ht="12" customHeight="1">
      <c r="A152" s="432" t="s">
        <v>2862</v>
      </c>
      <c r="C152" s="560" t="s">
        <v>2816</v>
      </c>
      <c r="G152" s="560"/>
      <c r="I152" s="560"/>
    </row>
    <row r="153" spans="1:10" ht="7.5" customHeight="1">
      <c r="G153" s="560"/>
      <c r="H153" s="560"/>
      <c r="I153" s="560"/>
    </row>
    <row r="154" spans="1:10" ht="12" customHeight="1">
      <c r="A154" s="612" t="s">
        <v>2863</v>
      </c>
      <c r="G154" s="560"/>
      <c r="H154" s="560"/>
      <c r="I154" s="560"/>
    </row>
    <row r="155" spans="1:10" ht="3" customHeight="1">
      <c r="D155" s="560"/>
      <c r="E155" s="560"/>
      <c r="G155" s="560"/>
    </row>
    <row r="156" spans="1:10" ht="12" customHeight="1">
      <c r="A156" s="432" t="s">
        <v>2864</v>
      </c>
      <c r="C156" s="560" t="s">
        <v>3118</v>
      </c>
      <c r="D156" s="560"/>
      <c r="G156" s="560"/>
      <c r="H156" s="560"/>
      <c r="I156" s="560"/>
    </row>
    <row r="157" spans="1:10" ht="3" customHeight="1">
      <c r="D157" s="560"/>
      <c r="E157" s="560"/>
      <c r="G157" s="560"/>
    </row>
    <row r="158" spans="1:10" ht="12" customHeight="1">
      <c r="A158" s="432" t="s">
        <v>2865</v>
      </c>
      <c r="D158" s="1028">
        <v>20</v>
      </c>
      <c r="E158" s="560" t="s">
        <v>2219</v>
      </c>
    </row>
    <row r="159" spans="1:10" ht="3" customHeight="1">
      <c r="D159" s="560"/>
      <c r="E159" s="560"/>
      <c r="G159" s="560"/>
    </row>
    <row r="160" spans="1:10" ht="12" customHeight="1">
      <c r="A160" s="432" t="s">
        <v>2866</v>
      </c>
      <c r="C160" s="992" t="str">
        <f>'Part V-Revenues &amp; Expenses'!$G$6</f>
        <v>&lt;Select&gt;</v>
      </c>
      <c r="D160" s="560" t="s">
        <v>3138</v>
      </c>
      <c r="G160" s="560"/>
    </row>
    <row r="161" spans="1:9" ht="3" customHeight="1">
      <c r="G161" s="560"/>
      <c r="H161" s="560"/>
      <c r="I161" s="560"/>
    </row>
    <row r="162" spans="1:9" ht="12" customHeight="1">
      <c r="A162" s="432" t="s">
        <v>2867</v>
      </c>
      <c r="G162" s="560"/>
      <c r="H162" s="560"/>
      <c r="I162" s="560"/>
    </row>
    <row r="163" spans="1:9" ht="7.5" customHeight="1">
      <c r="G163" s="560"/>
      <c r="H163" s="560"/>
      <c r="I163" s="560"/>
    </row>
    <row r="164" spans="1:9" ht="12" customHeight="1">
      <c r="A164" s="612" t="s">
        <v>2868</v>
      </c>
      <c r="G164" s="560"/>
      <c r="H164" s="560"/>
      <c r="I164" s="560"/>
    </row>
    <row r="165" spans="1:9" ht="12" customHeight="1">
      <c r="A165" s="432" t="s">
        <v>2967</v>
      </c>
      <c r="C165" s="432" t="s">
        <v>2968</v>
      </c>
      <c r="E165" s="626">
        <f>'Preview term'!F80</f>
        <v>0</v>
      </c>
      <c r="G165" s="560"/>
      <c r="I165" s="560"/>
    </row>
    <row r="166" spans="1:9" ht="12" customHeight="1">
      <c r="C166" s="432" t="s">
        <v>3119</v>
      </c>
      <c r="E166" s="3799"/>
      <c r="F166" s="3799"/>
      <c r="G166" s="3799"/>
      <c r="I166" s="560"/>
    </row>
    <row r="167" spans="1:9" ht="3" customHeight="1">
      <c r="E167" s="560"/>
      <c r="G167" s="560"/>
      <c r="I167" s="560"/>
    </row>
    <row r="168" spans="1:9" ht="12" customHeight="1">
      <c r="A168" s="432" t="s">
        <v>2869</v>
      </c>
      <c r="C168" s="432" t="s">
        <v>2870</v>
      </c>
      <c r="E168" s="632">
        <f>'Preview term'!F74</f>
        <v>793965</v>
      </c>
      <c r="G168" s="560"/>
      <c r="I168" s="560"/>
    </row>
    <row r="169" spans="1:9" ht="12" customHeight="1">
      <c r="C169" s="432" t="s">
        <v>3119</v>
      </c>
      <c r="E169" s="3799"/>
      <c r="F169" s="3799"/>
      <c r="G169" s="3799"/>
      <c r="I169" s="560"/>
    </row>
    <row r="170" spans="1:9" ht="12" customHeight="1">
      <c r="C170" s="432" t="s">
        <v>2871</v>
      </c>
      <c r="E170" s="613" t="s">
        <v>2517</v>
      </c>
      <c r="G170" s="560"/>
      <c r="I170" s="560"/>
    </row>
    <row r="171" spans="1:9" ht="3" customHeight="1">
      <c r="E171" s="613"/>
      <c r="G171" s="560"/>
      <c r="I171" s="560"/>
    </row>
    <row r="172" spans="1:9" ht="12" customHeight="1">
      <c r="A172" s="432" t="s">
        <v>2969</v>
      </c>
      <c r="C172" s="432" t="s">
        <v>2970</v>
      </c>
      <c r="E172" s="632">
        <f>'Preview term'!F76</f>
        <v>0</v>
      </c>
      <c r="G172" s="560"/>
      <c r="I172" s="560"/>
    </row>
    <row r="173" spans="1:9" ht="12" customHeight="1">
      <c r="C173" s="432" t="s">
        <v>2872</v>
      </c>
      <c r="E173" s="632">
        <f>'Preview term'!F76</f>
        <v>0</v>
      </c>
      <c r="G173" s="560"/>
      <c r="I173" s="560"/>
    </row>
    <row r="174" spans="1:9" ht="12" customHeight="1">
      <c r="C174" s="432" t="s">
        <v>2873</v>
      </c>
      <c r="E174" s="632">
        <f>'Part V-Revenues &amp; Expenses'!Q234</f>
        <v>30000</v>
      </c>
      <c r="F174" s="560" t="s">
        <v>2874</v>
      </c>
    </row>
    <row r="175" spans="1:9">
      <c r="E175" s="632">
        <f>E174/12</f>
        <v>2500</v>
      </c>
      <c r="F175" s="560" t="s">
        <v>2739</v>
      </c>
    </row>
    <row r="176" spans="1:9" ht="12" customHeight="1">
      <c r="C176" s="432" t="s">
        <v>3120</v>
      </c>
      <c r="E176" s="3799"/>
      <c r="F176" s="3799"/>
      <c r="G176" s="3799"/>
      <c r="I176" s="560"/>
    </row>
    <row r="177" spans="1:10" ht="12" customHeight="1">
      <c r="C177" s="432" t="s">
        <v>2875</v>
      </c>
      <c r="E177" s="560" t="s">
        <v>2652</v>
      </c>
      <c r="I177" s="560"/>
    </row>
    <row r="178" spans="1:10" ht="12" customHeight="1">
      <c r="C178" s="432" t="s">
        <v>2876</v>
      </c>
      <c r="E178" s="560" t="s">
        <v>2517</v>
      </c>
      <c r="I178" s="560"/>
    </row>
    <row r="179" spans="1:10" ht="3" customHeight="1">
      <c r="E179" s="560"/>
      <c r="F179" s="560"/>
      <c r="I179" s="560"/>
    </row>
    <row r="180" spans="1:10" ht="12" customHeight="1">
      <c r="A180" s="432" t="s">
        <v>2965</v>
      </c>
      <c r="C180" s="432" t="s">
        <v>2966</v>
      </c>
      <c r="E180" s="626" t="s">
        <v>1647</v>
      </c>
      <c r="I180" s="560"/>
    </row>
    <row r="181" spans="1:10" ht="12" customHeight="1">
      <c r="C181" s="432" t="s">
        <v>2877</v>
      </c>
      <c r="E181" s="626" t="s">
        <v>1647</v>
      </c>
      <c r="F181" s="3799"/>
      <c r="G181" s="3799"/>
      <c r="H181" s="3799"/>
      <c r="I181" s="3799"/>
      <c r="J181" s="3799"/>
    </row>
    <row r="182" spans="1:10" ht="12" customHeight="1">
      <c r="C182" s="432" t="s">
        <v>3121</v>
      </c>
      <c r="E182" s="560" t="s">
        <v>2816</v>
      </c>
      <c r="I182" s="560"/>
    </row>
    <row r="183" spans="1:10" ht="12" customHeight="1">
      <c r="C183" s="432" t="s">
        <v>2878</v>
      </c>
      <c r="E183" s="560" t="s">
        <v>2517</v>
      </c>
      <c r="I183" s="560"/>
    </row>
    <row r="184" spans="1:10" ht="3" customHeight="1">
      <c r="G184" s="560"/>
      <c r="H184" s="560"/>
      <c r="I184" s="560"/>
    </row>
    <row r="185" spans="1:10" ht="12" customHeight="1">
      <c r="A185" s="432" t="s">
        <v>2971</v>
      </c>
      <c r="C185" s="432" t="s">
        <v>2972</v>
      </c>
      <c r="E185" s="632">
        <f>'Preview term'!F78</f>
        <v>216019</v>
      </c>
      <c r="G185" s="560"/>
      <c r="I185" s="560"/>
    </row>
    <row r="186" spans="1:10" ht="12" customHeight="1">
      <c r="C186" s="432" t="s">
        <v>3119</v>
      </c>
      <c r="E186" s="613">
        <f>E169</f>
        <v>0</v>
      </c>
      <c r="G186" s="560"/>
      <c r="I186" s="560"/>
    </row>
    <row r="187" spans="1:10" ht="12" customHeight="1">
      <c r="C187" s="432" t="s">
        <v>2879</v>
      </c>
      <c r="E187" s="613" t="s">
        <v>2816</v>
      </c>
      <c r="G187" s="560"/>
      <c r="I187" s="560"/>
    </row>
    <row r="188" spans="1:10" ht="3" customHeight="1">
      <c r="E188" s="613"/>
      <c r="G188" s="560"/>
      <c r="I188" s="560"/>
    </row>
    <row r="189" spans="1:10" ht="12" customHeight="1">
      <c r="A189" s="432" t="s">
        <v>2973</v>
      </c>
      <c r="C189" s="432" t="s">
        <v>2974</v>
      </c>
      <c r="E189" s="613" t="s">
        <v>2816</v>
      </c>
      <c r="G189" s="560"/>
      <c r="I189" s="560"/>
    </row>
    <row r="190" spans="1:10" ht="12" customHeight="1">
      <c r="C190" s="432" t="s">
        <v>2870</v>
      </c>
      <c r="E190" s="620"/>
      <c r="G190" s="560"/>
      <c r="H190" s="625"/>
      <c r="I190" s="560"/>
    </row>
    <row r="191" spans="1:10" ht="12" customHeight="1">
      <c r="C191" s="432" t="s">
        <v>3119</v>
      </c>
      <c r="E191" s="620"/>
      <c r="I191" s="613"/>
    </row>
    <row r="192" spans="1:10" ht="12" customHeight="1">
      <c r="C192" s="432" t="s">
        <v>2871</v>
      </c>
      <c r="E192" s="620"/>
      <c r="G192" s="560"/>
      <c r="H192" s="560"/>
      <c r="I192" s="560"/>
    </row>
    <row r="193" spans="1:10" ht="9" customHeight="1">
      <c r="G193" s="560"/>
      <c r="H193" s="560"/>
      <c r="I193" s="560"/>
    </row>
    <row r="194" spans="1:10" ht="12" customHeight="1">
      <c r="A194" s="612" t="s">
        <v>2880</v>
      </c>
      <c r="C194" s="560" t="s">
        <v>2881</v>
      </c>
      <c r="E194" s="560"/>
      <c r="I194" s="560"/>
    </row>
    <row r="195" spans="1:10" ht="9" customHeight="1">
      <c r="E195" s="560"/>
      <c r="F195" s="560"/>
      <c r="I195" s="560"/>
    </row>
    <row r="196" spans="1:10" ht="12" customHeight="1">
      <c r="A196" s="612" t="s">
        <v>2882</v>
      </c>
      <c r="E196" s="560"/>
      <c r="F196" s="560"/>
      <c r="I196" s="560"/>
    </row>
    <row r="197" spans="1:10" ht="12" customHeight="1">
      <c r="A197" s="432" t="s">
        <v>2883</v>
      </c>
      <c r="C197" s="988" t="s">
        <v>1647</v>
      </c>
      <c r="E197" s="560"/>
      <c r="F197" s="560"/>
      <c r="I197" s="560"/>
    </row>
    <row r="198" spans="1:10" ht="3" customHeight="1">
      <c r="G198" s="560"/>
      <c r="H198" s="560"/>
      <c r="I198" s="560"/>
    </row>
    <row r="199" spans="1:10">
      <c r="A199" s="617" t="s">
        <v>3123</v>
      </c>
      <c r="B199" s="617"/>
      <c r="C199" s="617"/>
      <c r="D199" s="617"/>
      <c r="E199" s="619" t="s">
        <v>3122</v>
      </c>
      <c r="F199" s="3807">
        <f>'Part VII-Threshold Criteria'!E372</f>
        <v>0</v>
      </c>
      <c r="G199" s="3807"/>
      <c r="H199" s="3807"/>
      <c r="I199" s="3807"/>
      <c r="J199" s="3807"/>
    </row>
    <row r="200" spans="1:10" ht="9" customHeight="1">
      <c r="G200" s="560"/>
      <c r="H200" s="560"/>
      <c r="I200" s="560"/>
    </row>
    <row r="201" spans="1:10" ht="12" customHeight="1">
      <c r="A201" s="634" t="s">
        <v>2964</v>
      </c>
      <c r="G201" s="560"/>
      <c r="H201" s="560"/>
      <c r="I201" s="625"/>
    </row>
    <row r="202" spans="1:10" ht="25.5" hidden="1" customHeight="1">
      <c r="A202" s="3800" t="str">
        <f>'Subsidy Layering Memo'!A105</f>
        <v>Include any reserve requirements; explain any reserves far in excess of 6 month ODR, 3 mo lease up, 1 year RR, 6 mo T&amp;I standards.</v>
      </c>
      <c r="B202" s="3800"/>
      <c r="C202" s="3800"/>
      <c r="D202" s="3800"/>
      <c r="E202" s="3800"/>
      <c r="F202" s="3800"/>
      <c r="G202" s="3800"/>
      <c r="H202" s="3800"/>
      <c r="I202" s="3800"/>
      <c r="J202" s="3800"/>
    </row>
    <row r="203" spans="1:10">
      <c r="A203" s="560"/>
      <c r="G203" s="560"/>
      <c r="H203" s="560"/>
      <c r="I203" s="560"/>
    </row>
    <row r="204" spans="1:10" s="516" customFormat="1" ht="15">
      <c r="A204" s="522" t="s">
        <v>6162</v>
      </c>
    </row>
    <row r="205" spans="1:10" s="516" customFormat="1" ht="14.25" customHeight="1">
      <c r="A205" s="378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782"/>
      <c r="C205" s="3782"/>
      <c r="D205" s="3782"/>
      <c r="E205" s="3782"/>
      <c r="F205" s="3782"/>
      <c r="G205" s="3782"/>
      <c r="H205" s="3782"/>
      <c r="I205" s="3782"/>
      <c r="J205" s="3782"/>
    </row>
    <row r="206" spans="1:10" s="516" customFormat="1" ht="14.25" customHeight="1">
      <c r="A206" s="3782"/>
      <c r="B206" s="3782"/>
      <c r="C206" s="3782"/>
      <c r="D206" s="3782"/>
      <c r="E206" s="3782"/>
      <c r="F206" s="3782"/>
      <c r="G206" s="3782"/>
      <c r="H206" s="3782"/>
      <c r="I206" s="3782"/>
      <c r="J206" s="3782"/>
    </row>
    <row r="207" spans="1:10" s="516" customFormat="1" ht="6.75" customHeight="1">
      <c r="A207" s="3782"/>
      <c r="B207" s="3782"/>
      <c r="C207" s="3782"/>
      <c r="D207" s="3782"/>
      <c r="E207" s="3782"/>
      <c r="F207" s="3782"/>
      <c r="G207" s="3782"/>
      <c r="H207" s="3782"/>
      <c r="I207" s="3782"/>
      <c r="J207" s="3782"/>
    </row>
    <row r="208" spans="1:10" s="516" customFormat="1" ht="21.75" customHeight="1">
      <c r="A208" s="3782"/>
      <c r="B208" s="3782"/>
      <c r="C208" s="3782"/>
      <c r="D208" s="3782"/>
      <c r="E208" s="3782"/>
      <c r="F208" s="3782"/>
      <c r="G208" s="3782"/>
      <c r="H208" s="3782"/>
      <c r="I208" s="3782"/>
      <c r="J208" s="3782"/>
    </row>
    <row r="209" spans="1:10" s="516" customFormat="1" ht="20.25" customHeight="1">
      <c r="A209" s="3782"/>
      <c r="B209" s="3782"/>
      <c r="C209" s="3782"/>
      <c r="D209" s="3782"/>
      <c r="E209" s="3782"/>
      <c r="F209" s="3782"/>
      <c r="G209" s="3782"/>
      <c r="H209" s="3782"/>
      <c r="I209" s="3782"/>
      <c r="J209" s="3782"/>
    </row>
    <row r="210" spans="1:10" s="516" customFormat="1" ht="54.75" customHeight="1">
      <c r="A210" s="3782"/>
      <c r="B210" s="3782"/>
      <c r="C210" s="3782"/>
      <c r="D210" s="3782"/>
      <c r="E210" s="3782"/>
      <c r="F210" s="3782"/>
      <c r="G210" s="3782"/>
      <c r="H210" s="3782"/>
      <c r="I210" s="3782"/>
      <c r="J210" s="3782"/>
    </row>
    <row r="211" spans="1:10" s="516" customFormat="1" ht="0.75" hidden="1" customHeight="1">
      <c r="A211" s="3782"/>
      <c r="B211" s="3782"/>
      <c r="C211" s="3782"/>
      <c r="D211" s="3782"/>
      <c r="E211" s="3782"/>
      <c r="F211" s="3782"/>
      <c r="G211" s="3782"/>
      <c r="H211" s="3782"/>
      <c r="I211" s="3782"/>
      <c r="J211" s="3782"/>
    </row>
    <row r="212" spans="1:10" s="516" customFormat="1" ht="3.75" hidden="1" customHeight="1">
      <c r="A212" s="3782"/>
      <c r="B212" s="3782"/>
      <c r="C212" s="3782"/>
      <c r="D212" s="3782"/>
      <c r="E212" s="3782"/>
      <c r="F212" s="3782"/>
      <c r="G212" s="3782"/>
      <c r="H212" s="3782"/>
      <c r="I212" s="3782"/>
      <c r="J212" s="3782"/>
    </row>
    <row r="213" spans="1:10" s="516" customFormat="1" ht="5.25" customHeight="1">
      <c r="A213" s="1253"/>
      <c r="B213" s="1253"/>
      <c r="C213" s="1253"/>
      <c r="D213" s="1253"/>
      <c r="E213" s="1253"/>
      <c r="F213" s="1253"/>
      <c r="G213" s="1253"/>
      <c r="H213" s="1253"/>
      <c r="I213" s="1253"/>
      <c r="J213" s="1253"/>
    </row>
    <row r="214" spans="1:10" s="516" customFormat="1" ht="19.5" customHeight="1">
      <c r="A214" s="3781" t="s">
        <v>6165</v>
      </c>
      <c r="B214" s="3781"/>
      <c r="C214" s="3781"/>
      <c r="D214" s="1251"/>
      <c r="E214" s="1251"/>
      <c r="F214" s="1251"/>
      <c r="G214" s="1251"/>
      <c r="H214" s="1251"/>
      <c r="I214" s="1251"/>
      <c r="J214" s="1251"/>
    </row>
    <row r="215" spans="1:10" s="516" customFormat="1" ht="22.5" customHeight="1">
      <c r="A215" s="3751" t="str">
        <f>'Subsidy Layering Memo'!A37</f>
        <v>1)</v>
      </c>
      <c r="B215" s="3751"/>
      <c r="C215" s="3751"/>
      <c r="D215" s="3751"/>
      <c r="E215" s="3751"/>
      <c r="F215" s="3751"/>
      <c r="G215" s="3751"/>
      <c r="H215" s="3751"/>
      <c r="I215" s="3751"/>
      <c r="J215" s="3751"/>
    </row>
    <row r="216" spans="1:10" s="516" customFormat="1" ht="22.5" customHeight="1">
      <c r="A216" s="3751" t="str">
        <f>'Subsidy Layering Memo'!A38</f>
        <v>2)</v>
      </c>
      <c r="B216" s="3751"/>
      <c r="C216" s="3751"/>
      <c r="D216" s="3751"/>
      <c r="E216" s="3751"/>
      <c r="F216" s="3751"/>
      <c r="G216" s="3751"/>
      <c r="H216" s="3751"/>
      <c r="I216" s="3751"/>
      <c r="J216" s="3751"/>
    </row>
    <row r="217" spans="1:10" s="516" customFormat="1" ht="22.5" customHeight="1">
      <c r="A217" s="3751" t="str">
        <f>'Subsidy Layering Memo'!A39</f>
        <v>3)</v>
      </c>
      <c r="B217" s="3751"/>
      <c r="C217" s="3751"/>
      <c r="D217" s="3751"/>
      <c r="E217" s="3751"/>
      <c r="F217" s="3751"/>
      <c r="G217" s="3751"/>
      <c r="H217" s="3751"/>
      <c r="I217" s="3751"/>
      <c r="J217" s="3751"/>
    </row>
    <row r="218" spans="1:10" s="516" customFormat="1" ht="22.5" customHeight="1">
      <c r="A218" s="3751" t="str">
        <f>'Subsidy Layering Memo'!A40</f>
        <v>4)</v>
      </c>
      <c r="B218" s="3751"/>
      <c r="C218" s="3751"/>
      <c r="D218" s="3751"/>
      <c r="E218" s="3751"/>
      <c r="F218" s="3751"/>
      <c r="G218" s="3751"/>
      <c r="H218" s="3751"/>
      <c r="I218" s="3751"/>
      <c r="J218" s="3751"/>
    </row>
    <row r="219" spans="1:10" s="516" customFormat="1" ht="22.5" customHeight="1">
      <c r="A219" s="3751" t="str">
        <f>'Subsidy Layering Memo'!A41</f>
        <v>5)</v>
      </c>
      <c r="B219" s="3751"/>
      <c r="C219" s="3751"/>
      <c r="D219" s="3751"/>
      <c r="E219" s="3751"/>
      <c r="F219" s="3751"/>
      <c r="G219" s="3751"/>
      <c r="H219" s="3751"/>
      <c r="I219" s="3751"/>
      <c r="J219" s="3751"/>
    </row>
    <row r="220" spans="1:10" s="516" customFormat="1" ht="22.5" customHeight="1">
      <c r="A220" s="3751" t="str">
        <f>'Subsidy Layering Memo'!A42</f>
        <v>6)</v>
      </c>
      <c r="B220" s="3751"/>
      <c r="C220" s="3751"/>
      <c r="D220" s="3751"/>
      <c r="E220" s="3751"/>
      <c r="F220" s="3751"/>
      <c r="G220" s="3751"/>
      <c r="H220" s="3751"/>
      <c r="I220" s="3751"/>
      <c r="J220" s="3751"/>
    </row>
    <row r="221" spans="1:10" s="516" customFormat="1" ht="22.5" customHeight="1">
      <c r="A221" s="3751" t="str">
        <f>'Subsidy Layering Memo'!A43</f>
        <v>7)</v>
      </c>
      <c r="B221" s="3751"/>
      <c r="C221" s="3751"/>
      <c r="D221" s="3751"/>
      <c r="E221" s="3751"/>
      <c r="F221" s="3751"/>
      <c r="G221" s="3751"/>
      <c r="H221" s="3751"/>
      <c r="I221" s="3751"/>
      <c r="J221" s="3751"/>
    </row>
    <row r="222" spans="1:10" s="516" customFormat="1" ht="22.5" customHeight="1">
      <c r="A222" s="3751" t="str">
        <f>'Subsidy Layering Memo'!A44</f>
        <v>8)</v>
      </c>
      <c r="B222" s="3751"/>
      <c r="C222" s="3751"/>
      <c r="D222" s="3751"/>
      <c r="E222" s="3751"/>
      <c r="F222" s="3751"/>
      <c r="G222" s="3751"/>
      <c r="H222" s="3751"/>
      <c r="I222" s="3751"/>
      <c r="J222" s="3751"/>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J20" sqref="J20:K20"/>
    </sheetView>
  </sheetViews>
  <sheetFormatPr defaultColWidth="9.140625" defaultRowHeight="16.5"/>
  <cols>
    <col min="1" max="1" width="5.42578125" style="1329" customWidth="1"/>
    <col min="2" max="2" width="6.28515625" style="1329" customWidth="1"/>
    <col min="3" max="3" width="9.85546875" style="1329" customWidth="1"/>
    <col min="4" max="4" width="10.42578125" style="1329" customWidth="1"/>
    <col min="5" max="5" width="7.7109375" style="1333" customWidth="1"/>
    <col min="6" max="6" width="8" style="1329" customWidth="1"/>
    <col min="7" max="7" width="8.7109375" style="1329" customWidth="1"/>
    <col min="8" max="8" width="10.28515625" style="1329" customWidth="1"/>
    <col min="9" max="9" width="10.7109375" style="1329" customWidth="1"/>
    <col min="10" max="10" width="11.7109375" style="1329" customWidth="1"/>
    <col min="11" max="11" width="11.85546875" style="1329" customWidth="1"/>
    <col min="12" max="16384" width="9.140625" style="1329"/>
  </cols>
  <sheetData>
    <row r="1" spans="1:11" ht="18.75">
      <c r="A1" s="1376" t="s">
        <v>3971</v>
      </c>
      <c r="B1" s="1376"/>
      <c r="C1" s="1376"/>
      <c r="D1" s="1376"/>
      <c r="E1" s="1376"/>
      <c r="F1" s="1376"/>
      <c r="G1" s="1376"/>
      <c r="H1" s="1376"/>
    </row>
    <row r="2" spans="1:11" ht="19.5" thickBot="1">
      <c r="A2" s="1376" t="s">
        <v>3972</v>
      </c>
      <c r="B2" s="1376"/>
      <c r="C2" s="1376"/>
      <c r="D2" s="1376"/>
      <c r="E2" s="1376"/>
      <c r="F2" s="1376"/>
      <c r="G2" s="1376"/>
      <c r="H2" s="1376"/>
    </row>
    <row r="3" spans="1:11" ht="15" customHeight="1" thickBot="1">
      <c r="A3" s="1330" t="s">
        <v>3973</v>
      </c>
      <c r="B3" s="1331"/>
      <c r="C3" s="1332"/>
      <c r="D3" s="3827" t="str">
        <f>'Part I-Project Identification'!F29</f>
        <v>Harrison Village Apartments</v>
      </c>
      <c r="E3" s="3828"/>
      <c r="F3" s="3828"/>
      <c r="G3" s="3828"/>
      <c r="H3" s="3828"/>
      <c r="I3" s="3828"/>
      <c r="J3" s="3829" t="s">
        <v>6179</v>
      </c>
      <c r="K3" s="3830"/>
    </row>
    <row r="4" spans="1:11" ht="15" customHeight="1">
      <c r="A4" s="1334" t="s">
        <v>3974</v>
      </c>
      <c r="B4" s="1335"/>
      <c r="C4" s="1336"/>
      <c r="D4" s="3831" t="e">
        <f>CONCATENATE('Part I-Project Identification'!#REF!,", ",'Part I-Project Identification'!F30,", GA ",'Part I-Project Identification'!#REF!," (",'Part I-Project Identification'!J30," Co.)",)</f>
        <v>#REF!</v>
      </c>
      <c r="E4" s="3832"/>
      <c r="F4" s="3832"/>
      <c r="G4" s="3832"/>
      <c r="H4" s="3832"/>
      <c r="I4" s="3832"/>
      <c r="J4" s="3833" t="s">
        <v>4015</v>
      </c>
      <c r="K4" s="3834"/>
    </row>
    <row r="5" spans="1:11" ht="15" customHeight="1" thickBot="1">
      <c r="A5" s="1337" t="s">
        <v>3975</v>
      </c>
      <c r="B5" s="1338"/>
      <c r="C5" s="1339"/>
      <c r="D5" s="3837"/>
      <c r="E5" s="3838"/>
      <c r="F5" s="3838"/>
      <c r="G5" s="3838"/>
      <c r="H5" s="3838"/>
      <c r="I5" s="3838"/>
      <c r="J5" s="3835"/>
      <c r="K5" s="3836"/>
    </row>
    <row r="6" spans="1:11" ht="9" customHeight="1" thickBot="1">
      <c r="E6" s="1329"/>
    </row>
    <row r="7" spans="1:11">
      <c r="A7" s="3819" t="s">
        <v>3977</v>
      </c>
      <c r="B7" s="3820"/>
      <c r="C7" s="3820"/>
      <c r="D7" s="3820"/>
      <c r="E7" s="3820"/>
      <c r="F7" s="3820"/>
      <c r="G7" s="3820"/>
      <c r="H7" s="3820"/>
      <c r="I7" s="3820"/>
      <c r="J7" s="3820"/>
      <c r="K7" s="3821"/>
    </row>
    <row r="8" spans="1:11" ht="14.25" customHeight="1">
      <c r="A8" s="1335"/>
      <c r="B8" s="1335"/>
      <c r="C8" s="1569">
        <v>1</v>
      </c>
      <c r="D8" s="1354" t="s">
        <v>3978</v>
      </c>
      <c r="E8" s="1354"/>
      <c r="F8" s="1354"/>
      <c r="G8" s="1354"/>
      <c r="H8" s="1354"/>
      <c r="I8" s="1354"/>
      <c r="J8" s="3817"/>
      <c r="K8" s="3818"/>
    </row>
    <row r="9" spans="1:11" ht="7.15" customHeight="1">
      <c r="A9" s="3822"/>
      <c r="B9" s="3822"/>
      <c r="C9" s="3822"/>
      <c r="D9" s="3823"/>
      <c r="E9" s="3823"/>
      <c r="F9" s="3823"/>
      <c r="G9" s="3823"/>
      <c r="H9" s="3823"/>
      <c r="I9" s="3823"/>
      <c r="J9" s="3823"/>
      <c r="K9" s="1355"/>
    </row>
    <row r="10" spans="1:11">
      <c r="A10" s="3824" t="s">
        <v>3979</v>
      </c>
      <c r="B10" s="3825"/>
      <c r="C10" s="3825"/>
      <c r="D10" s="3825"/>
      <c r="E10" s="3825"/>
      <c r="F10" s="3825"/>
      <c r="G10" s="3825"/>
      <c r="H10" s="3825"/>
      <c r="I10" s="3825"/>
      <c r="J10" s="3825"/>
      <c r="K10" s="3826"/>
    </row>
    <row r="11" spans="1:11" ht="14.25" customHeight="1">
      <c r="A11" s="1335"/>
      <c r="B11" s="1335"/>
      <c r="C11" s="1569">
        <v>2</v>
      </c>
      <c r="D11" s="1354" t="s">
        <v>3980</v>
      </c>
      <c r="E11" s="1356"/>
      <c r="F11" s="1356"/>
      <c r="G11" s="1356"/>
      <c r="H11" s="1356"/>
      <c r="I11" s="1356"/>
      <c r="J11" s="3815"/>
      <c r="K11" s="3816"/>
    </row>
    <row r="12" spans="1:11" ht="7.15" customHeight="1">
      <c r="A12" s="3822"/>
      <c r="B12" s="3822"/>
      <c r="C12" s="3822"/>
      <c r="D12" s="3823"/>
      <c r="E12" s="3823"/>
      <c r="F12" s="3823"/>
      <c r="G12" s="3823"/>
      <c r="H12" s="3823"/>
      <c r="I12" s="3823"/>
      <c r="J12" s="3823"/>
      <c r="K12" s="1357"/>
    </row>
    <row r="13" spans="1:11">
      <c r="A13" s="3824" t="s">
        <v>3981</v>
      </c>
      <c r="B13" s="3825"/>
      <c r="C13" s="3825"/>
      <c r="D13" s="3825"/>
      <c r="E13" s="3825"/>
      <c r="F13" s="3825"/>
      <c r="G13" s="3825"/>
      <c r="H13" s="3825"/>
      <c r="I13" s="3825"/>
      <c r="J13" s="3825"/>
      <c r="K13" s="3826"/>
    </row>
    <row r="14" spans="1:11" ht="14.25" customHeight="1">
      <c r="A14" s="1335"/>
      <c r="B14" s="1335"/>
      <c r="C14" s="1570">
        <v>3</v>
      </c>
      <c r="D14" s="1358" t="s">
        <v>3982</v>
      </c>
      <c r="E14" s="1358"/>
      <c r="F14" s="1358"/>
      <c r="G14" s="1358"/>
      <c r="H14" s="1358"/>
      <c r="I14" s="1358"/>
      <c r="J14" s="3813"/>
      <c r="K14" s="3814"/>
    </row>
    <row r="15" spans="1:11" ht="14.25" customHeight="1">
      <c r="A15" s="1335"/>
      <c r="B15" s="1335"/>
      <c r="C15" s="1571">
        <v>4</v>
      </c>
      <c r="D15" s="1335" t="s">
        <v>3983</v>
      </c>
      <c r="E15" s="1335"/>
      <c r="F15" s="1335"/>
      <c r="G15" s="1335"/>
      <c r="H15" s="1335"/>
      <c r="I15" s="1335"/>
      <c r="J15" s="3811"/>
      <c r="K15" s="3812"/>
    </row>
    <row r="16" spans="1:11" ht="14.25" customHeight="1">
      <c r="A16" s="1335"/>
      <c r="B16" s="1335"/>
      <c r="C16" s="1571">
        <v>5</v>
      </c>
      <c r="D16" s="1335" t="s">
        <v>3984</v>
      </c>
      <c r="E16" s="1335"/>
      <c r="F16" s="1335"/>
      <c r="G16" s="1335"/>
      <c r="H16" s="1335"/>
      <c r="I16" s="1335"/>
      <c r="J16" s="3811"/>
      <c r="K16" s="3812"/>
    </row>
    <row r="17" spans="1:13" ht="14.25" customHeight="1">
      <c r="A17" s="1335"/>
      <c r="B17" s="1335"/>
      <c r="C17" s="1572">
        <v>6</v>
      </c>
      <c r="D17" s="1338" t="s">
        <v>3985</v>
      </c>
      <c r="E17" s="1338"/>
      <c r="F17" s="1338"/>
      <c r="G17" s="1338"/>
      <c r="H17" s="1338"/>
      <c r="I17" s="1338"/>
      <c r="J17" s="3892"/>
      <c r="K17" s="3893"/>
    </row>
    <row r="18" spans="1:13" ht="7.15" customHeight="1">
      <c r="A18" s="3822"/>
      <c r="B18" s="3822"/>
      <c r="C18" s="3822"/>
      <c r="D18" s="3823"/>
      <c r="E18" s="3823"/>
      <c r="F18" s="3823"/>
      <c r="G18" s="3823"/>
      <c r="H18" s="3823"/>
      <c r="I18" s="3823"/>
      <c r="J18" s="3823"/>
      <c r="K18" s="1357"/>
    </row>
    <row r="19" spans="1:13" ht="14.25" customHeight="1">
      <c r="A19" s="1335"/>
      <c r="B19" s="1335"/>
      <c r="C19" s="1570">
        <v>7</v>
      </c>
      <c r="D19" s="1358" t="s">
        <v>3986</v>
      </c>
      <c r="E19" s="1358"/>
      <c r="F19" s="1358"/>
      <c r="G19" s="1358"/>
      <c r="H19" s="1358"/>
      <c r="I19" s="1358"/>
      <c r="J19" s="3890" t="str">
        <f>IF(J17="No",J14-J15,IF(J17="Yes",J14-J15-J16,"Error"))</f>
        <v>Error</v>
      </c>
      <c r="K19" s="3891"/>
    </row>
    <row r="20" spans="1:13" ht="14.25" customHeight="1">
      <c r="A20" s="1335"/>
      <c r="B20" s="1335"/>
      <c r="C20" s="1572">
        <v>8</v>
      </c>
      <c r="D20" s="1338" t="s">
        <v>3987</v>
      </c>
      <c r="E20" s="1338"/>
      <c r="F20" s="1338"/>
      <c r="G20" s="1338"/>
      <c r="H20" s="1338"/>
      <c r="I20" s="1338"/>
      <c r="J20" s="3888" t="e">
        <f>ROUNDDOWN(J19/J8,2)</f>
        <v>#VALUE!</v>
      </c>
      <c r="K20" s="3889"/>
    </row>
    <row r="21" spans="1:13" ht="7.15" customHeight="1">
      <c r="A21" s="3822"/>
      <c r="B21" s="3822"/>
      <c r="C21" s="3822"/>
      <c r="D21" s="3823"/>
      <c r="E21" s="3823"/>
      <c r="F21" s="3823"/>
      <c r="G21" s="3823"/>
      <c r="H21" s="3823"/>
      <c r="I21" s="3823"/>
      <c r="J21" s="3823"/>
      <c r="K21" s="1357"/>
    </row>
    <row r="22" spans="1:13" ht="14.25" customHeight="1" thickBot="1">
      <c r="A22" s="1335"/>
      <c r="B22" s="1335"/>
      <c r="C22" s="1569">
        <v>9</v>
      </c>
      <c r="D22" s="1359" t="s">
        <v>3988</v>
      </c>
      <c r="E22" s="1359"/>
      <c r="F22" s="1359"/>
      <c r="G22" s="1359"/>
      <c r="H22" s="1359"/>
      <c r="I22" s="1359"/>
      <c r="J22" s="3886" t="e">
        <f>J11/J19</f>
        <v>#VALUE!</v>
      </c>
      <c r="K22" s="3887"/>
    </row>
    <row r="23" spans="1:13" ht="9" customHeight="1">
      <c r="A23" s="1344"/>
      <c r="C23" s="1345"/>
      <c r="D23" s="1345"/>
      <c r="E23" s="1345"/>
      <c r="F23" s="1345"/>
      <c r="G23" s="1345"/>
      <c r="H23" s="1345"/>
      <c r="I23" s="1345"/>
      <c r="J23" s="1345"/>
      <c r="K23" s="1346"/>
    </row>
    <row r="24" spans="1:13" ht="18.75">
      <c r="A24" s="1347" t="s">
        <v>3989</v>
      </c>
      <c r="C24" s="1345"/>
      <c r="D24" s="1345"/>
      <c r="E24" s="1345"/>
      <c r="F24" s="1345"/>
      <c r="G24" s="1345"/>
      <c r="H24" s="1345"/>
      <c r="I24" s="1345"/>
      <c r="J24" s="1345"/>
      <c r="K24" s="1346"/>
    </row>
    <row r="25" spans="1:13" ht="14.25" customHeight="1">
      <c r="A25" s="1399" t="s">
        <v>4020</v>
      </c>
      <c r="C25" s="1345"/>
      <c r="D25" s="1345"/>
      <c r="E25" s="1345"/>
      <c r="F25" s="1345"/>
      <c r="G25" s="1345"/>
      <c r="H25" s="1345"/>
      <c r="I25" s="1345"/>
      <c r="J25" s="1345"/>
      <c r="K25" s="1346"/>
    </row>
    <row r="26" spans="1:13" ht="14.25" customHeight="1">
      <c r="A26" s="1399" t="s">
        <v>4021</v>
      </c>
      <c r="C26" s="1345"/>
      <c r="D26" s="1345"/>
      <c r="E26" s="1345"/>
      <c r="F26" s="1345"/>
      <c r="G26" s="1345"/>
      <c r="H26" s="1345"/>
      <c r="I26" s="1345"/>
      <c r="J26" s="1345"/>
      <c r="K26" s="1346"/>
    </row>
    <row r="27" spans="1:13" ht="14.25" customHeight="1">
      <c r="A27" s="1399" t="s">
        <v>4022</v>
      </c>
      <c r="C27" s="1345"/>
      <c r="D27" s="1345"/>
      <c r="E27" s="1345"/>
      <c r="F27" s="1345"/>
      <c r="G27" s="1345"/>
      <c r="H27" s="1345"/>
      <c r="I27" s="1345"/>
      <c r="J27" s="1345"/>
      <c r="K27" s="1346"/>
    </row>
    <row r="28" spans="1:13" ht="14.25" customHeight="1">
      <c r="A28" s="1399" t="s">
        <v>4023</v>
      </c>
      <c r="C28" s="1345"/>
      <c r="D28" s="1345"/>
      <c r="E28" s="1345"/>
      <c r="F28" s="1345"/>
      <c r="G28" s="1345"/>
      <c r="H28" s="1345"/>
      <c r="I28" s="1345"/>
      <c r="J28" s="1345"/>
      <c r="K28" s="1346"/>
    </row>
    <row r="29" spans="1:13" ht="9" customHeight="1">
      <c r="A29" s="1345"/>
      <c r="C29" s="1345"/>
      <c r="D29" s="1345"/>
      <c r="E29" s="1345"/>
      <c r="F29" s="1345"/>
      <c r="G29" s="1345"/>
      <c r="H29" s="1345"/>
      <c r="I29" s="1345"/>
      <c r="J29" s="1345"/>
      <c r="K29" s="1346"/>
    </row>
    <row r="30" spans="1:13">
      <c r="A30" s="3844" t="s">
        <v>4019</v>
      </c>
      <c r="B30" s="3845"/>
      <c r="C30" s="3845"/>
      <c r="D30" s="3845"/>
      <c r="E30" s="3845"/>
      <c r="F30" s="3845"/>
      <c r="G30" s="3845"/>
      <c r="H30" s="3845"/>
      <c r="I30" s="3845"/>
      <c r="J30" s="3845"/>
      <c r="K30" s="3846"/>
    </row>
    <row r="31" spans="1:13">
      <c r="B31" s="3847" t="s">
        <v>6179</v>
      </c>
      <c r="C31" s="3847"/>
      <c r="D31" s="3847"/>
      <c r="E31" s="3847"/>
      <c r="F31" s="3847"/>
      <c r="G31" s="3848" t="s">
        <v>3990</v>
      </c>
      <c r="H31" s="3849"/>
      <c r="I31" s="3849"/>
      <c r="J31" s="3849"/>
      <c r="K31" s="3850"/>
    </row>
    <row r="32" spans="1:13" ht="56.25" customHeight="1">
      <c r="A32" s="1353"/>
      <c r="B32" s="1371" t="s">
        <v>4018</v>
      </c>
      <c r="C32" s="1372" t="s">
        <v>4014</v>
      </c>
      <c r="D32" s="1372" t="s">
        <v>4013</v>
      </c>
      <c r="E32" s="3851" t="s">
        <v>6104</v>
      </c>
      <c r="F32" s="3852"/>
      <c r="G32" s="1373" t="s">
        <v>3991</v>
      </c>
      <c r="H32" s="1373" t="s">
        <v>3992</v>
      </c>
      <c r="J32" s="1373" t="s">
        <v>3993</v>
      </c>
      <c r="K32" s="1373" t="s">
        <v>3994</v>
      </c>
      <c r="L32" s="3839" t="s">
        <v>3995</v>
      </c>
      <c r="M32" s="3839"/>
    </row>
    <row r="33" spans="2:14" ht="12.75" customHeight="1">
      <c r="B33" s="1560"/>
      <c r="C33" s="1561"/>
      <c r="D33" s="1562"/>
      <c r="E33" s="3840"/>
      <c r="F33" s="3841"/>
      <c r="G33" s="1389" t="e">
        <f t="shared" ref="G33:G51" si="0">$J$22*B33</f>
        <v>#VALUE!</v>
      </c>
      <c r="H33" s="1390" t="e">
        <f>ROUNDUP(G33,0)</f>
        <v>#VALUE!</v>
      </c>
      <c r="I33" s="1391"/>
      <c r="J33" s="1392" t="e">
        <f t="shared" ref="J33:J51" si="1">$J$20*E33</f>
        <v>#VALUE!</v>
      </c>
      <c r="K33" s="1392" t="e">
        <f t="shared" ref="K33:K51" si="2">ROUNDDOWN(J33*H33,0)</f>
        <v>#VALUE!</v>
      </c>
      <c r="L33" s="3839"/>
      <c r="M33" s="3839"/>
    </row>
    <row r="34" spans="2:14" ht="12.75" customHeight="1">
      <c r="B34" s="1563"/>
      <c r="C34" s="1564"/>
      <c r="D34" s="1565"/>
      <c r="E34" s="3842"/>
      <c r="F34" s="3843"/>
      <c r="G34" s="1393" t="e">
        <f t="shared" si="0"/>
        <v>#VALUE!</v>
      </c>
      <c r="H34" s="1394" t="e">
        <f t="shared" ref="H34:H51" si="3">ROUNDUP(G34,0)</f>
        <v>#VALUE!</v>
      </c>
      <c r="I34" s="1391"/>
      <c r="J34" s="1395" t="e">
        <f t="shared" si="1"/>
        <v>#VALUE!</v>
      </c>
      <c r="K34" s="1395" t="e">
        <f t="shared" si="2"/>
        <v>#VALUE!</v>
      </c>
      <c r="L34" s="3839"/>
      <c r="M34" s="3839"/>
    </row>
    <row r="35" spans="2:14" ht="12.75" customHeight="1">
      <c r="B35" s="1563"/>
      <c r="C35" s="1564"/>
      <c r="D35" s="1565"/>
      <c r="E35" s="3842"/>
      <c r="F35" s="3843"/>
      <c r="G35" s="1393" t="e">
        <f t="shared" si="0"/>
        <v>#VALUE!</v>
      </c>
      <c r="H35" s="1394" t="e">
        <f t="shared" si="3"/>
        <v>#VALUE!</v>
      </c>
      <c r="I35" s="1391"/>
      <c r="J35" s="1395" t="e">
        <f t="shared" si="1"/>
        <v>#VALUE!</v>
      </c>
      <c r="K35" s="1395" t="e">
        <f t="shared" si="2"/>
        <v>#VALUE!</v>
      </c>
      <c r="L35" s="3839"/>
      <c r="M35" s="3839"/>
    </row>
    <row r="36" spans="2:14" ht="12.75" customHeight="1">
      <c r="B36" s="1563"/>
      <c r="C36" s="1564"/>
      <c r="D36" s="1565"/>
      <c r="E36" s="3842"/>
      <c r="F36" s="3843"/>
      <c r="G36" s="1393" t="e">
        <f t="shared" si="0"/>
        <v>#VALUE!</v>
      </c>
      <c r="H36" s="1394" t="e">
        <f t="shared" si="3"/>
        <v>#VALUE!</v>
      </c>
      <c r="I36" s="1391"/>
      <c r="J36" s="1395" t="e">
        <f t="shared" si="1"/>
        <v>#VALUE!</v>
      </c>
      <c r="K36" s="1395" t="e">
        <f t="shared" si="2"/>
        <v>#VALUE!</v>
      </c>
      <c r="L36" s="3839"/>
      <c r="M36" s="3839"/>
      <c r="N36" s="1348"/>
    </row>
    <row r="37" spans="2:14" ht="12.75" customHeight="1">
      <c r="B37" s="1563"/>
      <c r="C37" s="1564"/>
      <c r="D37" s="1565"/>
      <c r="E37" s="3842"/>
      <c r="F37" s="3843"/>
      <c r="G37" s="1393" t="e">
        <f t="shared" si="0"/>
        <v>#VALUE!</v>
      </c>
      <c r="H37" s="1394" t="e">
        <f t="shared" si="3"/>
        <v>#VALUE!</v>
      </c>
      <c r="I37" s="1391"/>
      <c r="J37" s="1395" t="e">
        <f t="shared" si="1"/>
        <v>#VALUE!</v>
      </c>
      <c r="K37" s="1395" t="e">
        <f t="shared" si="2"/>
        <v>#VALUE!</v>
      </c>
      <c r="L37" s="3839"/>
      <c r="M37" s="3839"/>
    </row>
    <row r="38" spans="2:14" ht="12.75" customHeight="1">
      <c r="B38" s="1563"/>
      <c r="C38" s="1564"/>
      <c r="D38" s="1565"/>
      <c r="E38" s="3842"/>
      <c r="F38" s="3843"/>
      <c r="G38" s="1393" t="e">
        <f t="shared" si="0"/>
        <v>#VALUE!</v>
      </c>
      <c r="H38" s="1394" t="e">
        <f t="shared" si="3"/>
        <v>#VALUE!</v>
      </c>
      <c r="I38" s="1391"/>
      <c r="J38" s="1395" t="e">
        <f t="shared" si="1"/>
        <v>#VALUE!</v>
      </c>
      <c r="K38" s="1395" t="e">
        <f t="shared" si="2"/>
        <v>#VALUE!</v>
      </c>
      <c r="L38" s="3839"/>
      <c r="M38" s="3839"/>
    </row>
    <row r="39" spans="2:14" ht="12.75" customHeight="1">
      <c r="B39" s="1563"/>
      <c r="C39" s="1564"/>
      <c r="D39" s="1565"/>
      <c r="E39" s="3842"/>
      <c r="F39" s="3843"/>
      <c r="G39" s="1393" t="e">
        <f t="shared" si="0"/>
        <v>#VALUE!</v>
      </c>
      <c r="H39" s="1394" t="e">
        <f t="shared" si="3"/>
        <v>#VALUE!</v>
      </c>
      <c r="I39" s="1391"/>
      <c r="J39" s="1395" t="e">
        <f t="shared" si="1"/>
        <v>#VALUE!</v>
      </c>
      <c r="K39" s="1395" t="e">
        <f t="shared" si="2"/>
        <v>#VALUE!</v>
      </c>
      <c r="L39" s="3839"/>
      <c r="M39" s="3839"/>
    </row>
    <row r="40" spans="2:14" ht="12.75" customHeight="1">
      <c r="B40" s="1563"/>
      <c r="C40" s="1564"/>
      <c r="D40" s="1565"/>
      <c r="E40" s="3842"/>
      <c r="F40" s="3843"/>
      <c r="G40" s="1393" t="e">
        <f t="shared" si="0"/>
        <v>#VALUE!</v>
      </c>
      <c r="H40" s="1394" t="e">
        <f t="shared" si="3"/>
        <v>#VALUE!</v>
      </c>
      <c r="I40" s="1391"/>
      <c r="J40" s="1395" t="e">
        <f t="shared" si="1"/>
        <v>#VALUE!</v>
      </c>
      <c r="K40" s="1395" t="e">
        <f t="shared" si="2"/>
        <v>#VALUE!</v>
      </c>
      <c r="L40" s="3839"/>
      <c r="M40" s="3839"/>
    </row>
    <row r="41" spans="2:14" ht="12.75" customHeight="1">
      <c r="B41" s="1563"/>
      <c r="C41" s="1564"/>
      <c r="D41" s="1565"/>
      <c r="E41" s="3842"/>
      <c r="F41" s="3843"/>
      <c r="G41" s="1393" t="e">
        <f t="shared" si="0"/>
        <v>#VALUE!</v>
      </c>
      <c r="H41" s="1394" t="e">
        <f t="shared" si="3"/>
        <v>#VALUE!</v>
      </c>
      <c r="I41" s="1391"/>
      <c r="J41" s="1395" t="e">
        <f t="shared" si="1"/>
        <v>#VALUE!</v>
      </c>
      <c r="K41" s="1395" t="e">
        <f t="shared" si="2"/>
        <v>#VALUE!</v>
      </c>
      <c r="L41" s="3839"/>
      <c r="M41" s="3839"/>
    </row>
    <row r="42" spans="2:14" ht="12.75" customHeight="1">
      <c r="B42" s="1563"/>
      <c r="C42" s="1564"/>
      <c r="D42" s="1565"/>
      <c r="E42" s="3842"/>
      <c r="F42" s="3843"/>
      <c r="G42" s="1393" t="e">
        <f t="shared" si="0"/>
        <v>#VALUE!</v>
      </c>
      <c r="H42" s="1394" t="e">
        <f t="shared" si="3"/>
        <v>#VALUE!</v>
      </c>
      <c r="I42" s="1391"/>
      <c r="J42" s="1395" t="e">
        <f t="shared" si="1"/>
        <v>#VALUE!</v>
      </c>
      <c r="K42" s="1395" t="e">
        <f t="shared" si="2"/>
        <v>#VALUE!</v>
      </c>
      <c r="L42" s="3839"/>
      <c r="M42" s="3839"/>
    </row>
    <row r="43" spans="2:14" ht="12.75" customHeight="1">
      <c r="B43" s="1563"/>
      <c r="C43" s="1564"/>
      <c r="D43" s="1565"/>
      <c r="E43" s="3842"/>
      <c r="F43" s="3843"/>
      <c r="G43" s="1393" t="e">
        <f t="shared" si="0"/>
        <v>#VALUE!</v>
      </c>
      <c r="H43" s="1394" t="e">
        <f t="shared" si="3"/>
        <v>#VALUE!</v>
      </c>
      <c r="I43" s="1391"/>
      <c r="J43" s="1395" t="e">
        <f t="shared" si="1"/>
        <v>#VALUE!</v>
      </c>
      <c r="K43" s="1395" t="e">
        <f t="shared" si="2"/>
        <v>#VALUE!</v>
      </c>
      <c r="L43" s="3839"/>
      <c r="M43" s="3839"/>
    </row>
    <row r="44" spans="2:14" ht="12.75" customHeight="1">
      <c r="B44" s="1563"/>
      <c r="C44" s="1564"/>
      <c r="D44" s="1565"/>
      <c r="E44" s="3842"/>
      <c r="F44" s="3843"/>
      <c r="G44" s="1393" t="e">
        <f t="shared" si="0"/>
        <v>#VALUE!</v>
      </c>
      <c r="H44" s="1394" t="e">
        <f t="shared" si="3"/>
        <v>#VALUE!</v>
      </c>
      <c r="I44" s="1391"/>
      <c r="J44" s="1395" t="e">
        <f t="shared" si="1"/>
        <v>#VALUE!</v>
      </c>
      <c r="K44" s="1395" t="e">
        <f t="shared" si="2"/>
        <v>#VALUE!</v>
      </c>
      <c r="L44" s="3839"/>
      <c r="M44" s="3839"/>
    </row>
    <row r="45" spans="2:14" ht="12.75" customHeight="1">
      <c r="B45" s="1563"/>
      <c r="C45" s="1564"/>
      <c r="D45" s="1565"/>
      <c r="E45" s="3842"/>
      <c r="F45" s="3843"/>
      <c r="G45" s="1393" t="e">
        <f t="shared" si="0"/>
        <v>#VALUE!</v>
      </c>
      <c r="H45" s="1394" t="e">
        <f t="shared" si="3"/>
        <v>#VALUE!</v>
      </c>
      <c r="I45" s="1391"/>
      <c r="J45" s="1395" t="e">
        <f t="shared" si="1"/>
        <v>#VALUE!</v>
      </c>
      <c r="K45" s="1395" t="e">
        <f t="shared" si="2"/>
        <v>#VALUE!</v>
      </c>
      <c r="L45" s="3839"/>
      <c r="M45" s="3839"/>
    </row>
    <row r="46" spans="2:14" ht="12.75" customHeight="1">
      <c r="B46" s="1563"/>
      <c r="C46" s="1564"/>
      <c r="D46" s="1565"/>
      <c r="E46" s="3842"/>
      <c r="F46" s="3843"/>
      <c r="G46" s="1393" t="e">
        <f t="shared" si="0"/>
        <v>#VALUE!</v>
      </c>
      <c r="H46" s="1394" t="e">
        <f t="shared" si="3"/>
        <v>#VALUE!</v>
      </c>
      <c r="I46" s="1391"/>
      <c r="J46" s="1395" t="e">
        <f t="shared" si="1"/>
        <v>#VALUE!</v>
      </c>
      <c r="K46" s="1395" t="e">
        <f t="shared" si="2"/>
        <v>#VALUE!</v>
      </c>
      <c r="L46" s="3839"/>
      <c r="M46" s="3839"/>
    </row>
    <row r="47" spans="2:14" ht="12.75" customHeight="1">
      <c r="B47" s="1563"/>
      <c r="C47" s="1564"/>
      <c r="D47" s="1565"/>
      <c r="E47" s="3842"/>
      <c r="F47" s="3843"/>
      <c r="G47" s="1393" t="e">
        <f t="shared" si="0"/>
        <v>#VALUE!</v>
      </c>
      <c r="H47" s="1394" t="e">
        <f t="shared" si="3"/>
        <v>#VALUE!</v>
      </c>
      <c r="I47" s="1391"/>
      <c r="J47" s="1395" t="e">
        <f t="shared" si="1"/>
        <v>#VALUE!</v>
      </c>
      <c r="K47" s="1395" t="e">
        <f t="shared" si="2"/>
        <v>#VALUE!</v>
      </c>
      <c r="L47" s="3839"/>
      <c r="M47" s="3839"/>
    </row>
    <row r="48" spans="2:14" ht="12.75" customHeight="1">
      <c r="B48" s="1563"/>
      <c r="C48" s="1564"/>
      <c r="D48" s="1565"/>
      <c r="E48" s="3842"/>
      <c r="F48" s="3843"/>
      <c r="G48" s="1393" t="e">
        <f t="shared" si="0"/>
        <v>#VALUE!</v>
      </c>
      <c r="H48" s="1394" t="e">
        <f t="shared" si="3"/>
        <v>#VALUE!</v>
      </c>
      <c r="I48" s="1391"/>
      <c r="J48" s="1395" t="e">
        <f t="shared" si="1"/>
        <v>#VALUE!</v>
      </c>
      <c r="K48" s="1395" t="e">
        <f t="shared" si="2"/>
        <v>#VALUE!</v>
      </c>
      <c r="L48" s="3839"/>
      <c r="M48" s="3839"/>
    </row>
    <row r="49" spans="1:13" ht="12.75" customHeight="1">
      <c r="B49" s="1563"/>
      <c r="C49" s="1564"/>
      <c r="D49" s="1565"/>
      <c r="E49" s="3842"/>
      <c r="F49" s="3843"/>
      <c r="G49" s="1393" t="e">
        <f t="shared" si="0"/>
        <v>#VALUE!</v>
      </c>
      <c r="H49" s="1394" t="e">
        <f t="shared" si="3"/>
        <v>#VALUE!</v>
      </c>
      <c r="I49" s="1391"/>
      <c r="J49" s="1395" t="e">
        <f t="shared" si="1"/>
        <v>#VALUE!</v>
      </c>
      <c r="K49" s="1395" t="e">
        <f t="shared" si="2"/>
        <v>#VALUE!</v>
      </c>
      <c r="L49" s="3839"/>
      <c r="M49" s="3839"/>
    </row>
    <row r="50" spans="1:13" ht="12.75" customHeight="1">
      <c r="B50" s="1563"/>
      <c r="C50" s="1564"/>
      <c r="D50" s="1565"/>
      <c r="E50" s="3842"/>
      <c r="F50" s="3843"/>
      <c r="G50" s="1393" t="e">
        <f t="shared" si="0"/>
        <v>#VALUE!</v>
      </c>
      <c r="H50" s="1394" t="e">
        <f t="shared" si="3"/>
        <v>#VALUE!</v>
      </c>
      <c r="I50" s="1391"/>
      <c r="J50" s="1395" t="e">
        <f t="shared" si="1"/>
        <v>#VALUE!</v>
      </c>
      <c r="K50" s="1395" t="e">
        <f t="shared" si="2"/>
        <v>#VALUE!</v>
      </c>
      <c r="L50" s="3839"/>
      <c r="M50" s="3839"/>
    </row>
    <row r="51" spans="1:13" ht="12.75" customHeight="1" thickBot="1">
      <c r="B51" s="1566"/>
      <c r="C51" s="1567"/>
      <c r="D51" s="1568"/>
      <c r="E51" s="3856"/>
      <c r="F51" s="3857"/>
      <c r="G51" s="1396" t="e">
        <f t="shared" si="0"/>
        <v>#VALUE!</v>
      </c>
      <c r="H51" s="1397" t="e">
        <f t="shared" si="3"/>
        <v>#VALUE!</v>
      </c>
      <c r="I51" s="1391"/>
      <c r="J51" s="1398" t="e">
        <f t="shared" si="1"/>
        <v>#VALUE!</v>
      </c>
      <c r="K51" s="1398" t="e">
        <f t="shared" si="2"/>
        <v>#VALUE!</v>
      </c>
      <c r="L51" s="3839"/>
      <c r="M51" s="3839"/>
    </row>
    <row r="52" spans="1:13" ht="15" customHeight="1" thickBot="1">
      <c r="B52" s="1364"/>
      <c r="D52" s="1358"/>
      <c r="E52" s="1358"/>
      <c r="F52" s="1358"/>
      <c r="G52" s="1375" t="s">
        <v>3996</v>
      </c>
      <c r="H52" s="1374" t="e">
        <f>SUM(H33:H51)</f>
        <v>#VALUE!</v>
      </c>
      <c r="I52" s="1358"/>
      <c r="J52" s="1364" t="s">
        <v>3997</v>
      </c>
      <c r="K52" s="1360" t="e">
        <f>SUM(K33:K51)</f>
        <v>#VALUE!</v>
      </c>
      <c r="L52" s="3839"/>
      <c r="M52" s="3839"/>
    </row>
    <row r="53" spans="1:13" ht="15" customHeight="1">
      <c r="B53" s="1365"/>
      <c r="C53" s="3858" t="s">
        <v>3998</v>
      </c>
      <c r="D53" s="3858"/>
      <c r="E53" s="3858"/>
      <c r="F53" s="3858"/>
      <c r="G53" s="3858"/>
      <c r="H53" s="3858"/>
      <c r="I53" s="3858"/>
      <c r="J53" s="3859"/>
      <c r="K53" s="1366" t="str">
        <f>IF(J17="no",0,IF(J17="yes",J16,"Error"))</f>
        <v>Error</v>
      </c>
      <c r="L53" s="3839"/>
      <c r="M53" s="3839"/>
    </row>
    <row r="54" spans="1:13" ht="15" customHeight="1" thickBot="1">
      <c r="B54" s="1365"/>
      <c r="C54" s="3860" t="s">
        <v>3999</v>
      </c>
      <c r="D54" s="3860"/>
      <c r="E54" s="3860"/>
      <c r="F54" s="3860"/>
      <c r="G54" s="3860"/>
      <c r="H54" s="3860"/>
      <c r="I54" s="3860"/>
      <c r="J54" s="3861"/>
      <c r="K54" s="1377" t="e">
        <f>K52+K53</f>
        <v>#VALUE!</v>
      </c>
    </row>
    <row r="55" spans="1:13" ht="7.9" customHeight="1">
      <c r="A55" s="3862"/>
      <c r="B55" s="3863"/>
      <c r="C55" s="3863"/>
      <c r="D55" s="3863"/>
      <c r="E55" s="3863"/>
      <c r="F55" s="3863"/>
      <c r="G55" s="3863"/>
      <c r="H55" s="3863"/>
      <c r="I55" s="3863"/>
      <c r="J55" s="3863"/>
      <c r="K55" s="1388"/>
    </row>
    <row r="56" spans="1:13" ht="15" customHeight="1">
      <c r="A56" s="3853" t="s">
        <v>4000</v>
      </c>
      <c r="B56" s="3854"/>
      <c r="C56" s="3854"/>
      <c r="D56" s="3854"/>
      <c r="E56" s="3854"/>
      <c r="F56" s="3854"/>
      <c r="G56" s="3854"/>
      <c r="H56" s="3854"/>
      <c r="I56" s="3854"/>
      <c r="J56" s="3854"/>
      <c r="K56" s="3855"/>
    </row>
    <row r="57" spans="1:13" ht="48" customHeight="1">
      <c r="A57" s="1350"/>
      <c r="B57" s="1341"/>
      <c r="C57" s="1352" t="s">
        <v>4001</v>
      </c>
      <c r="D57" s="1485" t="s">
        <v>6069</v>
      </c>
      <c r="E57" s="3864" t="s">
        <v>4017</v>
      </c>
      <c r="F57" s="3865"/>
      <c r="G57" s="3866" t="s">
        <v>4002</v>
      </c>
      <c r="H57" s="3867"/>
      <c r="I57" s="3864" t="s">
        <v>4016</v>
      </c>
      <c r="J57" s="3865"/>
      <c r="K57" s="3868"/>
    </row>
    <row r="58" spans="1:13" ht="15" customHeight="1">
      <c r="A58" s="1467"/>
      <c r="B58" s="1383"/>
      <c r="C58" s="1361">
        <f>SUMIF(C33:C51, "0", H33:H51)</f>
        <v>0</v>
      </c>
      <c r="D58" s="1486">
        <f t="shared" ref="D58:D63" si="4">ROUNDUP(C58*1.1,0)</f>
        <v>0</v>
      </c>
      <c r="E58" s="3870" t="s">
        <v>4003</v>
      </c>
      <c r="F58" s="3871"/>
      <c r="G58" s="3872">
        <v>153314.4</v>
      </c>
      <c r="H58" s="3873"/>
      <c r="I58" s="3874">
        <f t="shared" ref="I58:I63" si="5">D58*G58</f>
        <v>0</v>
      </c>
      <c r="J58" s="3874"/>
      <c r="K58" s="3869"/>
    </row>
    <row r="59" spans="1:13">
      <c r="A59" s="1467"/>
      <c r="B59" s="1383"/>
      <c r="C59" s="1362">
        <f>SUMIF(C33:C51, "1", H33:H51)</f>
        <v>0</v>
      </c>
      <c r="D59" s="1487">
        <f t="shared" si="4"/>
        <v>0</v>
      </c>
      <c r="E59" s="3875" t="s">
        <v>2464</v>
      </c>
      <c r="F59" s="3876"/>
      <c r="G59" s="3877">
        <v>175752</v>
      </c>
      <c r="H59" s="3878"/>
      <c r="I59" s="3879">
        <f t="shared" si="5"/>
        <v>0</v>
      </c>
      <c r="J59" s="3879"/>
      <c r="K59" s="3869"/>
    </row>
    <row r="60" spans="1:13" ht="15" customHeight="1">
      <c r="A60" s="1467"/>
      <c r="B60" s="1383"/>
      <c r="C60" s="1362">
        <f>SUMIF(C33:C51, "2", H33:H51)</f>
        <v>0</v>
      </c>
      <c r="D60" s="1487">
        <f t="shared" si="4"/>
        <v>0</v>
      </c>
      <c r="E60" s="3875" t="s">
        <v>2465</v>
      </c>
      <c r="F60" s="3876"/>
      <c r="G60" s="3877">
        <v>213717.6</v>
      </c>
      <c r="H60" s="3878"/>
      <c r="I60" s="3879">
        <f t="shared" si="5"/>
        <v>0</v>
      </c>
      <c r="J60" s="3879"/>
      <c r="K60" s="3869"/>
    </row>
    <row r="61" spans="1:13">
      <c r="A61" s="1467"/>
      <c r="B61" s="1383"/>
      <c r="C61" s="1362">
        <f>SUMIF(C33:C51, "3", H33:H51)</f>
        <v>0</v>
      </c>
      <c r="D61" s="1487">
        <f t="shared" si="4"/>
        <v>0</v>
      </c>
      <c r="E61" s="3875" t="s">
        <v>2468</v>
      </c>
      <c r="F61" s="3876"/>
      <c r="G61" s="3877">
        <v>276482.40000000002</v>
      </c>
      <c r="H61" s="3878"/>
      <c r="I61" s="3879">
        <f t="shared" si="5"/>
        <v>0</v>
      </c>
      <c r="J61" s="3879"/>
      <c r="K61" s="3869"/>
    </row>
    <row r="62" spans="1:13">
      <c r="A62" s="1467"/>
      <c r="B62" s="1383"/>
      <c r="C62" s="1362">
        <f>SUMIF(C33:C51, "4", H33:H51)</f>
        <v>0</v>
      </c>
      <c r="D62" s="1487">
        <f t="shared" si="4"/>
        <v>0</v>
      </c>
      <c r="E62" s="3875" t="s">
        <v>4004</v>
      </c>
      <c r="F62" s="3876"/>
      <c r="G62" s="3877">
        <v>303489.59999999998</v>
      </c>
      <c r="H62" s="3878"/>
      <c r="I62" s="3879">
        <f t="shared" si="5"/>
        <v>0</v>
      </c>
      <c r="J62" s="3879"/>
      <c r="K62" s="3869"/>
    </row>
    <row r="63" spans="1:13">
      <c r="A63" s="1484"/>
      <c r="B63" s="1384"/>
      <c r="C63" s="1363">
        <f>SUMIF(C33:C51, "5", H33:H51)</f>
        <v>0</v>
      </c>
      <c r="D63" s="1488">
        <f t="shared" si="4"/>
        <v>0</v>
      </c>
      <c r="E63" s="3881" t="s">
        <v>4005</v>
      </c>
      <c r="F63" s="3882"/>
      <c r="G63" s="3883">
        <v>303489.59999999998</v>
      </c>
      <c r="H63" s="3884"/>
      <c r="I63" s="3885">
        <f t="shared" si="5"/>
        <v>0</v>
      </c>
      <c r="J63" s="3885"/>
      <c r="K63" s="1386"/>
    </row>
    <row r="64" spans="1:13" ht="17.25" thickBot="1">
      <c r="A64" s="1483" t="s">
        <v>4006</v>
      </c>
      <c r="B64" s="1379">
        <f>SUM(C58:C63)</f>
        <v>0</v>
      </c>
      <c r="C64" s="1489"/>
      <c r="D64" s="1489">
        <f>SUM(D58:D63)</f>
        <v>0</v>
      </c>
      <c r="E64" s="1482"/>
      <c r="F64" s="1482"/>
      <c r="G64" s="1482"/>
      <c r="H64" s="1482"/>
      <c r="I64" s="1482"/>
      <c r="J64" s="1468" t="s">
        <v>4007</v>
      </c>
      <c r="K64" s="1378">
        <f>SUM(I58:I62)</f>
        <v>0</v>
      </c>
    </row>
    <row r="65" spans="1:11">
      <c r="A65" s="3863"/>
      <c r="B65" s="3863"/>
      <c r="C65" s="3863"/>
      <c r="D65" s="3863"/>
      <c r="E65" s="3863"/>
      <c r="F65" s="3863"/>
      <c r="G65" s="3863"/>
      <c r="H65" s="3863"/>
      <c r="I65" s="3863"/>
      <c r="J65" s="3863"/>
    </row>
    <row r="66" spans="1:11">
      <c r="A66" s="3853" t="s">
        <v>4008</v>
      </c>
      <c r="B66" s="3854"/>
      <c r="C66" s="3854"/>
      <c r="D66" s="3854"/>
      <c r="E66" s="3854"/>
      <c r="F66" s="3854"/>
      <c r="G66" s="3854"/>
      <c r="H66" s="3854"/>
      <c r="I66" s="3854"/>
      <c r="J66" s="3854"/>
      <c r="K66" s="3855"/>
    </row>
    <row r="67" spans="1:11" ht="15" customHeight="1">
      <c r="A67" s="1380"/>
      <c r="B67" s="1340"/>
      <c r="C67" s="1340"/>
      <c r="D67" s="1340"/>
      <c r="E67" s="1340" t="s">
        <v>4009</v>
      </c>
      <c r="F67" s="1340"/>
      <c r="G67" s="1340"/>
      <c r="H67" s="1340"/>
      <c r="I67" s="1340"/>
      <c r="J67" s="1341"/>
      <c r="K67" s="1349">
        <f>J11</f>
        <v>0</v>
      </c>
    </row>
    <row r="68" spans="1:11">
      <c r="A68" s="1381"/>
      <c r="E68" s="1329" t="s">
        <v>4010</v>
      </c>
      <c r="J68" s="1383"/>
      <c r="K68" s="1349" t="e">
        <f>K54</f>
        <v>#VALUE!</v>
      </c>
    </row>
    <row r="69" spans="1:11" ht="17.25" thickBot="1">
      <c r="A69" s="1382"/>
      <c r="B69" s="1342"/>
      <c r="C69" s="1342"/>
      <c r="D69" s="1342"/>
      <c r="E69" s="1342" t="s">
        <v>4011</v>
      </c>
      <c r="F69" s="1342"/>
      <c r="G69" s="1342"/>
      <c r="H69" s="1342"/>
      <c r="I69" s="1342"/>
      <c r="J69" s="1384"/>
      <c r="K69" s="1387">
        <f>K64</f>
        <v>0</v>
      </c>
    </row>
    <row r="70" spans="1:11" ht="17.25" thickBot="1">
      <c r="A70" s="1351"/>
      <c r="B70" s="1343"/>
      <c r="C70" s="3880" t="s">
        <v>4012</v>
      </c>
      <c r="D70" s="3880"/>
      <c r="E70" s="3880"/>
      <c r="F70" s="3880"/>
      <c r="G70" s="3880"/>
      <c r="H70" s="3880"/>
      <c r="I70" s="3880"/>
      <c r="J70" s="3880"/>
      <c r="K70" s="1385" t="e">
        <f>IF(ISBLANK(J11),MIN(K68:K69),MIN(K67:K69))</f>
        <v>#VALUE!</v>
      </c>
    </row>
    <row r="71" spans="1:11">
      <c r="E71" s="1329"/>
    </row>
    <row r="72" spans="1:11">
      <c r="E72" s="1329"/>
    </row>
    <row r="73" spans="1:11">
      <c r="E73" s="1329"/>
    </row>
    <row r="74" spans="1:11">
      <c r="E74" s="1329"/>
    </row>
    <row r="75" spans="1:11">
      <c r="E75" s="1329"/>
    </row>
    <row r="76" spans="1:11">
      <c r="E76" s="1329"/>
    </row>
    <row r="77" spans="1:11">
      <c r="E77" s="1329"/>
    </row>
    <row r="78" spans="1:11">
      <c r="E78" s="1329"/>
    </row>
    <row r="79" spans="1:11">
      <c r="E79" s="1329"/>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J8" sqref="J8:K8"/>
    </sheetView>
  </sheetViews>
  <sheetFormatPr defaultColWidth="9.140625" defaultRowHeight="16.5"/>
  <cols>
    <col min="1" max="1" width="5.42578125" style="1329" customWidth="1"/>
    <col min="2" max="2" width="6.28515625" style="1329" customWidth="1"/>
    <col min="3" max="3" width="9.85546875" style="1329" customWidth="1"/>
    <col min="4" max="4" width="10.42578125" style="1329" customWidth="1"/>
    <col min="5" max="5" width="7.7109375" style="1333" customWidth="1"/>
    <col min="6" max="6" width="8" style="1329" customWidth="1"/>
    <col min="7" max="7" width="8.7109375" style="1329" customWidth="1"/>
    <col min="8" max="8" width="10.28515625" style="1329" customWidth="1"/>
    <col min="9" max="9" width="10.7109375" style="1329" customWidth="1"/>
    <col min="10" max="10" width="11.7109375" style="1329" customWidth="1"/>
    <col min="11" max="11" width="11.85546875" style="1329" customWidth="1"/>
    <col min="12" max="16384" width="9.140625" style="1329"/>
  </cols>
  <sheetData>
    <row r="1" spans="1:11" ht="18.75">
      <c r="A1" s="1376" t="s">
        <v>3971</v>
      </c>
      <c r="B1" s="1376"/>
      <c r="C1" s="1376"/>
      <c r="D1" s="1376"/>
      <c r="E1" s="1376"/>
      <c r="F1" s="1376"/>
      <c r="G1" s="1376"/>
      <c r="H1" s="1376"/>
    </row>
    <row r="2" spans="1:11" ht="19.5" thickBot="1">
      <c r="A2" s="1376" t="s">
        <v>3972</v>
      </c>
      <c r="B2" s="1376"/>
      <c r="C2" s="1376"/>
      <c r="D2" s="1376"/>
      <c r="E2" s="1376"/>
      <c r="F2" s="1376"/>
      <c r="G2" s="1376"/>
      <c r="H2" s="1376"/>
    </row>
    <row r="3" spans="1:11" ht="15" customHeight="1" thickBot="1">
      <c r="A3" s="1330" t="s">
        <v>3973</v>
      </c>
      <c r="B3" s="1331"/>
      <c r="C3" s="1332"/>
      <c r="D3" s="3827" t="str">
        <f>'Part I-Project Identification'!F29</f>
        <v>Harrison Village Apartments</v>
      </c>
      <c r="E3" s="3828"/>
      <c r="F3" s="3828"/>
      <c r="G3" s="3828"/>
      <c r="H3" s="3828"/>
      <c r="I3" s="3828"/>
      <c r="J3" s="3896" t="s">
        <v>3976</v>
      </c>
      <c r="K3" s="3897"/>
    </row>
    <row r="4" spans="1:11" ht="15" customHeight="1">
      <c r="A4" s="1334" t="s">
        <v>3974</v>
      </c>
      <c r="B4" s="1335"/>
      <c r="C4" s="1336"/>
      <c r="D4" s="3831">
        <f>'Preview term'!$E$16</f>
        <v>0</v>
      </c>
      <c r="E4" s="3832"/>
      <c r="F4" s="3832"/>
      <c r="G4" s="3832"/>
      <c r="H4" s="3832"/>
      <c r="I4" s="3832"/>
      <c r="J4" s="3833" t="s">
        <v>4015</v>
      </c>
      <c r="K4" s="3834"/>
    </row>
    <row r="5" spans="1:11" ht="15" customHeight="1" thickBot="1">
      <c r="A5" s="1337" t="s">
        <v>3975</v>
      </c>
      <c r="B5" s="1338"/>
      <c r="C5" s="1339"/>
      <c r="D5" s="3894"/>
      <c r="E5" s="3895"/>
      <c r="F5" s="3895"/>
      <c r="G5" s="3895"/>
      <c r="H5" s="3895"/>
      <c r="I5" s="3895"/>
      <c r="J5" s="3835"/>
      <c r="K5" s="3836"/>
    </row>
    <row r="6" spans="1:11" ht="9" customHeight="1" thickBot="1">
      <c r="E6" s="1329"/>
    </row>
    <row r="7" spans="1:11">
      <c r="A7" s="3819" t="s">
        <v>3977</v>
      </c>
      <c r="B7" s="3820"/>
      <c r="C7" s="3820"/>
      <c r="D7" s="3820"/>
      <c r="E7" s="3820"/>
      <c r="F7" s="3820"/>
      <c r="G7" s="3820"/>
      <c r="H7" s="3820"/>
      <c r="I7" s="3820"/>
      <c r="J7" s="3820"/>
      <c r="K7" s="3821"/>
    </row>
    <row r="8" spans="1:11" ht="14.25" customHeight="1">
      <c r="A8" s="1335"/>
      <c r="B8" s="1335"/>
      <c r="C8" s="1367">
        <v>1</v>
      </c>
      <c r="D8" s="1354" t="s">
        <v>3978</v>
      </c>
      <c r="E8" s="1354"/>
      <c r="F8" s="1354"/>
      <c r="G8" s="1354"/>
      <c r="H8" s="1354"/>
      <c r="I8" s="1354"/>
      <c r="J8" s="3911"/>
      <c r="K8" s="3912"/>
    </row>
    <row r="9" spans="1:11" ht="7.15" customHeight="1">
      <c r="A9" s="3822"/>
      <c r="B9" s="3822"/>
      <c r="C9" s="3822"/>
      <c r="D9" s="3823"/>
      <c r="E9" s="3823"/>
      <c r="F9" s="3823"/>
      <c r="G9" s="3823"/>
      <c r="H9" s="3823"/>
      <c r="I9" s="3823"/>
      <c r="J9" s="3823"/>
      <c r="K9" s="1355"/>
    </row>
    <row r="10" spans="1:11">
      <c r="A10" s="3824" t="s">
        <v>3979</v>
      </c>
      <c r="B10" s="3825"/>
      <c r="C10" s="3825"/>
      <c r="D10" s="3825"/>
      <c r="E10" s="3825"/>
      <c r="F10" s="3825"/>
      <c r="G10" s="3825"/>
      <c r="H10" s="3825"/>
      <c r="I10" s="3825"/>
      <c r="J10" s="3825"/>
      <c r="K10" s="3826"/>
    </row>
    <row r="11" spans="1:11" ht="14.25" customHeight="1">
      <c r="A11" s="1335"/>
      <c r="B11" s="1335"/>
      <c r="C11" s="1367">
        <v>2</v>
      </c>
      <c r="D11" s="1354" t="s">
        <v>3980</v>
      </c>
      <c r="E11" s="1356"/>
      <c r="F11" s="1356"/>
      <c r="G11" s="1356"/>
      <c r="H11" s="1356"/>
      <c r="I11" s="1356"/>
      <c r="J11" s="3909"/>
      <c r="K11" s="3910"/>
    </row>
    <row r="12" spans="1:11" ht="7.15" customHeight="1">
      <c r="A12" s="3822"/>
      <c r="B12" s="3822"/>
      <c r="C12" s="3822"/>
      <c r="D12" s="3823"/>
      <c r="E12" s="3823"/>
      <c r="F12" s="3823"/>
      <c r="G12" s="3823"/>
      <c r="H12" s="3823"/>
      <c r="I12" s="3823"/>
      <c r="J12" s="3823"/>
      <c r="K12" s="1357"/>
    </row>
    <row r="13" spans="1:11">
      <c r="A13" s="3824" t="s">
        <v>3981</v>
      </c>
      <c r="B13" s="3825"/>
      <c r="C13" s="3825"/>
      <c r="D13" s="3825"/>
      <c r="E13" s="3825"/>
      <c r="F13" s="3825"/>
      <c r="G13" s="3825"/>
      <c r="H13" s="3825"/>
      <c r="I13" s="3825"/>
      <c r="J13" s="3825"/>
      <c r="K13" s="3826"/>
    </row>
    <row r="14" spans="1:11" ht="14.25" customHeight="1">
      <c r="A14" s="1335"/>
      <c r="B14" s="1335"/>
      <c r="C14" s="1368">
        <v>3</v>
      </c>
      <c r="D14" s="1358" t="s">
        <v>3982</v>
      </c>
      <c r="E14" s="1358"/>
      <c r="F14" s="1358"/>
      <c r="G14" s="1358"/>
      <c r="H14" s="1358"/>
      <c r="I14" s="1358"/>
      <c r="J14" s="3907"/>
      <c r="K14" s="3908"/>
    </row>
    <row r="15" spans="1:11" ht="14.25" customHeight="1">
      <c r="A15" s="1335"/>
      <c r="B15" s="1335"/>
      <c r="C15" s="1369">
        <v>4</v>
      </c>
      <c r="D15" s="1335" t="s">
        <v>3983</v>
      </c>
      <c r="E15" s="1335"/>
      <c r="F15" s="1335"/>
      <c r="G15" s="1335"/>
      <c r="H15" s="1335"/>
      <c r="I15" s="1335"/>
      <c r="J15" s="3905"/>
      <c r="K15" s="3906"/>
    </row>
    <row r="16" spans="1:11" ht="14.25" customHeight="1">
      <c r="A16" s="1335"/>
      <c r="B16" s="1335"/>
      <c r="C16" s="1369">
        <v>5</v>
      </c>
      <c r="D16" s="1335" t="s">
        <v>3984</v>
      </c>
      <c r="E16" s="1335"/>
      <c r="F16" s="1335"/>
      <c r="G16" s="1335"/>
      <c r="H16" s="1335"/>
      <c r="I16" s="1335"/>
      <c r="J16" s="3905"/>
      <c r="K16" s="3906"/>
    </row>
    <row r="17" spans="1:13" ht="14.25" customHeight="1">
      <c r="A17" s="1335"/>
      <c r="B17" s="1335"/>
      <c r="C17" s="1370">
        <v>6</v>
      </c>
      <c r="D17" s="1338" t="s">
        <v>3985</v>
      </c>
      <c r="E17" s="1338"/>
      <c r="F17" s="1338"/>
      <c r="G17" s="1338"/>
      <c r="H17" s="1338"/>
      <c r="I17" s="1338"/>
      <c r="J17" s="3913"/>
      <c r="K17" s="3914"/>
    </row>
    <row r="18" spans="1:13" ht="7.15" customHeight="1">
      <c r="A18" s="3822"/>
      <c r="B18" s="3822"/>
      <c r="C18" s="3822"/>
      <c r="D18" s="3823"/>
      <c r="E18" s="3823"/>
      <c r="F18" s="3823"/>
      <c r="G18" s="3823"/>
      <c r="H18" s="3823"/>
      <c r="I18" s="3823"/>
      <c r="J18" s="3823"/>
      <c r="K18" s="1357"/>
    </row>
    <row r="19" spans="1:13" ht="14.25" customHeight="1">
      <c r="A19" s="1335"/>
      <c r="B19" s="1335"/>
      <c r="C19" s="1368">
        <v>7</v>
      </c>
      <c r="D19" s="1358" t="s">
        <v>3986</v>
      </c>
      <c r="E19" s="1358"/>
      <c r="F19" s="1358"/>
      <c r="G19" s="1358"/>
      <c r="H19" s="1358"/>
      <c r="I19" s="1358"/>
      <c r="J19" s="3890" t="str">
        <f>IF(J17="No",J14-J15,IF(J17="Yes",J14-J15-J16,"Error"))</f>
        <v>Error</v>
      </c>
      <c r="K19" s="3891"/>
    </row>
    <row r="20" spans="1:13" ht="14.25" customHeight="1">
      <c r="A20" s="1335"/>
      <c r="B20" s="1335"/>
      <c r="C20" s="1370">
        <v>8</v>
      </c>
      <c r="D20" s="1338" t="s">
        <v>3987</v>
      </c>
      <c r="E20" s="1338"/>
      <c r="F20" s="1338"/>
      <c r="G20" s="1338"/>
      <c r="H20" s="1338"/>
      <c r="I20" s="1338"/>
      <c r="J20" s="3888" t="e">
        <f>ROUNDDOWN(J19/J8,2)</f>
        <v>#VALUE!</v>
      </c>
      <c r="K20" s="3889"/>
    </row>
    <row r="21" spans="1:13" ht="7.15" customHeight="1">
      <c r="A21" s="3822"/>
      <c r="B21" s="3822"/>
      <c r="C21" s="3822"/>
      <c r="D21" s="3823"/>
      <c r="E21" s="3823"/>
      <c r="F21" s="3823"/>
      <c r="G21" s="3823"/>
      <c r="H21" s="3823"/>
      <c r="I21" s="3823"/>
      <c r="J21" s="3823"/>
      <c r="K21" s="1357"/>
    </row>
    <row r="22" spans="1:13" ht="14.25" customHeight="1" thickBot="1">
      <c r="A22" s="1335"/>
      <c r="B22" s="1335"/>
      <c r="C22" s="1367">
        <v>9</v>
      </c>
      <c r="D22" s="1359" t="s">
        <v>3988</v>
      </c>
      <c r="E22" s="1359"/>
      <c r="F22" s="1359"/>
      <c r="G22" s="1359"/>
      <c r="H22" s="1359"/>
      <c r="I22" s="1359"/>
      <c r="J22" s="3886" t="e">
        <f>J11/J19</f>
        <v>#VALUE!</v>
      </c>
      <c r="K22" s="3887"/>
    </row>
    <row r="23" spans="1:13" ht="9" customHeight="1">
      <c r="A23" s="1344"/>
      <c r="C23" s="1345"/>
      <c r="D23" s="1345"/>
      <c r="E23" s="1345"/>
      <c r="F23" s="1345"/>
      <c r="G23" s="1345"/>
      <c r="H23" s="1345"/>
      <c r="I23" s="1345"/>
      <c r="J23" s="1345"/>
      <c r="K23" s="1346"/>
    </row>
    <row r="24" spans="1:13" ht="18.75">
      <c r="A24" s="1347" t="s">
        <v>3989</v>
      </c>
      <c r="C24" s="1345"/>
      <c r="D24" s="1345"/>
      <c r="E24" s="1345"/>
      <c r="F24" s="1345"/>
      <c r="G24" s="1345"/>
      <c r="H24" s="1345"/>
      <c r="I24" s="1345"/>
      <c r="J24" s="1345"/>
      <c r="K24" s="1346"/>
    </row>
    <row r="25" spans="1:13" ht="14.25" customHeight="1">
      <c r="A25" s="1399" t="s">
        <v>4020</v>
      </c>
      <c r="C25" s="1345"/>
      <c r="D25" s="1345"/>
      <c r="E25" s="1345"/>
      <c r="F25" s="1345"/>
      <c r="G25" s="1345"/>
      <c r="H25" s="1345"/>
      <c r="I25" s="1345"/>
      <c r="J25" s="1345"/>
      <c r="K25" s="1346"/>
    </row>
    <row r="26" spans="1:13" ht="14.25" customHeight="1">
      <c r="A26" s="1399" t="s">
        <v>4021</v>
      </c>
      <c r="C26" s="1345"/>
      <c r="D26" s="1345"/>
      <c r="E26" s="1345"/>
      <c r="F26" s="1345"/>
      <c r="G26" s="1345"/>
      <c r="H26" s="1345"/>
      <c r="I26" s="1345"/>
      <c r="J26" s="1345"/>
      <c r="K26" s="1346"/>
    </row>
    <row r="27" spans="1:13" ht="14.25" customHeight="1">
      <c r="A27" s="1399" t="s">
        <v>4022</v>
      </c>
      <c r="C27" s="1345"/>
      <c r="D27" s="1345"/>
      <c r="E27" s="1345"/>
      <c r="F27" s="1345"/>
      <c r="G27" s="1345"/>
      <c r="H27" s="1345"/>
      <c r="I27" s="1345"/>
      <c r="J27" s="1345"/>
      <c r="K27" s="1346"/>
    </row>
    <row r="28" spans="1:13" ht="14.25" customHeight="1">
      <c r="A28" s="1399" t="s">
        <v>4023</v>
      </c>
      <c r="C28" s="1345"/>
      <c r="D28" s="1345"/>
      <c r="E28" s="1345"/>
      <c r="F28" s="1345"/>
      <c r="G28" s="1345"/>
      <c r="H28" s="1345"/>
      <c r="I28" s="1345"/>
      <c r="J28" s="1345"/>
      <c r="K28" s="1346"/>
    </row>
    <row r="29" spans="1:13" ht="9" customHeight="1">
      <c r="A29" s="1345"/>
      <c r="C29" s="1345"/>
      <c r="D29" s="1345"/>
      <c r="E29" s="1345"/>
      <c r="F29" s="1345"/>
      <c r="G29" s="1345"/>
      <c r="H29" s="1345"/>
      <c r="I29" s="1345"/>
      <c r="J29" s="1345"/>
      <c r="K29" s="1346"/>
    </row>
    <row r="30" spans="1:13">
      <c r="A30" s="3844" t="s">
        <v>4019</v>
      </c>
      <c r="B30" s="3845"/>
      <c r="C30" s="3845"/>
      <c r="D30" s="3845"/>
      <c r="E30" s="3845"/>
      <c r="F30" s="3845"/>
      <c r="G30" s="3845"/>
      <c r="H30" s="3845"/>
      <c r="I30" s="3845"/>
      <c r="J30" s="3845"/>
      <c r="K30" s="3846"/>
    </row>
    <row r="31" spans="1:13">
      <c r="B31" s="3902" t="s">
        <v>3976</v>
      </c>
      <c r="C31" s="3902"/>
      <c r="D31" s="3902"/>
      <c r="E31" s="3902"/>
      <c r="F31" s="3902"/>
      <c r="G31" s="3848" t="s">
        <v>3990</v>
      </c>
      <c r="H31" s="3849"/>
      <c r="I31" s="3849"/>
      <c r="J31" s="3849"/>
      <c r="K31" s="3850"/>
    </row>
    <row r="32" spans="1:13" ht="56.25" customHeight="1">
      <c r="A32" s="1353"/>
      <c r="B32" s="1371" t="s">
        <v>4018</v>
      </c>
      <c r="C32" s="1372" t="s">
        <v>4014</v>
      </c>
      <c r="D32" s="1372" t="s">
        <v>4013</v>
      </c>
      <c r="E32" s="3851" t="s">
        <v>6104</v>
      </c>
      <c r="F32" s="3852"/>
      <c r="G32" s="1373" t="s">
        <v>3991</v>
      </c>
      <c r="H32" s="1373" t="s">
        <v>3992</v>
      </c>
      <c r="J32" s="1373" t="s">
        <v>3993</v>
      </c>
      <c r="K32" s="1373" t="s">
        <v>3994</v>
      </c>
      <c r="L32" s="3839" t="s">
        <v>3995</v>
      </c>
      <c r="M32" s="3839"/>
    </row>
    <row r="33" spans="2:14" ht="12.75" customHeight="1">
      <c r="B33" s="1496"/>
      <c r="C33" s="1497"/>
      <c r="D33" s="1498"/>
      <c r="E33" s="3898"/>
      <c r="F33" s="3899"/>
      <c r="G33" s="1389" t="e">
        <f t="shared" ref="G33:G51" si="0">$J$22*B33</f>
        <v>#VALUE!</v>
      </c>
      <c r="H33" s="1390" t="e">
        <f>ROUNDUP(G33,0)</f>
        <v>#VALUE!</v>
      </c>
      <c r="I33" s="1391"/>
      <c r="J33" s="1392" t="e">
        <f t="shared" ref="J33:J51" si="1">$J$20*E33</f>
        <v>#VALUE!</v>
      </c>
      <c r="K33" s="1392" t="e">
        <f t="shared" ref="K33:K51" si="2">ROUNDDOWN(J33*H33,0)</f>
        <v>#VALUE!</v>
      </c>
      <c r="L33" s="3839"/>
      <c r="M33" s="3839"/>
    </row>
    <row r="34" spans="2:14" ht="12.75" customHeight="1">
      <c r="B34" s="1499"/>
      <c r="C34" s="1500"/>
      <c r="D34" s="1501"/>
      <c r="E34" s="3900"/>
      <c r="F34" s="3901"/>
      <c r="G34" s="1393" t="e">
        <f t="shared" si="0"/>
        <v>#VALUE!</v>
      </c>
      <c r="H34" s="1394" t="e">
        <f t="shared" ref="H34:H51" si="3">ROUNDUP(G34,0)</f>
        <v>#VALUE!</v>
      </c>
      <c r="I34" s="1391"/>
      <c r="J34" s="1395" t="e">
        <f t="shared" si="1"/>
        <v>#VALUE!</v>
      </c>
      <c r="K34" s="1395" t="e">
        <f t="shared" si="2"/>
        <v>#VALUE!</v>
      </c>
      <c r="L34" s="3839"/>
      <c r="M34" s="3839"/>
    </row>
    <row r="35" spans="2:14" ht="12.75" customHeight="1">
      <c r="B35" s="1499"/>
      <c r="C35" s="1500"/>
      <c r="D35" s="1501"/>
      <c r="E35" s="3900"/>
      <c r="F35" s="3901"/>
      <c r="G35" s="1393" t="e">
        <f t="shared" si="0"/>
        <v>#VALUE!</v>
      </c>
      <c r="H35" s="1394" t="e">
        <f t="shared" si="3"/>
        <v>#VALUE!</v>
      </c>
      <c r="I35" s="1391"/>
      <c r="J35" s="1395" t="e">
        <f t="shared" si="1"/>
        <v>#VALUE!</v>
      </c>
      <c r="K35" s="1395" t="e">
        <f t="shared" si="2"/>
        <v>#VALUE!</v>
      </c>
      <c r="L35" s="3839"/>
      <c r="M35" s="3839"/>
    </row>
    <row r="36" spans="2:14" ht="12.75" customHeight="1">
      <c r="B36" s="1499"/>
      <c r="C36" s="1500"/>
      <c r="D36" s="1501"/>
      <c r="E36" s="3900"/>
      <c r="F36" s="3901"/>
      <c r="G36" s="1393" t="e">
        <f t="shared" si="0"/>
        <v>#VALUE!</v>
      </c>
      <c r="H36" s="1394" t="e">
        <f t="shared" si="3"/>
        <v>#VALUE!</v>
      </c>
      <c r="I36" s="1391"/>
      <c r="J36" s="1395" t="e">
        <f t="shared" si="1"/>
        <v>#VALUE!</v>
      </c>
      <c r="K36" s="1395" t="e">
        <f t="shared" si="2"/>
        <v>#VALUE!</v>
      </c>
      <c r="L36" s="3839"/>
      <c r="M36" s="3839"/>
      <c r="N36" s="1348"/>
    </row>
    <row r="37" spans="2:14" ht="12.75" customHeight="1">
      <c r="B37" s="1499"/>
      <c r="C37" s="1500"/>
      <c r="D37" s="1501"/>
      <c r="E37" s="3900"/>
      <c r="F37" s="3901"/>
      <c r="G37" s="1393" t="e">
        <f t="shared" si="0"/>
        <v>#VALUE!</v>
      </c>
      <c r="H37" s="1394" t="e">
        <f t="shared" si="3"/>
        <v>#VALUE!</v>
      </c>
      <c r="I37" s="1391"/>
      <c r="J37" s="1395" t="e">
        <f t="shared" si="1"/>
        <v>#VALUE!</v>
      </c>
      <c r="K37" s="1395" t="e">
        <f t="shared" si="2"/>
        <v>#VALUE!</v>
      </c>
      <c r="L37" s="3839"/>
      <c r="M37" s="3839"/>
    </row>
    <row r="38" spans="2:14" ht="12.75" customHeight="1">
      <c r="B38" s="1499"/>
      <c r="C38" s="1500"/>
      <c r="D38" s="1501"/>
      <c r="E38" s="3900"/>
      <c r="F38" s="3901"/>
      <c r="G38" s="1393" t="e">
        <f t="shared" si="0"/>
        <v>#VALUE!</v>
      </c>
      <c r="H38" s="1394" t="e">
        <f t="shared" si="3"/>
        <v>#VALUE!</v>
      </c>
      <c r="I38" s="1391"/>
      <c r="J38" s="1395" t="e">
        <f t="shared" si="1"/>
        <v>#VALUE!</v>
      </c>
      <c r="K38" s="1395" t="e">
        <f t="shared" si="2"/>
        <v>#VALUE!</v>
      </c>
      <c r="L38" s="3839"/>
      <c r="M38" s="3839"/>
    </row>
    <row r="39" spans="2:14" ht="12.75" customHeight="1">
      <c r="B39" s="1499"/>
      <c r="C39" s="1500"/>
      <c r="D39" s="1501"/>
      <c r="E39" s="3900"/>
      <c r="F39" s="3901"/>
      <c r="G39" s="1393" t="e">
        <f t="shared" si="0"/>
        <v>#VALUE!</v>
      </c>
      <c r="H39" s="1394" t="e">
        <f t="shared" si="3"/>
        <v>#VALUE!</v>
      </c>
      <c r="I39" s="1391"/>
      <c r="J39" s="1395" t="e">
        <f t="shared" si="1"/>
        <v>#VALUE!</v>
      </c>
      <c r="K39" s="1395" t="e">
        <f t="shared" si="2"/>
        <v>#VALUE!</v>
      </c>
      <c r="L39" s="3839"/>
      <c r="M39" s="3839"/>
    </row>
    <row r="40" spans="2:14" ht="12.75" customHeight="1">
      <c r="B40" s="1499"/>
      <c r="C40" s="1500"/>
      <c r="D40" s="1501"/>
      <c r="E40" s="3900"/>
      <c r="F40" s="3901"/>
      <c r="G40" s="1393" t="e">
        <f t="shared" si="0"/>
        <v>#VALUE!</v>
      </c>
      <c r="H40" s="1394" t="e">
        <f t="shared" si="3"/>
        <v>#VALUE!</v>
      </c>
      <c r="I40" s="1391"/>
      <c r="J40" s="1395" t="e">
        <f t="shared" si="1"/>
        <v>#VALUE!</v>
      </c>
      <c r="K40" s="1395" t="e">
        <f t="shared" si="2"/>
        <v>#VALUE!</v>
      </c>
      <c r="L40" s="3839"/>
      <c r="M40" s="3839"/>
    </row>
    <row r="41" spans="2:14" ht="12.75" customHeight="1">
      <c r="B41" s="1499"/>
      <c r="C41" s="1500"/>
      <c r="D41" s="1501"/>
      <c r="E41" s="3900"/>
      <c r="F41" s="3901"/>
      <c r="G41" s="1393" t="e">
        <f t="shared" si="0"/>
        <v>#VALUE!</v>
      </c>
      <c r="H41" s="1394" t="e">
        <f t="shared" si="3"/>
        <v>#VALUE!</v>
      </c>
      <c r="I41" s="1391"/>
      <c r="J41" s="1395" t="e">
        <f t="shared" si="1"/>
        <v>#VALUE!</v>
      </c>
      <c r="K41" s="1395" t="e">
        <f t="shared" si="2"/>
        <v>#VALUE!</v>
      </c>
      <c r="L41" s="3839"/>
      <c r="M41" s="3839"/>
    </row>
    <row r="42" spans="2:14" ht="12.75" customHeight="1">
      <c r="B42" s="1499"/>
      <c r="C42" s="1500"/>
      <c r="D42" s="1501"/>
      <c r="E42" s="3900"/>
      <c r="F42" s="3901"/>
      <c r="G42" s="1393" t="e">
        <f t="shared" si="0"/>
        <v>#VALUE!</v>
      </c>
      <c r="H42" s="1394" t="e">
        <f>ROUNDUP(G42,0)</f>
        <v>#VALUE!</v>
      </c>
      <c r="I42" s="1391"/>
      <c r="J42" s="1395" t="e">
        <f t="shared" si="1"/>
        <v>#VALUE!</v>
      </c>
      <c r="K42" s="1395" t="e">
        <f t="shared" si="2"/>
        <v>#VALUE!</v>
      </c>
      <c r="L42" s="3839"/>
      <c r="M42" s="3839"/>
    </row>
    <row r="43" spans="2:14" ht="12.75" customHeight="1">
      <c r="B43" s="1499"/>
      <c r="C43" s="1500"/>
      <c r="D43" s="1501"/>
      <c r="E43" s="3900"/>
      <c r="F43" s="3901"/>
      <c r="G43" s="1393" t="e">
        <f t="shared" si="0"/>
        <v>#VALUE!</v>
      </c>
      <c r="H43" s="1394" t="e">
        <f>ROUNDUP(G43,0)</f>
        <v>#VALUE!</v>
      </c>
      <c r="I43" s="1391"/>
      <c r="J43" s="1395" t="e">
        <f t="shared" si="1"/>
        <v>#VALUE!</v>
      </c>
      <c r="K43" s="1395" t="e">
        <f t="shared" si="2"/>
        <v>#VALUE!</v>
      </c>
      <c r="L43" s="3839"/>
      <c r="M43" s="3839"/>
    </row>
    <row r="44" spans="2:14" ht="12.75" customHeight="1">
      <c r="B44" s="1499"/>
      <c r="C44" s="1500"/>
      <c r="D44" s="1501"/>
      <c r="E44" s="3900"/>
      <c r="F44" s="3901"/>
      <c r="G44" s="1393" t="e">
        <f t="shared" si="0"/>
        <v>#VALUE!</v>
      </c>
      <c r="H44" s="1394" t="e">
        <f>ROUNDUP(G44,0)</f>
        <v>#VALUE!</v>
      </c>
      <c r="I44" s="1391"/>
      <c r="J44" s="1395" t="e">
        <f t="shared" si="1"/>
        <v>#VALUE!</v>
      </c>
      <c r="K44" s="1395" t="e">
        <f t="shared" si="2"/>
        <v>#VALUE!</v>
      </c>
      <c r="L44" s="3839"/>
      <c r="M44" s="3839"/>
    </row>
    <row r="45" spans="2:14" ht="12.75" customHeight="1">
      <c r="B45" s="1499"/>
      <c r="C45" s="1500"/>
      <c r="D45" s="1501"/>
      <c r="E45" s="3900"/>
      <c r="F45" s="3901"/>
      <c r="G45" s="1393" t="e">
        <f t="shared" si="0"/>
        <v>#VALUE!</v>
      </c>
      <c r="H45" s="1394" t="e">
        <f>ROUNDUP(G45,0)</f>
        <v>#VALUE!</v>
      </c>
      <c r="I45" s="1391"/>
      <c r="J45" s="1395" t="e">
        <f t="shared" si="1"/>
        <v>#VALUE!</v>
      </c>
      <c r="K45" s="1395" t="e">
        <f t="shared" si="2"/>
        <v>#VALUE!</v>
      </c>
      <c r="L45" s="3839"/>
      <c r="M45" s="3839"/>
    </row>
    <row r="46" spans="2:14" ht="12.75" customHeight="1">
      <c r="B46" s="1499"/>
      <c r="C46" s="1500"/>
      <c r="D46" s="1501"/>
      <c r="E46" s="3900"/>
      <c r="F46" s="3901"/>
      <c r="G46" s="1393" t="e">
        <f t="shared" si="0"/>
        <v>#VALUE!</v>
      </c>
      <c r="H46" s="1394" t="e">
        <f t="shared" si="3"/>
        <v>#VALUE!</v>
      </c>
      <c r="I46" s="1391"/>
      <c r="J46" s="1395" t="e">
        <f t="shared" si="1"/>
        <v>#VALUE!</v>
      </c>
      <c r="K46" s="1395" t="e">
        <f t="shared" si="2"/>
        <v>#VALUE!</v>
      </c>
      <c r="L46" s="3839"/>
      <c r="M46" s="3839"/>
    </row>
    <row r="47" spans="2:14" ht="12.75" customHeight="1">
      <c r="B47" s="1499"/>
      <c r="C47" s="1500"/>
      <c r="D47" s="1501"/>
      <c r="E47" s="3900"/>
      <c r="F47" s="3901"/>
      <c r="G47" s="1393" t="e">
        <f t="shared" si="0"/>
        <v>#VALUE!</v>
      </c>
      <c r="H47" s="1394" t="e">
        <f t="shared" si="3"/>
        <v>#VALUE!</v>
      </c>
      <c r="I47" s="1391"/>
      <c r="J47" s="1395" t="e">
        <f t="shared" si="1"/>
        <v>#VALUE!</v>
      </c>
      <c r="K47" s="1395" t="e">
        <f t="shared" si="2"/>
        <v>#VALUE!</v>
      </c>
      <c r="L47" s="3839"/>
      <c r="M47" s="3839"/>
    </row>
    <row r="48" spans="2:14" ht="12.75" customHeight="1">
      <c r="B48" s="1499"/>
      <c r="C48" s="1500"/>
      <c r="D48" s="1501"/>
      <c r="E48" s="3900"/>
      <c r="F48" s="3901"/>
      <c r="G48" s="1393" t="e">
        <f t="shared" si="0"/>
        <v>#VALUE!</v>
      </c>
      <c r="H48" s="1394" t="e">
        <f>ROUNDUP(G48,0)</f>
        <v>#VALUE!</v>
      </c>
      <c r="I48" s="1391"/>
      <c r="J48" s="1395" t="e">
        <f t="shared" si="1"/>
        <v>#VALUE!</v>
      </c>
      <c r="K48" s="1395" t="e">
        <f t="shared" si="2"/>
        <v>#VALUE!</v>
      </c>
      <c r="L48" s="3839"/>
      <c r="M48" s="3839"/>
    </row>
    <row r="49" spans="1:13" ht="12.75" customHeight="1">
      <c r="B49" s="1499"/>
      <c r="C49" s="1500"/>
      <c r="D49" s="1501"/>
      <c r="E49" s="3900"/>
      <c r="F49" s="3901"/>
      <c r="G49" s="1393" t="e">
        <f t="shared" si="0"/>
        <v>#VALUE!</v>
      </c>
      <c r="H49" s="1394" t="e">
        <f t="shared" si="3"/>
        <v>#VALUE!</v>
      </c>
      <c r="I49" s="1391"/>
      <c r="J49" s="1395" t="e">
        <f t="shared" si="1"/>
        <v>#VALUE!</v>
      </c>
      <c r="K49" s="1395" t="e">
        <f t="shared" si="2"/>
        <v>#VALUE!</v>
      </c>
      <c r="L49" s="3839"/>
      <c r="M49" s="3839"/>
    </row>
    <row r="50" spans="1:13" ht="12.75" customHeight="1">
      <c r="B50" s="1499"/>
      <c r="C50" s="1500"/>
      <c r="D50" s="1501"/>
      <c r="E50" s="3900"/>
      <c r="F50" s="3901"/>
      <c r="G50" s="1393" t="e">
        <f t="shared" si="0"/>
        <v>#VALUE!</v>
      </c>
      <c r="H50" s="1394" t="e">
        <f t="shared" si="3"/>
        <v>#VALUE!</v>
      </c>
      <c r="I50" s="1391"/>
      <c r="J50" s="1395" t="e">
        <f t="shared" si="1"/>
        <v>#VALUE!</v>
      </c>
      <c r="K50" s="1395" t="e">
        <f t="shared" si="2"/>
        <v>#VALUE!</v>
      </c>
      <c r="L50" s="3839"/>
      <c r="M50" s="3839"/>
    </row>
    <row r="51" spans="1:13" ht="12.75" customHeight="1" thickBot="1">
      <c r="B51" s="1502"/>
      <c r="C51" s="1503"/>
      <c r="D51" s="1504"/>
      <c r="E51" s="3903"/>
      <c r="F51" s="3904"/>
      <c r="G51" s="1396" t="e">
        <f t="shared" si="0"/>
        <v>#VALUE!</v>
      </c>
      <c r="H51" s="1397" t="e">
        <f t="shared" si="3"/>
        <v>#VALUE!</v>
      </c>
      <c r="I51" s="1391"/>
      <c r="J51" s="1398" t="e">
        <f t="shared" si="1"/>
        <v>#VALUE!</v>
      </c>
      <c r="K51" s="1398" t="e">
        <f t="shared" si="2"/>
        <v>#VALUE!</v>
      </c>
      <c r="L51" s="3839"/>
      <c r="M51" s="3839"/>
    </row>
    <row r="52" spans="1:13" ht="15" customHeight="1" thickBot="1">
      <c r="B52" s="1364"/>
      <c r="D52" s="1358"/>
      <c r="E52" s="1358"/>
      <c r="F52" s="1358"/>
      <c r="G52" s="1375" t="s">
        <v>3996</v>
      </c>
      <c r="H52" s="1374" t="e">
        <f>SUM(H33:H51)</f>
        <v>#VALUE!</v>
      </c>
      <c r="I52" s="1358"/>
      <c r="J52" s="1364" t="s">
        <v>3997</v>
      </c>
      <c r="K52" s="1360" t="e">
        <f>SUM(K33:K51)</f>
        <v>#VALUE!</v>
      </c>
      <c r="L52" s="3839"/>
      <c r="M52" s="3839"/>
    </row>
    <row r="53" spans="1:13" ht="15" customHeight="1">
      <c r="B53" s="1365"/>
      <c r="C53" s="3858" t="s">
        <v>3998</v>
      </c>
      <c r="D53" s="3858"/>
      <c r="E53" s="3858"/>
      <c r="F53" s="3858"/>
      <c r="G53" s="3858"/>
      <c r="H53" s="3858"/>
      <c r="I53" s="3858"/>
      <c r="J53" s="3859"/>
      <c r="K53" s="1366" t="str">
        <f>IF(J17="no",0,IF(J17="yes",J16,"Error"))</f>
        <v>Error</v>
      </c>
      <c r="L53" s="3839"/>
      <c r="M53" s="3839"/>
    </row>
    <row r="54" spans="1:13" ht="15" customHeight="1" thickBot="1">
      <c r="B54" s="1365"/>
      <c r="C54" s="3860" t="s">
        <v>3999</v>
      </c>
      <c r="D54" s="3860"/>
      <c r="E54" s="3860"/>
      <c r="F54" s="3860"/>
      <c r="G54" s="3860"/>
      <c r="H54" s="3860"/>
      <c r="I54" s="3860"/>
      <c r="J54" s="3861"/>
      <c r="K54" s="1377" t="e">
        <f>K52+K53</f>
        <v>#VALUE!</v>
      </c>
    </row>
    <row r="55" spans="1:13" ht="7.9" customHeight="1">
      <c r="A55" s="3862"/>
      <c r="B55" s="3863"/>
      <c r="C55" s="3863"/>
      <c r="D55" s="3863"/>
      <c r="E55" s="3863"/>
      <c r="F55" s="3863"/>
      <c r="G55" s="3863"/>
      <c r="H55" s="3863"/>
      <c r="I55" s="3863"/>
      <c r="J55" s="3863"/>
      <c r="K55" s="1388"/>
    </row>
    <row r="56" spans="1:13" ht="15" customHeight="1">
      <c r="A56" s="3853" t="s">
        <v>4000</v>
      </c>
      <c r="B56" s="3854"/>
      <c r="C56" s="3854"/>
      <c r="D56" s="3854"/>
      <c r="E56" s="3854"/>
      <c r="F56" s="3854"/>
      <c r="G56" s="3854"/>
      <c r="H56" s="3854"/>
      <c r="I56" s="3854"/>
      <c r="J56" s="3854"/>
      <c r="K56" s="3855"/>
    </row>
    <row r="57" spans="1:13" ht="48" customHeight="1">
      <c r="A57" s="1350"/>
      <c r="B57" s="1341"/>
      <c r="C57" s="1352" t="s">
        <v>4001</v>
      </c>
      <c r="D57" s="1485" t="s">
        <v>6069</v>
      </c>
      <c r="E57" s="3864" t="s">
        <v>4017</v>
      </c>
      <c r="F57" s="3865"/>
      <c r="G57" s="3866" t="s">
        <v>4002</v>
      </c>
      <c r="H57" s="3867"/>
      <c r="I57" s="3864" t="s">
        <v>4016</v>
      </c>
      <c r="J57" s="3865"/>
      <c r="K57" s="3868"/>
    </row>
    <row r="58" spans="1:13" ht="15" customHeight="1">
      <c r="A58" s="1467"/>
      <c r="B58" s="1383"/>
      <c r="C58" s="1361">
        <f>SUMIF(C33:C51, "0", H33:H51)</f>
        <v>0</v>
      </c>
      <c r="D58" s="1486">
        <f t="shared" ref="D58:D63" si="4">ROUNDUP(C58*1.1,0)</f>
        <v>0</v>
      </c>
      <c r="E58" s="3870" t="s">
        <v>4003</v>
      </c>
      <c r="F58" s="3871"/>
      <c r="G58" s="3872">
        <v>153314.4</v>
      </c>
      <c r="H58" s="3873"/>
      <c r="I58" s="3874">
        <f t="shared" ref="I58:I63" si="5">D58*G58</f>
        <v>0</v>
      </c>
      <c r="J58" s="3874"/>
      <c r="K58" s="3869"/>
    </row>
    <row r="59" spans="1:13">
      <c r="A59" s="1467"/>
      <c r="B59" s="1383"/>
      <c r="C59" s="1362">
        <f>SUMIF(C33:C51, "1", H33:H51)</f>
        <v>0</v>
      </c>
      <c r="D59" s="1487">
        <f t="shared" si="4"/>
        <v>0</v>
      </c>
      <c r="E59" s="3875" t="s">
        <v>2464</v>
      </c>
      <c r="F59" s="3876"/>
      <c r="G59" s="3877">
        <v>175752</v>
      </c>
      <c r="H59" s="3878"/>
      <c r="I59" s="3879">
        <f t="shared" si="5"/>
        <v>0</v>
      </c>
      <c r="J59" s="3879"/>
      <c r="K59" s="3869"/>
    </row>
    <row r="60" spans="1:13" ht="15" customHeight="1">
      <c r="A60" s="1467"/>
      <c r="B60" s="1383"/>
      <c r="C60" s="1362">
        <f>SUMIF(C33:C51, "2", H33:H51)</f>
        <v>0</v>
      </c>
      <c r="D60" s="1487">
        <f t="shared" si="4"/>
        <v>0</v>
      </c>
      <c r="E60" s="3875" t="s">
        <v>2465</v>
      </c>
      <c r="F60" s="3876"/>
      <c r="G60" s="3877">
        <v>213717.6</v>
      </c>
      <c r="H60" s="3878"/>
      <c r="I60" s="3879">
        <f t="shared" si="5"/>
        <v>0</v>
      </c>
      <c r="J60" s="3879"/>
      <c r="K60" s="3869"/>
    </row>
    <row r="61" spans="1:13">
      <c r="A61" s="1467"/>
      <c r="B61" s="1383"/>
      <c r="C61" s="1362">
        <f>SUMIF(C33:C51, "3", H33:H51)</f>
        <v>0</v>
      </c>
      <c r="D61" s="1487">
        <f t="shared" si="4"/>
        <v>0</v>
      </c>
      <c r="E61" s="3875" t="s">
        <v>2468</v>
      </c>
      <c r="F61" s="3876"/>
      <c r="G61" s="3877">
        <v>276482.40000000002</v>
      </c>
      <c r="H61" s="3878"/>
      <c r="I61" s="3879">
        <f t="shared" si="5"/>
        <v>0</v>
      </c>
      <c r="J61" s="3879"/>
      <c r="K61" s="3869"/>
    </row>
    <row r="62" spans="1:13">
      <c r="A62" s="1467"/>
      <c r="B62" s="1383"/>
      <c r="C62" s="1362">
        <f>SUMIF(C33:C51, "4", H33:H51)</f>
        <v>0</v>
      </c>
      <c r="D62" s="1487">
        <f t="shared" si="4"/>
        <v>0</v>
      </c>
      <c r="E62" s="3875" t="s">
        <v>4004</v>
      </c>
      <c r="F62" s="3876"/>
      <c r="G62" s="3877">
        <v>303489.59999999998</v>
      </c>
      <c r="H62" s="3878"/>
      <c r="I62" s="3879">
        <f t="shared" si="5"/>
        <v>0</v>
      </c>
      <c r="J62" s="3879"/>
      <c r="K62" s="3869"/>
    </row>
    <row r="63" spans="1:13">
      <c r="A63" s="1484"/>
      <c r="B63" s="1384"/>
      <c r="C63" s="1363">
        <f>SUMIF(C33:C51, "5", H33:H51)</f>
        <v>0</v>
      </c>
      <c r="D63" s="1488">
        <f t="shared" si="4"/>
        <v>0</v>
      </c>
      <c r="E63" s="3881" t="s">
        <v>4005</v>
      </c>
      <c r="F63" s="3882"/>
      <c r="G63" s="3883">
        <v>303489.59999999998</v>
      </c>
      <c r="H63" s="3884"/>
      <c r="I63" s="3885">
        <f t="shared" si="5"/>
        <v>0</v>
      </c>
      <c r="J63" s="3885"/>
      <c r="K63" s="1386"/>
    </row>
    <row r="64" spans="1:13" ht="17.25" thickBot="1">
      <c r="A64" s="1483" t="s">
        <v>4006</v>
      </c>
      <c r="B64" s="1379">
        <f>SUM(C58:C63)</f>
        <v>0</v>
      </c>
      <c r="C64" s="1489"/>
      <c r="D64" s="1489">
        <f>SUM(D58:D63)</f>
        <v>0</v>
      </c>
      <c r="E64" s="1482"/>
      <c r="F64" s="1482"/>
      <c r="G64" s="1482"/>
      <c r="H64" s="1482"/>
      <c r="I64" s="1482"/>
      <c r="J64" s="1468" t="s">
        <v>4007</v>
      </c>
      <c r="K64" s="1378">
        <f>SUM(I58:I62)</f>
        <v>0</v>
      </c>
    </row>
    <row r="65" spans="1:11">
      <c r="A65" s="3863"/>
      <c r="B65" s="3863"/>
      <c r="C65" s="3863"/>
      <c r="D65" s="3863"/>
      <c r="E65" s="3863"/>
      <c r="F65" s="3863"/>
      <c r="G65" s="3863"/>
      <c r="H65" s="3863"/>
      <c r="I65" s="3863"/>
      <c r="J65" s="3863"/>
    </row>
    <row r="66" spans="1:11">
      <c r="A66" s="3853" t="s">
        <v>4008</v>
      </c>
      <c r="B66" s="3854"/>
      <c r="C66" s="3854"/>
      <c r="D66" s="3854"/>
      <c r="E66" s="3854"/>
      <c r="F66" s="3854"/>
      <c r="G66" s="3854"/>
      <c r="H66" s="3854"/>
      <c r="I66" s="3854"/>
      <c r="J66" s="3854"/>
      <c r="K66" s="3855"/>
    </row>
    <row r="67" spans="1:11" ht="15" customHeight="1">
      <c r="A67" s="1380"/>
      <c r="B67" s="1340"/>
      <c r="C67" s="1340"/>
      <c r="D67" s="1340"/>
      <c r="E67" s="1340" t="s">
        <v>4009</v>
      </c>
      <c r="F67" s="1340"/>
      <c r="G67" s="1340"/>
      <c r="H67" s="1340"/>
      <c r="I67" s="1340"/>
      <c r="J67" s="1341"/>
      <c r="K67" s="1349">
        <f>J11</f>
        <v>0</v>
      </c>
    </row>
    <row r="68" spans="1:11">
      <c r="A68" s="1381"/>
      <c r="E68" s="1329" t="s">
        <v>4010</v>
      </c>
      <c r="J68" s="1383"/>
      <c r="K68" s="1349" t="e">
        <f>K54</f>
        <v>#VALUE!</v>
      </c>
    </row>
    <row r="69" spans="1:11" ht="17.25" thickBot="1">
      <c r="A69" s="1382"/>
      <c r="B69" s="1342"/>
      <c r="C69" s="1342"/>
      <c r="D69" s="1342"/>
      <c r="E69" s="1342" t="s">
        <v>4011</v>
      </c>
      <c r="F69" s="1342"/>
      <c r="G69" s="1342"/>
      <c r="H69" s="1342"/>
      <c r="I69" s="1342"/>
      <c r="J69" s="1384"/>
      <c r="K69" s="1387">
        <f>K64</f>
        <v>0</v>
      </c>
    </row>
    <row r="70" spans="1:11" ht="17.25" thickBot="1">
      <c r="A70" s="1351"/>
      <c r="B70" s="1343"/>
      <c r="C70" s="3880" t="s">
        <v>4012</v>
      </c>
      <c r="D70" s="3880"/>
      <c r="E70" s="3880"/>
      <c r="F70" s="3880"/>
      <c r="G70" s="3880"/>
      <c r="H70" s="3880"/>
      <c r="I70" s="3880"/>
      <c r="J70" s="3880"/>
      <c r="K70" s="1385" t="e">
        <f>IF(ISBLANK(J11),MIN(K68:K69),MIN(K67:K69))</f>
        <v>#VALUE!</v>
      </c>
    </row>
    <row r="71" spans="1:11">
      <c r="E71" s="1329"/>
    </row>
    <row r="72" spans="1:11">
      <c r="E72" s="1329"/>
    </row>
    <row r="73" spans="1:11">
      <c r="E73" s="1329"/>
    </row>
    <row r="74" spans="1:11">
      <c r="E74" s="1329"/>
    </row>
    <row r="75" spans="1:11">
      <c r="E75" s="1329"/>
    </row>
    <row r="76" spans="1:11">
      <c r="E76" s="1329"/>
    </row>
    <row r="77" spans="1:11">
      <c r="E77" s="1329"/>
    </row>
    <row r="78" spans="1:11">
      <c r="E78" s="1329"/>
    </row>
    <row r="79" spans="1:11">
      <c r="E79" s="1329"/>
    </row>
  </sheetData>
  <sheetProtection algorithmName="SHA-512" hashValue="7pW5OYoOQfVE7D8VHHJWP0HqIzQiUjI9F+cNI+iv993XJjzbIPXcA5oPxJ6XqlUufJ+a2vmk1vIVdncE4kIY5w==" saltValue="F25cnLCf+vFhIHIzHjLWQ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432" customWidth="1"/>
    <col min="2" max="2" width="4.140625" style="432" customWidth="1"/>
    <col min="3" max="3" width="18.5703125" style="432" customWidth="1"/>
    <col min="4" max="4" width="2.85546875" style="432" customWidth="1"/>
    <col min="5" max="5" width="6.5703125" style="432" customWidth="1"/>
    <col min="6" max="6" width="39.140625" style="432" customWidth="1"/>
    <col min="7" max="8" width="8.42578125" style="432" customWidth="1"/>
    <col min="9" max="9" width="9.140625" style="432"/>
    <col min="10" max="10" width="14.140625" style="432" customWidth="1"/>
    <col min="11" max="16384" width="9.140625" style="432"/>
  </cols>
  <sheetData>
    <row r="1" spans="1:11">
      <c r="A1" s="560" t="s">
        <v>2884</v>
      </c>
      <c r="H1" s="614" t="str">
        <f>'Sensitivity Analysis'!C8</f>
        <v>Harrison Village Apartments</v>
      </c>
    </row>
    <row r="2" spans="1:11">
      <c r="A2" s="560" t="s">
        <v>2885</v>
      </c>
      <c r="H2" s="432" t="str">
        <f>'Sensitivity Analysis'!E8</f>
        <v>2022-522</v>
      </c>
    </row>
    <row r="3" spans="1:11" ht="3" customHeight="1"/>
    <row r="4" spans="1:11" ht="51.75" customHeight="1">
      <c r="A4" s="3915" t="s">
        <v>2981</v>
      </c>
      <c r="B4" s="3915"/>
      <c r="C4" s="3915"/>
      <c r="D4" s="3915"/>
      <c r="E4" s="3915"/>
      <c r="F4" s="3915"/>
      <c r="G4" s="3915"/>
      <c r="H4" s="3915"/>
      <c r="J4" s="1011">
        <f>SUM('Part VI-Pro Forma'!B15:B17)/12</f>
        <v>148352.50260000001</v>
      </c>
      <c r="K4" s="1010" t="s">
        <v>3667</v>
      </c>
    </row>
    <row r="5" spans="1:11" ht="1.5" customHeight="1"/>
    <row r="6" spans="1:11" ht="12.75" customHeight="1">
      <c r="B6" s="635" t="s">
        <v>2241</v>
      </c>
      <c r="C6" s="3915" t="s">
        <v>2886</v>
      </c>
      <c r="D6" s="3915"/>
      <c r="E6" s="3915"/>
      <c r="F6" s="3915"/>
      <c r="G6" s="3915"/>
      <c r="H6" s="3915"/>
    </row>
    <row r="7" spans="1:11" ht="12.75" customHeight="1">
      <c r="B7" s="635" t="s">
        <v>2242</v>
      </c>
      <c r="C7" s="3915" t="s">
        <v>2887</v>
      </c>
      <c r="D7" s="3915"/>
      <c r="E7" s="3915"/>
      <c r="F7" s="3915"/>
      <c r="G7" s="3915"/>
      <c r="H7" s="3915"/>
    </row>
    <row r="8" spans="1:11" ht="3" customHeight="1"/>
    <row r="9" spans="1:11">
      <c r="A9" s="432" t="s">
        <v>2888</v>
      </c>
    </row>
    <row r="10" spans="1:11" ht="1.5" customHeight="1"/>
    <row r="11" spans="1:11" ht="26.25" customHeight="1">
      <c r="A11" s="636" t="s">
        <v>1842</v>
      </c>
      <c r="B11" s="3917" t="s">
        <v>2978</v>
      </c>
      <c r="C11" s="3917"/>
      <c r="D11" s="3917"/>
      <c r="E11" s="3917"/>
      <c r="F11" s="3917"/>
      <c r="G11" s="3918">
        <f>'Part II-Sources of Funds'!I51+'Part II-Sources of Funds'!I52</f>
        <v>25848071</v>
      </c>
      <c r="H11" s="3918"/>
    </row>
    <row r="12" spans="1:11" ht="1.5" customHeight="1">
      <c r="G12" s="617"/>
      <c r="H12" s="617"/>
    </row>
    <row r="13" spans="1:11" ht="26.25" customHeight="1">
      <c r="A13" s="636" t="s">
        <v>1844</v>
      </c>
      <c r="B13" s="3917" t="s">
        <v>2979</v>
      </c>
      <c r="C13" s="3917"/>
      <c r="D13" s="3917"/>
      <c r="E13" s="3917"/>
      <c r="F13" s="3917"/>
      <c r="G13" s="3919" t="s">
        <v>2816</v>
      </c>
      <c r="H13" s="3919"/>
    </row>
    <row r="14" spans="1:11" ht="12" hidden="1" customHeight="1">
      <c r="A14" s="636"/>
      <c r="B14" s="3810"/>
      <c r="C14" s="3810"/>
      <c r="D14" s="3810"/>
      <c r="E14" s="3810"/>
      <c r="F14" s="3810"/>
      <c r="G14" s="3810"/>
      <c r="H14" s="3810"/>
    </row>
    <row r="15" spans="1:11" ht="1.5" customHeight="1"/>
    <row r="16" spans="1:11" ht="12" customHeight="1">
      <c r="A16" s="636" t="s">
        <v>698</v>
      </c>
      <c r="B16" s="432" t="s">
        <v>2982</v>
      </c>
      <c r="G16" s="3920" t="s">
        <v>2655</v>
      </c>
      <c r="H16" s="3920"/>
    </row>
    <row r="17" spans="1:8" ht="1.5" customHeight="1">
      <c r="G17" s="620"/>
    </row>
    <row r="18" spans="1:8" ht="12" customHeight="1">
      <c r="A18" s="636" t="s">
        <v>1963</v>
      </c>
      <c r="B18" s="617" t="s">
        <v>2980</v>
      </c>
      <c r="C18" s="636"/>
      <c r="D18" s="636"/>
      <c r="E18" s="636"/>
      <c r="G18" s="3810" t="s">
        <v>2517</v>
      </c>
      <c r="H18" s="3810"/>
    </row>
    <row r="19" spans="1:8" ht="12" hidden="1" customHeight="1">
      <c r="B19" s="3810"/>
      <c r="C19" s="3810"/>
      <c r="D19" s="3810"/>
      <c r="E19" s="3810"/>
      <c r="F19" s="3810"/>
      <c r="G19" s="3810"/>
      <c r="H19" s="3810"/>
    </row>
    <row r="20" spans="1:8" ht="13.5" customHeight="1"/>
    <row r="21" spans="1:8" ht="12" customHeight="1">
      <c r="A21" s="560" t="s">
        <v>2889</v>
      </c>
    </row>
    <row r="22" spans="1:8" ht="3" customHeight="1"/>
    <row r="23" spans="1:8" ht="24.75" customHeight="1">
      <c r="A23" s="3921" t="s">
        <v>4086</v>
      </c>
      <c r="B23" s="3921"/>
      <c r="C23" s="3921"/>
      <c r="D23" s="3921"/>
      <c r="E23" s="3921"/>
      <c r="F23" s="3921"/>
      <c r="G23" s="3921"/>
      <c r="H23" s="3921"/>
    </row>
    <row r="24" spans="1:8" ht="9" customHeight="1" thickBot="1">
      <c r="A24" s="611"/>
    </row>
    <row r="25" spans="1:8" ht="16.149999999999999" customHeight="1" thickBot="1">
      <c r="A25" s="3922">
        <v>20</v>
      </c>
      <c r="B25" s="3923"/>
      <c r="C25" s="1453" t="s">
        <v>976</v>
      </c>
    </row>
    <row r="26" spans="1:8" ht="9" customHeight="1">
      <c r="A26" s="611"/>
    </row>
    <row r="27" spans="1:8" ht="28.15" customHeight="1">
      <c r="A27" s="3915" t="s">
        <v>4091</v>
      </c>
      <c r="B27" s="3915"/>
      <c r="C27" s="3915"/>
      <c r="D27" s="3915"/>
      <c r="E27" s="3915"/>
      <c r="F27" s="3915"/>
      <c r="G27" s="3915"/>
      <c r="H27" s="3915"/>
    </row>
    <row r="28" spans="1:8" ht="9" customHeight="1">
      <c r="A28" s="611"/>
    </row>
    <row r="29" spans="1:8">
      <c r="A29" s="620" t="s">
        <v>2983</v>
      </c>
      <c r="B29" s="637" t="str">
        <f>IF('Part V-Revenues &amp; Expenses'!$K$62=0,"",'Part V-Revenues &amp; Expenses'!$K$62)</f>
        <v/>
      </c>
      <c r="C29" s="620" t="s">
        <v>4084</v>
      </c>
      <c r="D29" s="638" t="s">
        <v>4085</v>
      </c>
    </row>
    <row r="30" spans="1:8" ht="1.9" customHeight="1"/>
    <row r="31" spans="1:8" ht="12.75" customHeight="1">
      <c r="C31" s="617" t="s">
        <v>2890</v>
      </c>
      <c r="D31" s="639" t="s">
        <v>1845</v>
      </c>
      <c r="E31" s="640"/>
      <c r="F31" s="3915" t="s">
        <v>2891</v>
      </c>
      <c r="G31" s="3915"/>
      <c r="H31" s="3915"/>
    </row>
    <row r="32" spans="1:8" ht="12.75" customHeight="1">
      <c r="C32" s="641" t="s">
        <v>1276</v>
      </c>
      <c r="D32" s="639" t="s">
        <v>1847</v>
      </c>
      <c r="E32" s="3915" t="s">
        <v>2988</v>
      </c>
      <c r="F32" s="3915"/>
      <c r="G32" s="3915"/>
      <c r="H32" s="3915"/>
    </row>
    <row r="33" spans="1:11" ht="12.75" customHeight="1">
      <c r="C33" s="1451" t="s">
        <v>4089</v>
      </c>
      <c r="E33" s="3915" t="s">
        <v>3125</v>
      </c>
      <c r="F33" s="3915"/>
      <c r="G33" s="3915"/>
      <c r="H33" s="3915"/>
    </row>
    <row r="34" spans="1:11" ht="12.75" customHeight="1">
      <c r="C34" s="1452"/>
      <c r="D34" s="1450" t="s">
        <v>2987</v>
      </c>
      <c r="E34" s="3916" t="s">
        <v>3126</v>
      </c>
      <c r="F34" s="3916"/>
      <c r="G34" s="3916"/>
      <c r="H34" s="3916"/>
    </row>
    <row r="35" spans="1:11" ht="3" customHeight="1">
      <c r="D35" s="639"/>
      <c r="E35" s="1027"/>
      <c r="F35" s="1027"/>
      <c r="G35" s="1027"/>
      <c r="H35" s="1027"/>
    </row>
    <row r="36" spans="1:11" ht="12.75" customHeight="1">
      <c r="C36" s="617" t="s">
        <v>2890</v>
      </c>
      <c r="D36" s="639" t="s">
        <v>1845</v>
      </c>
      <c r="E36" s="640"/>
      <c r="F36" s="636" t="s">
        <v>2891</v>
      </c>
      <c r="G36" s="636"/>
      <c r="H36" s="636"/>
    </row>
    <row r="37" spans="1:11" ht="12.75" customHeight="1">
      <c r="C37" s="641" t="s">
        <v>1276</v>
      </c>
      <c r="D37" s="639" t="s">
        <v>1847</v>
      </c>
      <c r="E37" s="3915" t="s">
        <v>2988</v>
      </c>
      <c r="F37" s="3915"/>
      <c r="G37" s="3915"/>
      <c r="H37" s="3915"/>
    </row>
    <row r="38" spans="1:11" ht="12.75" customHeight="1">
      <c r="C38" s="1451" t="s">
        <v>4089</v>
      </c>
      <c r="E38" s="3915" t="s">
        <v>3125</v>
      </c>
      <c r="F38" s="3915"/>
      <c r="G38" s="3915"/>
      <c r="H38" s="3915"/>
    </row>
    <row r="39" spans="1:11" ht="12.75" customHeight="1">
      <c r="C39" s="1452"/>
      <c r="D39" s="1450" t="s">
        <v>2987</v>
      </c>
      <c r="E39" s="3916" t="s">
        <v>3126</v>
      </c>
      <c r="F39" s="3916"/>
      <c r="G39" s="3916"/>
      <c r="H39" s="3916"/>
    </row>
    <row r="40" spans="1:11" ht="3" customHeight="1">
      <c r="D40" s="639"/>
      <c r="E40" s="1027"/>
      <c r="F40" s="1027"/>
      <c r="G40" s="1027"/>
      <c r="H40" s="1027"/>
    </row>
    <row r="41" spans="1:11" ht="12.75" customHeight="1">
      <c r="C41" s="617" t="s">
        <v>2890</v>
      </c>
      <c r="D41" s="639" t="s">
        <v>1845</v>
      </c>
      <c r="E41" s="640"/>
      <c r="F41" s="636" t="s">
        <v>2891</v>
      </c>
      <c r="G41" s="636"/>
      <c r="H41" s="636"/>
    </row>
    <row r="42" spans="1:11" ht="12.75" customHeight="1">
      <c r="C42" s="641" t="s">
        <v>1276</v>
      </c>
      <c r="D42" s="639" t="s">
        <v>1847</v>
      </c>
      <c r="E42" s="3915" t="s">
        <v>2988</v>
      </c>
      <c r="F42" s="3915"/>
      <c r="G42" s="3915"/>
      <c r="H42" s="3915"/>
    </row>
    <row r="43" spans="1:11" ht="12.75" customHeight="1">
      <c r="C43" s="1451" t="s">
        <v>4089</v>
      </c>
      <c r="E43" s="3915" t="s">
        <v>3125</v>
      </c>
      <c r="F43" s="3915"/>
      <c r="G43" s="3915"/>
      <c r="H43" s="3915"/>
    </row>
    <row r="44" spans="1:11" ht="12.75" customHeight="1">
      <c r="C44" s="1452"/>
      <c r="D44" s="1450" t="s">
        <v>2987</v>
      </c>
      <c r="E44" s="3916" t="s">
        <v>3126</v>
      </c>
      <c r="F44" s="3916"/>
      <c r="G44" s="3916"/>
      <c r="H44" s="3916"/>
    </row>
    <row r="45" spans="1:11" ht="6" customHeight="1">
      <c r="D45" s="639"/>
      <c r="E45" s="1027"/>
      <c r="F45" s="1027"/>
      <c r="G45" s="1027"/>
      <c r="H45" s="1027"/>
    </row>
    <row r="46" spans="1:11">
      <c r="A46" s="620" t="s">
        <v>2983</v>
      </c>
      <c r="B46" s="637" t="str">
        <f>IF('Part V-Revenues &amp; Expenses'!$L$62=0,"",'Part V-Revenues &amp; Expenses'!$L$62)</f>
        <v/>
      </c>
      <c r="C46" s="620" t="s">
        <v>2984</v>
      </c>
      <c r="D46" s="638" t="s">
        <v>3127</v>
      </c>
    </row>
    <row r="47" spans="1:11" ht="1.9" customHeight="1">
      <c r="K47" s="610"/>
    </row>
    <row r="48" spans="1:11" ht="12.75" customHeight="1">
      <c r="C48" s="617" t="s">
        <v>2890</v>
      </c>
      <c r="D48" s="639" t="s">
        <v>1845</v>
      </c>
      <c r="E48" s="640"/>
      <c r="F48" s="636" t="s">
        <v>2891</v>
      </c>
      <c r="G48" s="636"/>
      <c r="H48" s="636"/>
      <c r="K48" s="610"/>
    </row>
    <row r="49" spans="1:11" ht="12.75" customHeight="1">
      <c r="C49" s="641" t="s">
        <v>1276</v>
      </c>
      <c r="D49" s="639" t="s">
        <v>1847</v>
      </c>
      <c r="E49" s="3915" t="s">
        <v>2988</v>
      </c>
      <c r="F49" s="3915"/>
      <c r="G49" s="3915"/>
      <c r="H49" s="3915"/>
      <c r="K49" s="610"/>
    </row>
    <row r="50" spans="1:11" ht="12.75" customHeight="1">
      <c r="C50" s="1451" t="s">
        <v>4089</v>
      </c>
      <c r="E50" s="3915" t="s">
        <v>3125</v>
      </c>
      <c r="F50" s="3915"/>
      <c r="G50" s="3915"/>
      <c r="H50" s="3915"/>
    </row>
    <row r="51" spans="1:11" ht="12.75" customHeight="1">
      <c r="C51" s="1452"/>
      <c r="D51" s="642" t="s">
        <v>2987</v>
      </c>
      <c r="E51" s="3915" t="s">
        <v>3126</v>
      </c>
      <c r="F51" s="3915"/>
      <c r="G51" s="3915"/>
      <c r="H51" s="3915"/>
    </row>
    <row r="52" spans="1:11" ht="3" customHeight="1">
      <c r="D52" s="639"/>
      <c r="E52" s="1027"/>
      <c r="F52" s="1027"/>
      <c r="G52" s="1027"/>
      <c r="H52" s="1027"/>
    </row>
    <row r="53" spans="1:11" ht="12.75" customHeight="1">
      <c r="C53" s="617" t="s">
        <v>2890</v>
      </c>
      <c r="D53" s="639" t="s">
        <v>1845</v>
      </c>
      <c r="E53" s="640"/>
      <c r="F53" s="636" t="s">
        <v>2891</v>
      </c>
      <c r="G53" s="636"/>
      <c r="H53" s="636"/>
    </row>
    <row r="54" spans="1:11" ht="12.75" customHeight="1">
      <c r="C54" s="641" t="s">
        <v>1276</v>
      </c>
      <c r="D54" s="639" t="s">
        <v>1847</v>
      </c>
      <c r="E54" s="3915" t="s">
        <v>2988</v>
      </c>
      <c r="F54" s="3915"/>
      <c r="G54" s="3915"/>
      <c r="H54" s="3915"/>
    </row>
    <row r="55" spans="1:11" ht="12.75" customHeight="1">
      <c r="C55" s="1451" t="s">
        <v>4089</v>
      </c>
      <c r="E55" s="3915" t="s">
        <v>3125</v>
      </c>
      <c r="F55" s="3915"/>
      <c r="G55" s="3915"/>
      <c r="H55" s="3915"/>
    </row>
    <row r="56" spans="1:11" ht="12.75" customHeight="1">
      <c r="C56" s="1452"/>
      <c r="D56" s="1450" t="s">
        <v>2987</v>
      </c>
      <c r="E56" s="3916" t="s">
        <v>3126</v>
      </c>
      <c r="F56" s="3916"/>
      <c r="G56" s="3916"/>
      <c r="H56" s="3916"/>
    </row>
    <row r="57" spans="1:11" ht="3" customHeight="1">
      <c r="D57" s="639"/>
      <c r="E57" s="1027"/>
      <c r="F57" s="1027"/>
      <c r="G57" s="1027"/>
      <c r="H57" s="1027"/>
    </row>
    <row r="58" spans="1:11" ht="12.75" customHeight="1">
      <c r="C58" s="617" t="s">
        <v>2890</v>
      </c>
      <c r="D58" s="639" t="s">
        <v>1845</v>
      </c>
      <c r="E58" s="640"/>
      <c r="F58" s="636" t="s">
        <v>2891</v>
      </c>
      <c r="G58" s="636"/>
      <c r="H58" s="636"/>
    </row>
    <row r="59" spans="1:11" ht="12.75" customHeight="1">
      <c r="C59" s="641" t="s">
        <v>1276</v>
      </c>
      <c r="D59" s="639" t="s">
        <v>1847</v>
      </c>
      <c r="E59" s="3915" t="s">
        <v>2988</v>
      </c>
      <c r="F59" s="3915"/>
      <c r="G59" s="3915"/>
      <c r="H59" s="3915"/>
    </row>
    <row r="60" spans="1:11" ht="12.75" customHeight="1">
      <c r="C60" s="1451" t="s">
        <v>4089</v>
      </c>
      <c r="E60" s="3915" t="s">
        <v>3125</v>
      </c>
      <c r="F60" s="3915"/>
      <c r="G60" s="3915"/>
      <c r="H60" s="3915"/>
    </row>
    <row r="61" spans="1:11" ht="12.75" customHeight="1">
      <c r="C61" s="1452"/>
      <c r="D61" s="1450" t="s">
        <v>2987</v>
      </c>
      <c r="E61" s="3916" t="s">
        <v>3126</v>
      </c>
      <c r="F61" s="3916"/>
      <c r="G61" s="3916"/>
      <c r="H61" s="3916"/>
    </row>
    <row r="62" spans="1:11" ht="6" customHeight="1">
      <c r="D62" s="639"/>
      <c r="E62" s="1027"/>
      <c r="F62" s="1027"/>
      <c r="G62" s="1027"/>
      <c r="H62" s="1027"/>
    </row>
    <row r="63" spans="1:11">
      <c r="A63" s="620" t="s">
        <v>2983</v>
      </c>
      <c r="B63" s="637" t="str">
        <f>IF('Part V-Revenues &amp; Expenses'!$M$62=0,"",'Part V-Revenues &amp; Expenses'!$M$62)</f>
        <v/>
      </c>
      <c r="C63" s="620" t="s">
        <v>2985</v>
      </c>
      <c r="D63" s="638" t="s">
        <v>3128</v>
      </c>
    </row>
    <row r="64" spans="1:11" ht="1.9" customHeight="1"/>
    <row r="65" spans="1:8" ht="12.75" customHeight="1">
      <c r="C65" s="617" t="s">
        <v>2890</v>
      </c>
      <c r="D65" s="639" t="s">
        <v>1845</v>
      </c>
      <c r="E65" s="640"/>
      <c r="F65" s="636" t="s">
        <v>2891</v>
      </c>
      <c r="G65" s="636"/>
      <c r="H65" s="636"/>
    </row>
    <row r="66" spans="1:8" ht="12.75" customHeight="1">
      <c r="C66" s="641" t="s">
        <v>1276</v>
      </c>
      <c r="D66" s="639" t="s">
        <v>1847</v>
      </c>
      <c r="E66" s="3915" t="s">
        <v>2988</v>
      </c>
      <c r="F66" s="3915"/>
      <c r="G66" s="3915"/>
      <c r="H66" s="3915"/>
    </row>
    <row r="67" spans="1:8" ht="12.75" customHeight="1">
      <c r="C67" s="1451" t="s">
        <v>4089</v>
      </c>
      <c r="E67" s="3915" t="s">
        <v>3125</v>
      </c>
      <c r="F67" s="3915"/>
      <c r="G67" s="3915"/>
      <c r="H67" s="3915"/>
    </row>
    <row r="68" spans="1:8" ht="12.75" customHeight="1">
      <c r="C68" s="1452"/>
      <c r="D68" s="642" t="s">
        <v>2987</v>
      </c>
      <c r="E68" s="3915" t="s">
        <v>3126</v>
      </c>
      <c r="F68" s="3915"/>
      <c r="G68" s="3915"/>
      <c r="H68" s="3915"/>
    </row>
    <row r="69" spans="1:8" ht="3" customHeight="1">
      <c r="D69" s="639"/>
      <c r="E69" s="1027"/>
      <c r="F69" s="1027"/>
      <c r="G69" s="1027"/>
      <c r="H69" s="1027"/>
    </row>
    <row r="70" spans="1:8" ht="12.75" customHeight="1">
      <c r="C70" s="617" t="s">
        <v>2890</v>
      </c>
      <c r="D70" s="639" t="s">
        <v>1845</v>
      </c>
      <c r="E70" s="640"/>
      <c r="F70" s="636" t="s">
        <v>2891</v>
      </c>
      <c r="G70" s="636"/>
      <c r="H70" s="636"/>
    </row>
    <row r="71" spans="1:8" ht="12.75" customHeight="1">
      <c r="C71" s="641" t="s">
        <v>1276</v>
      </c>
      <c r="D71" s="639" t="s">
        <v>1847</v>
      </c>
      <c r="E71" s="3915" t="s">
        <v>2988</v>
      </c>
      <c r="F71" s="3915"/>
      <c r="G71" s="3915"/>
      <c r="H71" s="3915"/>
    </row>
    <row r="72" spans="1:8" ht="12.75" customHeight="1">
      <c r="C72" s="1451" t="s">
        <v>4089</v>
      </c>
      <c r="E72" s="3915" t="s">
        <v>3125</v>
      </c>
      <c r="F72" s="3915"/>
      <c r="G72" s="3915"/>
      <c r="H72" s="3915"/>
    </row>
    <row r="73" spans="1:8" ht="12.75" customHeight="1">
      <c r="C73" s="1452"/>
      <c r="D73" s="1450" t="s">
        <v>2987</v>
      </c>
      <c r="E73" s="3916" t="s">
        <v>3126</v>
      </c>
      <c r="F73" s="3916"/>
      <c r="G73" s="3916"/>
      <c r="H73" s="3916"/>
    </row>
    <row r="74" spans="1:8" ht="3" customHeight="1">
      <c r="D74" s="639"/>
      <c r="E74" s="1027"/>
      <c r="F74" s="1027"/>
      <c r="G74" s="1027"/>
      <c r="H74" s="1027"/>
    </row>
    <row r="75" spans="1:8" ht="12.75" customHeight="1">
      <c r="C75" s="617" t="s">
        <v>2890</v>
      </c>
      <c r="D75" s="639" t="s">
        <v>1845</v>
      </c>
      <c r="E75" s="640"/>
      <c r="F75" s="636" t="s">
        <v>2891</v>
      </c>
      <c r="G75" s="636"/>
      <c r="H75" s="636"/>
    </row>
    <row r="76" spans="1:8" ht="12.75" customHeight="1">
      <c r="C76" s="641" t="s">
        <v>1276</v>
      </c>
      <c r="D76" s="639" t="s">
        <v>1847</v>
      </c>
      <c r="E76" s="3915" t="s">
        <v>2988</v>
      </c>
      <c r="F76" s="3915"/>
      <c r="G76" s="3915"/>
      <c r="H76" s="3915"/>
    </row>
    <row r="77" spans="1:8" ht="12.75" customHeight="1">
      <c r="C77" s="1451" t="s">
        <v>4089</v>
      </c>
      <c r="E77" s="3915" t="s">
        <v>3125</v>
      </c>
      <c r="F77" s="3915"/>
      <c r="G77" s="3915"/>
      <c r="H77" s="3915"/>
    </row>
    <row r="78" spans="1:8" ht="12.75" customHeight="1">
      <c r="C78" s="1452"/>
      <c r="D78" s="1450" t="s">
        <v>2987</v>
      </c>
      <c r="E78" s="3916" t="s">
        <v>3126</v>
      </c>
      <c r="F78" s="3916"/>
      <c r="G78" s="3916"/>
      <c r="H78" s="3916"/>
    </row>
    <row r="79" spans="1:8" ht="6" customHeight="1">
      <c r="D79" s="639"/>
      <c r="E79" s="1027"/>
      <c r="F79" s="1027"/>
      <c r="G79" s="1027"/>
      <c r="H79" s="1027"/>
    </row>
    <row r="80" spans="1:8">
      <c r="A80" s="620" t="s">
        <v>2983</v>
      </c>
      <c r="B80" s="637" t="str">
        <f>IF('Part V-Revenues &amp; Expenses'!$N$62=0,"",'Part V-Revenues &amp; Expenses'!$N$62)</f>
        <v/>
      </c>
      <c r="C80" s="620" t="s">
        <v>2986</v>
      </c>
      <c r="D80" s="638" t="s">
        <v>3129</v>
      </c>
    </row>
    <row r="81" spans="3:8" ht="1.9" customHeight="1"/>
    <row r="82" spans="3:8" ht="12.75" customHeight="1">
      <c r="C82" s="617" t="s">
        <v>2890</v>
      </c>
      <c r="D82" s="639" t="s">
        <v>1845</v>
      </c>
      <c r="E82" s="640"/>
      <c r="F82" s="636" t="s">
        <v>2891</v>
      </c>
      <c r="G82" s="636"/>
      <c r="H82" s="636"/>
    </row>
    <row r="83" spans="3:8" ht="12.75" customHeight="1">
      <c r="C83" s="641" t="s">
        <v>1276</v>
      </c>
      <c r="D83" s="639" t="s">
        <v>1847</v>
      </c>
      <c r="E83" s="3915" t="s">
        <v>2988</v>
      </c>
      <c r="F83" s="3915"/>
      <c r="G83" s="3915"/>
      <c r="H83" s="3915"/>
    </row>
    <row r="84" spans="3:8" ht="12.75" customHeight="1">
      <c r="C84" s="1451" t="s">
        <v>4089</v>
      </c>
      <c r="E84" s="3915" t="s">
        <v>3125</v>
      </c>
      <c r="F84" s="3915"/>
      <c r="G84" s="3915"/>
      <c r="H84" s="3915"/>
    </row>
    <row r="85" spans="3:8" ht="12.75" customHeight="1">
      <c r="C85" s="1452"/>
      <c r="D85" s="642" t="s">
        <v>2987</v>
      </c>
      <c r="E85" s="3915" t="s">
        <v>3126</v>
      </c>
      <c r="F85" s="3915"/>
      <c r="G85" s="3915"/>
      <c r="H85" s="3915"/>
    </row>
    <row r="86" spans="3:8" ht="3" customHeight="1">
      <c r="D86" s="639"/>
      <c r="E86" s="1027"/>
      <c r="F86" s="1027"/>
      <c r="G86" s="1027"/>
      <c r="H86" s="1027"/>
    </row>
    <row r="87" spans="3:8" ht="12.75" customHeight="1">
      <c r="C87" s="617" t="s">
        <v>2890</v>
      </c>
      <c r="D87" s="639" t="s">
        <v>1845</v>
      </c>
      <c r="E87" s="640"/>
      <c r="F87" s="636" t="s">
        <v>2891</v>
      </c>
      <c r="G87" s="636"/>
      <c r="H87" s="636"/>
    </row>
    <row r="88" spans="3:8" ht="12.75" customHeight="1">
      <c r="C88" s="641" t="s">
        <v>1276</v>
      </c>
      <c r="D88" s="639" t="s">
        <v>1847</v>
      </c>
      <c r="E88" s="3915" t="s">
        <v>2988</v>
      </c>
      <c r="F88" s="3915"/>
      <c r="G88" s="3915"/>
      <c r="H88" s="3915"/>
    </row>
    <row r="89" spans="3:8" ht="12.75" customHeight="1">
      <c r="C89" s="1451" t="s">
        <v>4089</v>
      </c>
      <c r="E89" s="3915" t="s">
        <v>3125</v>
      </c>
      <c r="F89" s="3915"/>
      <c r="G89" s="3915"/>
      <c r="H89" s="3915"/>
    </row>
    <row r="90" spans="3:8" ht="12.75" customHeight="1">
      <c r="C90" s="1452"/>
      <c r="D90" s="1450" t="s">
        <v>2987</v>
      </c>
      <c r="E90" s="3916" t="s">
        <v>3126</v>
      </c>
      <c r="F90" s="3916"/>
      <c r="G90" s="3916"/>
      <c r="H90" s="3916"/>
    </row>
    <row r="91" spans="3:8" ht="3" customHeight="1">
      <c r="D91" s="639"/>
      <c r="E91" s="1027"/>
      <c r="F91" s="1027"/>
      <c r="G91" s="1027"/>
      <c r="H91" s="1027"/>
    </row>
    <row r="92" spans="3:8" ht="12.75" customHeight="1">
      <c r="C92" s="617" t="s">
        <v>2890</v>
      </c>
      <c r="D92" s="639" t="s">
        <v>1845</v>
      </c>
      <c r="E92" s="640"/>
      <c r="F92" s="636" t="s">
        <v>2891</v>
      </c>
      <c r="G92" s="636"/>
      <c r="H92" s="636"/>
    </row>
    <row r="93" spans="3:8" ht="12.75" customHeight="1">
      <c r="C93" s="641" t="s">
        <v>1276</v>
      </c>
      <c r="D93" s="639" t="s">
        <v>1847</v>
      </c>
      <c r="E93" s="3915" t="s">
        <v>2988</v>
      </c>
      <c r="F93" s="3915"/>
      <c r="G93" s="3915"/>
      <c r="H93" s="3915"/>
    </row>
    <row r="94" spans="3:8" ht="12.75" customHeight="1">
      <c r="C94" s="1451" t="s">
        <v>4089</v>
      </c>
      <c r="E94" s="3915" t="s">
        <v>3125</v>
      </c>
      <c r="F94" s="3915"/>
      <c r="G94" s="3915"/>
      <c r="H94" s="3915"/>
    </row>
    <row r="95" spans="3:8" ht="12.75" customHeight="1">
      <c r="C95" s="1452"/>
      <c r="D95" s="1450" t="s">
        <v>2987</v>
      </c>
      <c r="E95" s="3916" t="s">
        <v>3126</v>
      </c>
      <c r="F95" s="3916"/>
      <c r="G95" s="3916"/>
      <c r="H95" s="3916"/>
    </row>
    <row r="96" spans="3:8" ht="6" customHeight="1">
      <c r="D96" s="639"/>
      <c r="E96" s="1027"/>
      <c r="F96" s="1027"/>
      <c r="G96" s="1027"/>
      <c r="H96" s="1027"/>
    </row>
    <row r="97" spans="1:11">
      <c r="A97" s="620" t="s">
        <v>2983</v>
      </c>
      <c r="B97" s="637" t="str">
        <f>IF('Part V-Revenues &amp; Expenses'!$O$62=0,"",'Part V-Revenues &amp; Expenses'!$O$62)</f>
        <v/>
      </c>
      <c r="C97" s="620" t="s">
        <v>4087</v>
      </c>
      <c r="D97" s="638" t="s">
        <v>4088</v>
      </c>
    </row>
    <row r="98" spans="1:11" ht="1.9" customHeight="1"/>
    <row r="99" spans="1:11" ht="12.75" customHeight="1">
      <c r="C99" s="617" t="s">
        <v>2890</v>
      </c>
      <c r="D99" s="639" t="s">
        <v>1845</v>
      </c>
      <c r="E99" s="640"/>
      <c r="F99" s="3915" t="s">
        <v>2891</v>
      </c>
      <c r="G99" s="3915"/>
      <c r="H99" s="3915"/>
      <c r="K99" s="432" t="s">
        <v>233</v>
      </c>
    </row>
    <row r="100" spans="1:11" ht="12.75" customHeight="1">
      <c r="C100" s="641" t="s">
        <v>1276</v>
      </c>
      <c r="D100" s="639" t="s">
        <v>1847</v>
      </c>
      <c r="E100" s="3915" t="s">
        <v>2989</v>
      </c>
      <c r="F100" s="3915"/>
      <c r="G100" s="3915"/>
      <c r="H100" s="3915"/>
    </row>
    <row r="101" spans="1:11" ht="12.75" customHeight="1">
      <c r="E101" s="3915" t="s">
        <v>3125</v>
      </c>
      <c r="F101" s="3915"/>
      <c r="G101" s="3915"/>
      <c r="H101" s="3915"/>
    </row>
    <row r="102" spans="1:11" ht="12.75" customHeight="1">
      <c r="D102" s="642" t="s">
        <v>2987</v>
      </c>
      <c r="E102" s="3915" t="s">
        <v>3126</v>
      </c>
      <c r="F102" s="3915"/>
      <c r="G102" s="3915"/>
      <c r="H102" s="3915"/>
    </row>
    <row r="103" spans="1:11" ht="9" customHeight="1" thickBot="1"/>
    <row r="104" spans="1:11" ht="16.149999999999999" customHeight="1" thickBot="1">
      <c r="A104" s="3922">
        <v>30</v>
      </c>
      <c r="B104" s="3923"/>
      <c r="C104" s="1453" t="s">
        <v>976</v>
      </c>
    </row>
    <row r="105" spans="1:11" ht="9" customHeight="1">
      <c r="A105" s="611"/>
    </row>
    <row r="106" spans="1:11" ht="28.15" customHeight="1">
      <c r="A106" s="3915" t="s">
        <v>4092</v>
      </c>
      <c r="B106" s="3915"/>
      <c r="C106" s="3915"/>
      <c r="D106" s="3915"/>
      <c r="E106" s="3915"/>
      <c r="F106" s="3915"/>
      <c r="G106" s="3915"/>
      <c r="H106" s="3915"/>
    </row>
    <row r="107" spans="1:11" ht="9" customHeight="1">
      <c r="A107" s="611"/>
    </row>
    <row r="108" spans="1:11">
      <c r="A108" s="620" t="s">
        <v>2983</v>
      </c>
      <c r="B108" s="637" t="str">
        <f>IF('Part V-Revenues &amp; Expenses'!$K$61=0,"",'Part V-Revenues &amp; Expenses'!$K$61)</f>
        <v/>
      </c>
      <c r="C108" s="620" t="s">
        <v>4084</v>
      </c>
      <c r="D108" s="638" t="s">
        <v>4085</v>
      </c>
    </row>
    <row r="109" spans="1:11" ht="1.9" customHeight="1"/>
    <row r="110" spans="1:11" ht="12.75" customHeight="1">
      <c r="C110" s="617" t="s">
        <v>2890</v>
      </c>
      <c r="D110" s="639" t="s">
        <v>1845</v>
      </c>
      <c r="E110" s="640"/>
      <c r="F110" s="3915" t="s">
        <v>2891</v>
      </c>
      <c r="G110" s="3915"/>
      <c r="H110" s="3915"/>
    </row>
    <row r="111" spans="1:11" ht="12.75" customHeight="1">
      <c r="C111" s="641" t="s">
        <v>1276</v>
      </c>
      <c r="D111" s="639" t="s">
        <v>1847</v>
      </c>
      <c r="E111" s="3915" t="s">
        <v>2988</v>
      </c>
      <c r="F111" s="3915"/>
      <c r="G111" s="3915"/>
      <c r="H111" s="3915"/>
    </row>
    <row r="112" spans="1:11" ht="12.75" customHeight="1">
      <c r="C112" s="1451" t="s">
        <v>4089</v>
      </c>
      <c r="E112" s="3915" t="s">
        <v>3125</v>
      </c>
      <c r="F112" s="3915"/>
      <c r="G112" s="3915"/>
      <c r="H112" s="3915"/>
    </row>
    <row r="113" spans="1:8" ht="12.75" customHeight="1">
      <c r="C113" s="1452"/>
      <c r="D113" s="1450" t="s">
        <v>2987</v>
      </c>
      <c r="E113" s="3916" t="s">
        <v>3126</v>
      </c>
      <c r="F113" s="3916"/>
      <c r="G113" s="3916"/>
      <c r="H113" s="3916"/>
    </row>
    <row r="114" spans="1:8" ht="3" customHeight="1">
      <c r="D114" s="639"/>
      <c r="E114" s="1027"/>
      <c r="F114" s="1027"/>
      <c r="G114" s="1027"/>
      <c r="H114" s="1027"/>
    </row>
    <row r="115" spans="1:8" ht="12.75" customHeight="1">
      <c r="C115" s="617" t="s">
        <v>2890</v>
      </c>
      <c r="D115" s="639" t="s">
        <v>1845</v>
      </c>
      <c r="E115" s="640"/>
      <c r="F115" s="636" t="s">
        <v>2891</v>
      </c>
      <c r="G115" s="636"/>
      <c r="H115" s="636"/>
    </row>
    <row r="116" spans="1:8" ht="12.75" customHeight="1">
      <c r="C116" s="641" t="s">
        <v>1276</v>
      </c>
      <c r="D116" s="639" t="s">
        <v>1847</v>
      </c>
      <c r="E116" s="3915" t="s">
        <v>2988</v>
      </c>
      <c r="F116" s="3915"/>
      <c r="G116" s="3915"/>
      <c r="H116" s="3915"/>
    </row>
    <row r="117" spans="1:8" ht="12.75" customHeight="1">
      <c r="C117" s="1451" t="s">
        <v>4089</v>
      </c>
      <c r="E117" s="3915" t="s">
        <v>3125</v>
      </c>
      <c r="F117" s="3915"/>
      <c r="G117" s="3915"/>
      <c r="H117" s="3915"/>
    </row>
    <row r="118" spans="1:8" ht="12.75" customHeight="1">
      <c r="C118" s="1452"/>
      <c r="D118" s="1450" t="s">
        <v>2987</v>
      </c>
      <c r="E118" s="3916" t="s">
        <v>3126</v>
      </c>
      <c r="F118" s="3916"/>
      <c r="G118" s="3916"/>
      <c r="H118" s="3916"/>
    </row>
    <row r="119" spans="1:8" ht="3" customHeight="1">
      <c r="D119" s="639"/>
      <c r="E119" s="1027"/>
      <c r="F119" s="1027"/>
      <c r="G119" s="1027"/>
      <c r="H119" s="1027"/>
    </row>
    <row r="120" spans="1:8" ht="12.75" customHeight="1">
      <c r="C120" s="617" t="s">
        <v>2890</v>
      </c>
      <c r="D120" s="639" t="s">
        <v>1845</v>
      </c>
      <c r="E120" s="640"/>
      <c r="F120" s="636" t="s">
        <v>2891</v>
      </c>
      <c r="G120" s="636"/>
      <c r="H120" s="636"/>
    </row>
    <row r="121" spans="1:8" ht="12.75" customHeight="1">
      <c r="C121" s="641" t="s">
        <v>1276</v>
      </c>
      <c r="D121" s="639" t="s">
        <v>1847</v>
      </c>
      <c r="E121" s="3915" t="s">
        <v>2988</v>
      </c>
      <c r="F121" s="3915"/>
      <c r="G121" s="3915"/>
      <c r="H121" s="3915"/>
    </row>
    <row r="122" spans="1:8" ht="12.75" customHeight="1">
      <c r="C122" s="1451" t="s">
        <v>4089</v>
      </c>
      <c r="E122" s="3915" t="s">
        <v>3125</v>
      </c>
      <c r="F122" s="3915"/>
      <c r="G122" s="3915"/>
      <c r="H122" s="3915"/>
    </row>
    <row r="123" spans="1:8" ht="12.75" customHeight="1">
      <c r="C123" s="1452"/>
      <c r="D123" s="1450" t="s">
        <v>2987</v>
      </c>
      <c r="E123" s="3916" t="s">
        <v>3126</v>
      </c>
      <c r="F123" s="3916"/>
      <c r="G123" s="3916"/>
      <c r="H123" s="3916"/>
    </row>
    <row r="124" spans="1:8" ht="6" customHeight="1">
      <c r="D124" s="639"/>
      <c r="E124" s="1027"/>
      <c r="F124" s="1027"/>
      <c r="G124" s="1027"/>
      <c r="H124" s="1027"/>
    </row>
    <row r="125" spans="1:8">
      <c r="A125" s="620" t="s">
        <v>2983</v>
      </c>
      <c r="B125" s="637">
        <f>IF('Part V-Revenues &amp; Expenses'!$L$61=0,"",'Part V-Revenues &amp; Expenses'!$L$61)</f>
        <v>4</v>
      </c>
      <c r="C125" s="620" t="s">
        <v>2984</v>
      </c>
      <c r="D125" s="638" t="s">
        <v>3127</v>
      </c>
    </row>
    <row r="126" spans="1:8" ht="1.9" customHeight="1"/>
    <row r="127" spans="1:8" ht="12.75" customHeight="1">
      <c r="C127" s="617" t="s">
        <v>2890</v>
      </c>
      <c r="D127" s="639" t="s">
        <v>1845</v>
      </c>
      <c r="E127" s="640"/>
      <c r="F127" s="636" t="s">
        <v>2891</v>
      </c>
      <c r="G127" s="636"/>
      <c r="H127" s="636"/>
    </row>
    <row r="128" spans="1:8" ht="12.75" customHeight="1">
      <c r="C128" s="641" t="s">
        <v>1276</v>
      </c>
      <c r="D128" s="639" t="s">
        <v>1847</v>
      </c>
      <c r="E128" s="3915" t="s">
        <v>2988</v>
      </c>
      <c r="F128" s="3915"/>
      <c r="G128" s="3915"/>
      <c r="H128" s="3915"/>
    </row>
    <row r="129" spans="1:8" ht="12.75" customHeight="1">
      <c r="C129" s="1451" t="s">
        <v>4089</v>
      </c>
      <c r="E129" s="3915" t="s">
        <v>3125</v>
      </c>
      <c r="F129" s="3915"/>
      <c r="G129" s="3915"/>
      <c r="H129" s="3915"/>
    </row>
    <row r="130" spans="1:8" ht="12.75" customHeight="1">
      <c r="C130" s="1452"/>
      <c r="D130" s="642" t="s">
        <v>2987</v>
      </c>
      <c r="E130" s="3915" t="s">
        <v>3126</v>
      </c>
      <c r="F130" s="3915"/>
      <c r="G130" s="3915"/>
      <c r="H130" s="3915"/>
    </row>
    <row r="131" spans="1:8" ht="3" customHeight="1">
      <c r="D131" s="639"/>
      <c r="E131" s="1027"/>
      <c r="F131" s="1027"/>
      <c r="G131" s="1027"/>
      <c r="H131" s="1027"/>
    </row>
    <row r="132" spans="1:8" ht="12.75" customHeight="1">
      <c r="C132" s="617" t="s">
        <v>2890</v>
      </c>
      <c r="D132" s="639" t="s">
        <v>1845</v>
      </c>
      <c r="E132" s="640"/>
      <c r="F132" s="636" t="s">
        <v>2891</v>
      </c>
      <c r="G132" s="636"/>
      <c r="H132" s="636"/>
    </row>
    <row r="133" spans="1:8" ht="12.75" customHeight="1">
      <c r="C133" s="641" t="s">
        <v>1276</v>
      </c>
      <c r="D133" s="639" t="s">
        <v>1847</v>
      </c>
      <c r="E133" s="3915" t="s">
        <v>2988</v>
      </c>
      <c r="F133" s="3915"/>
      <c r="G133" s="3915"/>
      <c r="H133" s="3915"/>
    </row>
    <row r="134" spans="1:8" ht="12.75" customHeight="1">
      <c r="C134" s="1451" t="s">
        <v>4089</v>
      </c>
      <c r="E134" s="3915" t="s">
        <v>3125</v>
      </c>
      <c r="F134" s="3915"/>
      <c r="G134" s="3915"/>
      <c r="H134" s="3915"/>
    </row>
    <row r="135" spans="1:8" ht="12.75" customHeight="1">
      <c r="C135" s="1452"/>
      <c r="D135" s="1450" t="s">
        <v>2987</v>
      </c>
      <c r="E135" s="3916" t="s">
        <v>3126</v>
      </c>
      <c r="F135" s="3916"/>
      <c r="G135" s="3916"/>
      <c r="H135" s="3916"/>
    </row>
    <row r="136" spans="1:8" ht="3" customHeight="1">
      <c r="D136" s="639"/>
      <c r="E136" s="1027"/>
      <c r="F136" s="1027"/>
      <c r="G136" s="1027"/>
      <c r="H136" s="1027"/>
    </row>
    <row r="137" spans="1:8" ht="12.75" customHeight="1">
      <c r="C137" s="617" t="s">
        <v>2890</v>
      </c>
      <c r="D137" s="639" t="s">
        <v>1845</v>
      </c>
      <c r="E137" s="640"/>
      <c r="F137" s="636" t="s">
        <v>2891</v>
      </c>
      <c r="G137" s="636"/>
      <c r="H137" s="636"/>
    </row>
    <row r="138" spans="1:8" ht="12.75" customHeight="1">
      <c r="C138" s="641" t="s">
        <v>1276</v>
      </c>
      <c r="D138" s="639" t="s">
        <v>1847</v>
      </c>
      <c r="E138" s="3915" t="s">
        <v>2988</v>
      </c>
      <c r="F138" s="3915"/>
      <c r="G138" s="3915"/>
      <c r="H138" s="3915"/>
    </row>
    <row r="139" spans="1:8" ht="12.75" customHeight="1">
      <c r="C139" s="1451" t="s">
        <v>4089</v>
      </c>
      <c r="E139" s="3915" t="s">
        <v>3125</v>
      </c>
      <c r="F139" s="3915"/>
      <c r="G139" s="3915"/>
      <c r="H139" s="3915"/>
    </row>
    <row r="140" spans="1:8" ht="12.75" customHeight="1">
      <c r="C140" s="1452"/>
      <c r="D140" s="1450" t="s">
        <v>2987</v>
      </c>
      <c r="E140" s="3916" t="s">
        <v>3126</v>
      </c>
      <c r="F140" s="3916"/>
      <c r="G140" s="3916"/>
      <c r="H140" s="3916"/>
    </row>
    <row r="141" spans="1:8" ht="6" customHeight="1">
      <c r="D141" s="639"/>
      <c r="E141" s="1027"/>
      <c r="F141" s="1027"/>
      <c r="G141" s="1027"/>
      <c r="H141" s="1027"/>
    </row>
    <row r="142" spans="1:8">
      <c r="A142" s="620" t="s">
        <v>2983</v>
      </c>
      <c r="B142" s="637">
        <f>IF('Part V-Revenues &amp; Expenses'!$M$61=0,"",'Part V-Revenues &amp; Expenses'!$M$61)</f>
        <v>15</v>
      </c>
      <c r="C142" s="620" t="s">
        <v>2985</v>
      </c>
      <c r="D142" s="638" t="s">
        <v>3128</v>
      </c>
    </row>
    <row r="143" spans="1:8" ht="1.9" customHeight="1"/>
    <row r="144" spans="1:8" ht="12.75" customHeight="1">
      <c r="C144" s="617" t="s">
        <v>2890</v>
      </c>
      <c r="D144" s="639" t="s">
        <v>1845</v>
      </c>
      <c r="E144" s="640"/>
      <c r="F144" s="636" t="s">
        <v>2891</v>
      </c>
      <c r="G144" s="636"/>
      <c r="H144" s="636"/>
    </row>
    <row r="145" spans="1:8" ht="12.75" customHeight="1">
      <c r="C145" s="641" t="s">
        <v>1276</v>
      </c>
      <c r="D145" s="639" t="s">
        <v>1847</v>
      </c>
      <c r="E145" s="3915" t="s">
        <v>2988</v>
      </c>
      <c r="F145" s="3915"/>
      <c r="G145" s="3915"/>
      <c r="H145" s="3915"/>
    </row>
    <row r="146" spans="1:8" ht="12.75" customHeight="1">
      <c r="C146" s="1451" t="s">
        <v>4089</v>
      </c>
      <c r="E146" s="3915" t="s">
        <v>3125</v>
      </c>
      <c r="F146" s="3915"/>
      <c r="G146" s="3915"/>
      <c r="H146" s="3915"/>
    </row>
    <row r="147" spans="1:8" ht="12.75" customHeight="1">
      <c r="C147" s="1452"/>
      <c r="D147" s="642" t="s">
        <v>2987</v>
      </c>
      <c r="E147" s="3915" t="s">
        <v>3126</v>
      </c>
      <c r="F147" s="3915"/>
      <c r="G147" s="3915"/>
      <c r="H147" s="3915"/>
    </row>
    <row r="148" spans="1:8" ht="3" customHeight="1">
      <c r="D148" s="639"/>
      <c r="E148" s="1027"/>
      <c r="F148" s="1027"/>
      <c r="G148" s="1027"/>
      <c r="H148" s="1027"/>
    </row>
    <row r="149" spans="1:8" ht="12.75" customHeight="1">
      <c r="C149" s="617" t="s">
        <v>2890</v>
      </c>
      <c r="D149" s="639" t="s">
        <v>1845</v>
      </c>
      <c r="E149" s="640"/>
      <c r="F149" s="636" t="s">
        <v>2891</v>
      </c>
      <c r="G149" s="636"/>
      <c r="H149" s="636"/>
    </row>
    <row r="150" spans="1:8" ht="12.75" customHeight="1">
      <c r="C150" s="641" t="s">
        <v>1276</v>
      </c>
      <c r="D150" s="639" t="s">
        <v>1847</v>
      </c>
      <c r="E150" s="3915" t="s">
        <v>2988</v>
      </c>
      <c r="F150" s="3915"/>
      <c r="G150" s="3915"/>
      <c r="H150" s="3915"/>
    </row>
    <row r="151" spans="1:8" ht="12.75" customHeight="1">
      <c r="C151" s="1451" t="s">
        <v>4089</v>
      </c>
      <c r="E151" s="3915" t="s">
        <v>3125</v>
      </c>
      <c r="F151" s="3915"/>
      <c r="G151" s="3915"/>
      <c r="H151" s="3915"/>
    </row>
    <row r="152" spans="1:8" ht="12.75" customHeight="1">
      <c r="C152" s="1452"/>
      <c r="D152" s="1450" t="s">
        <v>2987</v>
      </c>
      <c r="E152" s="3916" t="s">
        <v>3126</v>
      </c>
      <c r="F152" s="3916"/>
      <c r="G152" s="3916"/>
      <c r="H152" s="3916"/>
    </row>
    <row r="153" spans="1:8" ht="3" customHeight="1">
      <c r="D153" s="639"/>
      <c r="E153" s="1027"/>
      <c r="F153" s="1027"/>
      <c r="G153" s="1027"/>
      <c r="H153" s="1027"/>
    </row>
    <row r="154" spans="1:8" ht="12.75" customHeight="1">
      <c r="C154" s="617" t="s">
        <v>2890</v>
      </c>
      <c r="D154" s="639" t="s">
        <v>1845</v>
      </c>
      <c r="E154" s="640"/>
      <c r="F154" s="636" t="s">
        <v>2891</v>
      </c>
      <c r="G154" s="636"/>
      <c r="H154" s="636"/>
    </row>
    <row r="155" spans="1:8" ht="12.75" customHeight="1">
      <c r="C155" s="641" t="s">
        <v>1276</v>
      </c>
      <c r="D155" s="639" t="s">
        <v>1847</v>
      </c>
      <c r="E155" s="3915" t="s">
        <v>2988</v>
      </c>
      <c r="F155" s="3915"/>
      <c r="G155" s="3915"/>
      <c r="H155" s="3915"/>
    </row>
    <row r="156" spans="1:8" ht="12.75" customHeight="1">
      <c r="C156" s="1451" t="s">
        <v>4089</v>
      </c>
      <c r="E156" s="3915" t="s">
        <v>3125</v>
      </c>
      <c r="F156" s="3915"/>
      <c r="G156" s="3915"/>
      <c r="H156" s="3915"/>
    </row>
    <row r="157" spans="1:8" ht="12.75" customHeight="1">
      <c r="C157" s="1452"/>
      <c r="D157" s="1450" t="s">
        <v>2987</v>
      </c>
      <c r="E157" s="3916" t="s">
        <v>3126</v>
      </c>
      <c r="F157" s="3916"/>
      <c r="G157" s="3916"/>
      <c r="H157" s="3916"/>
    </row>
    <row r="158" spans="1:8" ht="6" customHeight="1">
      <c r="D158" s="639"/>
      <c r="E158" s="1027"/>
      <c r="F158" s="1027"/>
      <c r="G158" s="1027"/>
      <c r="H158" s="1027"/>
    </row>
    <row r="159" spans="1:8">
      <c r="A159" s="620" t="s">
        <v>2983</v>
      </c>
      <c r="B159" s="637">
        <f>IF('Part V-Revenues &amp; Expenses'!$N$61=0,"",'Part V-Revenues &amp; Expenses'!$N$61)</f>
        <v>12</v>
      </c>
      <c r="C159" s="620" t="s">
        <v>2986</v>
      </c>
      <c r="D159" s="638" t="s">
        <v>3129</v>
      </c>
    </row>
    <row r="160" spans="1:8" ht="1.9" customHeight="1"/>
    <row r="161" spans="1:8" ht="12.75" customHeight="1">
      <c r="C161" s="617" t="s">
        <v>2890</v>
      </c>
      <c r="D161" s="639" t="s">
        <v>1845</v>
      </c>
      <c r="E161" s="640"/>
      <c r="F161" s="636" t="s">
        <v>2891</v>
      </c>
      <c r="G161" s="636"/>
      <c r="H161" s="636"/>
    </row>
    <row r="162" spans="1:8" ht="12.75" customHeight="1">
      <c r="C162" s="641" t="s">
        <v>1276</v>
      </c>
      <c r="D162" s="639" t="s">
        <v>1847</v>
      </c>
      <c r="E162" s="3915" t="s">
        <v>2988</v>
      </c>
      <c r="F162" s="3915"/>
      <c r="G162" s="3915"/>
      <c r="H162" s="3915"/>
    </row>
    <row r="163" spans="1:8" ht="12.75" customHeight="1">
      <c r="C163" s="1451" t="s">
        <v>4089</v>
      </c>
      <c r="E163" s="3915" t="s">
        <v>3125</v>
      </c>
      <c r="F163" s="3915"/>
      <c r="G163" s="3915"/>
      <c r="H163" s="3915"/>
    </row>
    <row r="164" spans="1:8" ht="12.75" customHeight="1">
      <c r="C164" s="1452"/>
      <c r="D164" s="642" t="s">
        <v>2987</v>
      </c>
      <c r="E164" s="3915" t="s">
        <v>3126</v>
      </c>
      <c r="F164" s="3915"/>
      <c r="G164" s="3915"/>
      <c r="H164" s="3915"/>
    </row>
    <row r="165" spans="1:8" ht="3" customHeight="1">
      <c r="D165" s="639"/>
      <c r="E165" s="1027"/>
      <c r="F165" s="1027"/>
      <c r="G165" s="1027"/>
      <c r="H165" s="1027"/>
    </row>
    <row r="166" spans="1:8" ht="12.75" customHeight="1">
      <c r="C166" s="617" t="s">
        <v>2890</v>
      </c>
      <c r="D166" s="639" t="s">
        <v>1845</v>
      </c>
      <c r="E166" s="640"/>
      <c r="F166" s="636" t="s">
        <v>2891</v>
      </c>
      <c r="G166" s="636"/>
      <c r="H166" s="636"/>
    </row>
    <row r="167" spans="1:8" ht="12.75" customHeight="1">
      <c r="C167" s="641" t="s">
        <v>1276</v>
      </c>
      <c r="D167" s="639" t="s">
        <v>1847</v>
      </c>
      <c r="E167" s="3915" t="s">
        <v>2988</v>
      </c>
      <c r="F167" s="3915"/>
      <c r="G167" s="3915"/>
      <c r="H167" s="3915"/>
    </row>
    <row r="168" spans="1:8" ht="12.75" customHeight="1">
      <c r="C168" s="1451" t="s">
        <v>4089</v>
      </c>
      <c r="E168" s="3915" t="s">
        <v>3125</v>
      </c>
      <c r="F168" s="3915"/>
      <c r="G168" s="3915"/>
      <c r="H168" s="3915"/>
    </row>
    <row r="169" spans="1:8" ht="12.75" customHeight="1">
      <c r="C169" s="1452"/>
      <c r="D169" s="1450" t="s">
        <v>2987</v>
      </c>
      <c r="E169" s="3916" t="s">
        <v>3126</v>
      </c>
      <c r="F169" s="3916"/>
      <c r="G169" s="3916"/>
      <c r="H169" s="3916"/>
    </row>
    <row r="170" spans="1:8" ht="3" customHeight="1">
      <c r="D170" s="639"/>
      <c r="E170" s="1027"/>
      <c r="F170" s="1027"/>
      <c r="G170" s="1027"/>
      <c r="H170" s="1027"/>
    </row>
    <row r="171" spans="1:8" ht="12.75" customHeight="1">
      <c r="C171" s="617" t="s">
        <v>2890</v>
      </c>
      <c r="D171" s="639" t="s">
        <v>1845</v>
      </c>
      <c r="E171" s="640"/>
      <c r="F171" s="636" t="s">
        <v>2891</v>
      </c>
      <c r="G171" s="636"/>
      <c r="H171" s="636"/>
    </row>
    <row r="172" spans="1:8" ht="12.75" customHeight="1">
      <c r="C172" s="641" t="s">
        <v>1276</v>
      </c>
      <c r="D172" s="639" t="s">
        <v>1847</v>
      </c>
      <c r="E172" s="3915" t="s">
        <v>2988</v>
      </c>
      <c r="F172" s="3915"/>
      <c r="G172" s="3915"/>
      <c r="H172" s="3915"/>
    </row>
    <row r="173" spans="1:8" ht="12.75" customHeight="1">
      <c r="C173" s="1451" t="s">
        <v>4089</v>
      </c>
      <c r="E173" s="3915" t="s">
        <v>3125</v>
      </c>
      <c r="F173" s="3915"/>
      <c r="G173" s="3915"/>
      <c r="H173" s="3915"/>
    </row>
    <row r="174" spans="1:8" ht="12.75" customHeight="1">
      <c r="C174" s="1452"/>
      <c r="D174" s="1450" t="s">
        <v>2987</v>
      </c>
      <c r="E174" s="3916" t="s">
        <v>3126</v>
      </c>
      <c r="F174" s="3916"/>
      <c r="G174" s="3916"/>
      <c r="H174" s="3916"/>
    </row>
    <row r="175" spans="1:8" ht="6" customHeight="1">
      <c r="D175" s="639"/>
      <c r="E175" s="1027"/>
      <c r="F175" s="1027"/>
      <c r="G175" s="1027"/>
      <c r="H175" s="1027"/>
    </row>
    <row r="176" spans="1:8">
      <c r="A176" s="620" t="s">
        <v>2983</v>
      </c>
      <c r="B176" s="637">
        <f>IF('Part V-Revenues &amp; Expenses'!$O61=0,"",'Part V-Revenues &amp; Expenses'!$O$61)</f>
        <v>6</v>
      </c>
      <c r="C176" s="620" t="s">
        <v>4087</v>
      </c>
      <c r="D176" s="638" t="s">
        <v>4088</v>
      </c>
    </row>
    <row r="177" spans="1:11" ht="1.9" customHeight="1"/>
    <row r="178" spans="1:11" ht="12.75" customHeight="1">
      <c r="C178" s="617" t="s">
        <v>2890</v>
      </c>
      <c r="D178" s="639" t="s">
        <v>1845</v>
      </c>
      <c r="E178" s="640"/>
      <c r="F178" s="3915" t="s">
        <v>2891</v>
      </c>
      <c r="G178" s="3915"/>
      <c r="H178" s="3915"/>
      <c r="K178" s="432" t="s">
        <v>233</v>
      </c>
    </row>
    <row r="179" spans="1:11" ht="12.75" customHeight="1">
      <c r="C179" s="641" t="s">
        <v>1276</v>
      </c>
      <c r="D179" s="639" t="s">
        <v>1847</v>
      </c>
      <c r="E179" s="3915" t="s">
        <v>2989</v>
      </c>
      <c r="F179" s="3915"/>
      <c r="G179" s="3915"/>
      <c r="H179" s="3915"/>
    </row>
    <row r="180" spans="1:11" ht="12.75" customHeight="1">
      <c r="E180" s="3915" t="s">
        <v>3125</v>
      </c>
      <c r="F180" s="3915"/>
      <c r="G180" s="3915"/>
      <c r="H180" s="3915"/>
    </row>
    <row r="181" spans="1:11" ht="12.75" customHeight="1">
      <c r="D181" s="642" t="s">
        <v>2987</v>
      </c>
      <c r="E181" s="3915" t="s">
        <v>3126</v>
      </c>
      <c r="F181" s="3915"/>
      <c r="G181" s="3915"/>
      <c r="H181" s="3915"/>
    </row>
    <row r="182" spans="1:11" ht="9" customHeight="1" thickBot="1"/>
    <row r="183" spans="1:11" ht="16.149999999999999" customHeight="1" thickBot="1">
      <c r="A183" s="3922">
        <v>40</v>
      </c>
      <c r="B183" s="3923"/>
      <c r="C183" s="1453" t="s">
        <v>976</v>
      </c>
    </row>
    <row r="184" spans="1:11" ht="9" customHeight="1">
      <c r="A184" s="611"/>
    </row>
    <row r="185" spans="1:11" ht="28.15" customHeight="1">
      <c r="A185" s="3915" t="s">
        <v>4093</v>
      </c>
      <c r="B185" s="3915"/>
      <c r="C185" s="3915"/>
      <c r="D185" s="3915"/>
      <c r="E185" s="3915"/>
      <c r="F185" s="3915"/>
      <c r="G185" s="3915"/>
      <c r="H185" s="3915"/>
    </row>
    <row r="186" spans="1:11" ht="9" customHeight="1">
      <c r="A186" s="611"/>
    </row>
    <row r="187" spans="1:11">
      <c r="A187" s="620" t="s">
        <v>2983</v>
      </c>
      <c r="B187" s="637" t="str">
        <f>IF('Part V-Revenues &amp; Expenses'!$K$60=0,"",'Part V-Revenues &amp; Expenses'!$K$60)</f>
        <v/>
      </c>
      <c r="C187" s="620" t="s">
        <v>4084</v>
      </c>
      <c r="D187" s="638" t="s">
        <v>4085</v>
      </c>
    </row>
    <row r="188" spans="1:11" ht="1.9" customHeight="1"/>
    <row r="189" spans="1:11" ht="12.75" customHeight="1">
      <c r="C189" s="617" t="s">
        <v>2890</v>
      </c>
      <c r="D189" s="639" t="s">
        <v>1845</v>
      </c>
      <c r="E189" s="640"/>
      <c r="F189" s="3915" t="s">
        <v>2891</v>
      </c>
      <c r="G189" s="3915"/>
      <c r="H189" s="3915"/>
    </row>
    <row r="190" spans="1:11" ht="12.75" customHeight="1">
      <c r="C190" s="641" t="s">
        <v>1276</v>
      </c>
      <c r="D190" s="639" t="s">
        <v>1847</v>
      </c>
      <c r="E190" s="3915" t="s">
        <v>2988</v>
      </c>
      <c r="F190" s="3915"/>
      <c r="G190" s="3915"/>
      <c r="H190" s="3915"/>
    </row>
    <row r="191" spans="1:11" ht="12.75" customHeight="1">
      <c r="C191" s="1451" t="s">
        <v>4089</v>
      </c>
      <c r="E191" s="3915" t="s">
        <v>3125</v>
      </c>
      <c r="F191" s="3915"/>
      <c r="G191" s="3915"/>
      <c r="H191" s="3915"/>
    </row>
    <row r="192" spans="1:11" ht="12.75" customHeight="1">
      <c r="C192" s="1452"/>
      <c r="D192" s="1450" t="s">
        <v>2987</v>
      </c>
      <c r="E192" s="3916" t="s">
        <v>3126</v>
      </c>
      <c r="F192" s="3916"/>
      <c r="G192" s="3916"/>
      <c r="H192" s="3916"/>
    </row>
    <row r="193" spans="1:8" ht="3" customHeight="1">
      <c r="D193" s="639"/>
      <c r="E193" s="1027"/>
      <c r="F193" s="1027"/>
      <c r="G193" s="1027"/>
      <c r="H193" s="1027"/>
    </row>
    <row r="194" spans="1:8" ht="12.75" customHeight="1">
      <c r="C194" s="617" t="s">
        <v>2890</v>
      </c>
      <c r="D194" s="639" t="s">
        <v>1845</v>
      </c>
      <c r="E194" s="640"/>
      <c r="F194" s="636" t="s">
        <v>2891</v>
      </c>
      <c r="G194" s="636"/>
      <c r="H194" s="636"/>
    </row>
    <row r="195" spans="1:8" ht="12.75" customHeight="1">
      <c r="C195" s="641" t="s">
        <v>1276</v>
      </c>
      <c r="D195" s="639" t="s">
        <v>1847</v>
      </c>
      <c r="E195" s="3915" t="s">
        <v>2988</v>
      </c>
      <c r="F195" s="3915"/>
      <c r="G195" s="3915"/>
      <c r="H195" s="3915"/>
    </row>
    <row r="196" spans="1:8" ht="12.75" customHeight="1">
      <c r="C196" s="1451" t="s">
        <v>4089</v>
      </c>
      <c r="E196" s="3915" t="s">
        <v>3125</v>
      </c>
      <c r="F196" s="3915"/>
      <c r="G196" s="3915"/>
      <c r="H196" s="3915"/>
    </row>
    <row r="197" spans="1:8" ht="12.75" customHeight="1">
      <c r="C197" s="1452"/>
      <c r="D197" s="1450" t="s">
        <v>2987</v>
      </c>
      <c r="E197" s="3916" t="s">
        <v>3126</v>
      </c>
      <c r="F197" s="3916"/>
      <c r="G197" s="3916"/>
      <c r="H197" s="3916"/>
    </row>
    <row r="198" spans="1:8" ht="3" customHeight="1">
      <c r="D198" s="639"/>
      <c r="E198" s="1027"/>
      <c r="F198" s="1027"/>
      <c r="G198" s="1027"/>
      <c r="H198" s="1027"/>
    </row>
    <row r="199" spans="1:8" ht="12.75" customHeight="1">
      <c r="C199" s="617" t="s">
        <v>2890</v>
      </c>
      <c r="D199" s="639" t="s">
        <v>1845</v>
      </c>
      <c r="E199" s="640"/>
      <c r="F199" s="636" t="s">
        <v>2891</v>
      </c>
      <c r="G199" s="636"/>
      <c r="H199" s="636"/>
    </row>
    <row r="200" spans="1:8" ht="12.75" customHeight="1">
      <c r="C200" s="641" t="s">
        <v>1276</v>
      </c>
      <c r="D200" s="639" t="s">
        <v>1847</v>
      </c>
      <c r="E200" s="3915" t="s">
        <v>2988</v>
      </c>
      <c r="F200" s="3915"/>
      <c r="G200" s="3915"/>
      <c r="H200" s="3915"/>
    </row>
    <row r="201" spans="1:8" ht="12.75" customHeight="1">
      <c r="C201" s="1451" t="s">
        <v>4089</v>
      </c>
      <c r="E201" s="3915" t="s">
        <v>3125</v>
      </c>
      <c r="F201" s="3915"/>
      <c r="G201" s="3915"/>
      <c r="H201" s="3915"/>
    </row>
    <row r="202" spans="1:8" ht="12.75" customHeight="1">
      <c r="C202" s="1452"/>
      <c r="D202" s="1450" t="s">
        <v>2987</v>
      </c>
      <c r="E202" s="3916" t="s">
        <v>3126</v>
      </c>
      <c r="F202" s="3916"/>
      <c r="G202" s="3916"/>
      <c r="H202" s="3916"/>
    </row>
    <row r="203" spans="1:8" ht="6" customHeight="1">
      <c r="D203" s="639"/>
      <c r="E203" s="1027"/>
      <c r="F203" s="1027"/>
      <c r="G203" s="1027"/>
      <c r="H203" s="1027"/>
    </row>
    <row r="204" spans="1:8">
      <c r="A204" s="620" t="s">
        <v>2983</v>
      </c>
      <c r="B204" s="637" t="str">
        <f>IF('Part V-Revenues &amp; Expenses'!$L$60=0,"",'Part V-Revenues &amp; Expenses'!$L$60)</f>
        <v/>
      </c>
      <c r="C204" s="620" t="s">
        <v>2984</v>
      </c>
      <c r="D204" s="638" t="s">
        <v>3127</v>
      </c>
    </row>
    <row r="205" spans="1:8" ht="1.9" customHeight="1"/>
    <row r="206" spans="1:8" ht="12.75" customHeight="1">
      <c r="C206" s="617" t="s">
        <v>2890</v>
      </c>
      <c r="D206" s="639" t="s">
        <v>1845</v>
      </c>
      <c r="E206" s="640"/>
      <c r="F206" s="636" t="s">
        <v>2891</v>
      </c>
      <c r="G206" s="636"/>
      <c r="H206" s="636"/>
    </row>
    <row r="207" spans="1:8" ht="12.75" customHeight="1">
      <c r="C207" s="641" t="s">
        <v>1276</v>
      </c>
      <c r="D207" s="639" t="s">
        <v>1847</v>
      </c>
      <c r="E207" s="3915" t="s">
        <v>2988</v>
      </c>
      <c r="F207" s="3915"/>
      <c r="G207" s="3915"/>
      <c r="H207" s="3915"/>
    </row>
    <row r="208" spans="1:8" ht="12.75" customHeight="1">
      <c r="C208" s="1451" t="s">
        <v>4089</v>
      </c>
      <c r="E208" s="3915" t="s">
        <v>3125</v>
      </c>
      <c r="F208" s="3915"/>
      <c r="G208" s="3915"/>
      <c r="H208" s="3915"/>
    </row>
    <row r="209" spans="1:8" ht="12.75" customHeight="1">
      <c r="C209" s="1452"/>
      <c r="D209" s="642" t="s">
        <v>2987</v>
      </c>
      <c r="E209" s="3915" t="s">
        <v>3126</v>
      </c>
      <c r="F209" s="3915"/>
      <c r="G209" s="3915"/>
      <c r="H209" s="3915"/>
    </row>
    <row r="210" spans="1:8" ht="3" customHeight="1">
      <c r="D210" s="639"/>
      <c r="E210" s="1027"/>
      <c r="F210" s="1027"/>
      <c r="G210" s="1027"/>
      <c r="H210" s="1027"/>
    </row>
    <row r="211" spans="1:8" ht="12.75" customHeight="1">
      <c r="C211" s="617" t="s">
        <v>2890</v>
      </c>
      <c r="D211" s="639" t="s">
        <v>1845</v>
      </c>
      <c r="E211" s="640"/>
      <c r="F211" s="636" t="s">
        <v>2891</v>
      </c>
      <c r="G211" s="636"/>
      <c r="H211" s="636"/>
    </row>
    <row r="212" spans="1:8" ht="12.75" customHeight="1">
      <c r="C212" s="641" t="s">
        <v>1276</v>
      </c>
      <c r="D212" s="639" t="s">
        <v>1847</v>
      </c>
      <c r="E212" s="3915" t="s">
        <v>2988</v>
      </c>
      <c r="F212" s="3915"/>
      <c r="G212" s="3915"/>
      <c r="H212" s="3915"/>
    </row>
    <row r="213" spans="1:8" ht="12.75" customHeight="1">
      <c r="C213" s="1451" t="s">
        <v>4089</v>
      </c>
      <c r="E213" s="3915" t="s">
        <v>3125</v>
      </c>
      <c r="F213" s="3915"/>
      <c r="G213" s="3915"/>
      <c r="H213" s="3915"/>
    </row>
    <row r="214" spans="1:8" ht="12.75" customHeight="1">
      <c r="C214" s="1452"/>
      <c r="D214" s="1450" t="s">
        <v>2987</v>
      </c>
      <c r="E214" s="3916" t="s">
        <v>3126</v>
      </c>
      <c r="F214" s="3916"/>
      <c r="G214" s="3916"/>
      <c r="H214" s="3916"/>
    </row>
    <row r="215" spans="1:8" ht="3" customHeight="1">
      <c r="D215" s="639"/>
      <c r="E215" s="1027"/>
      <c r="F215" s="1027"/>
      <c r="G215" s="1027"/>
      <c r="H215" s="1027"/>
    </row>
    <row r="216" spans="1:8" ht="12.75" customHeight="1">
      <c r="C216" s="617" t="s">
        <v>2890</v>
      </c>
      <c r="D216" s="639" t="s">
        <v>1845</v>
      </c>
      <c r="E216" s="640"/>
      <c r="F216" s="636" t="s">
        <v>2891</v>
      </c>
      <c r="G216" s="636"/>
      <c r="H216" s="636"/>
    </row>
    <row r="217" spans="1:8" ht="12.75" customHeight="1">
      <c r="C217" s="641" t="s">
        <v>1276</v>
      </c>
      <c r="D217" s="639" t="s">
        <v>1847</v>
      </c>
      <c r="E217" s="3915" t="s">
        <v>2988</v>
      </c>
      <c r="F217" s="3915"/>
      <c r="G217" s="3915"/>
      <c r="H217" s="3915"/>
    </row>
    <row r="218" spans="1:8" ht="12.75" customHeight="1">
      <c r="C218" s="1451" t="s">
        <v>4089</v>
      </c>
      <c r="E218" s="3915" t="s">
        <v>3125</v>
      </c>
      <c r="F218" s="3915"/>
      <c r="G218" s="3915"/>
      <c r="H218" s="3915"/>
    </row>
    <row r="219" spans="1:8" ht="12.75" customHeight="1">
      <c r="C219" s="1452"/>
      <c r="D219" s="1450" t="s">
        <v>2987</v>
      </c>
      <c r="E219" s="3916" t="s">
        <v>3126</v>
      </c>
      <c r="F219" s="3916"/>
      <c r="G219" s="3916"/>
      <c r="H219" s="3916"/>
    </row>
    <row r="220" spans="1:8" ht="6" customHeight="1">
      <c r="D220" s="639"/>
      <c r="E220" s="1027"/>
      <c r="F220" s="1027"/>
      <c r="G220" s="1027"/>
      <c r="H220" s="1027"/>
    </row>
    <row r="221" spans="1:8">
      <c r="A221" s="620" t="s">
        <v>2983</v>
      </c>
      <c r="B221" s="637" t="str">
        <f>IF('Part V-Revenues &amp; Expenses'!$M$60=0,"",'Part V-Revenues &amp; Expenses'!$M$60)</f>
        <v/>
      </c>
      <c r="C221" s="620" t="s">
        <v>2985</v>
      </c>
      <c r="D221" s="638" t="s">
        <v>3128</v>
      </c>
    </row>
    <row r="222" spans="1:8" ht="1.9" customHeight="1"/>
    <row r="223" spans="1:8" ht="12.75" customHeight="1">
      <c r="C223" s="617" t="s">
        <v>2890</v>
      </c>
      <c r="D223" s="639" t="s">
        <v>1845</v>
      </c>
      <c r="E223" s="640"/>
      <c r="F223" s="636" t="s">
        <v>2891</v>
      </c>
      <c r="G223" s="636"/>
      <c r="H223" s="636"/>
    </row>
    <row r="224" spans="1:8" ht="12.75" customHeight="1">
      <c r="C224" s="641" t="s">
        <v>1276</v>
      </c>
      <c r="D224" s="639" t="s">
        <v>1847</v>
      </c>
      <c r="E224" s="3915" t="s">
        <v>2988</v>
      </c>
      <c r="F224" s="3915"/>
      <c r="G224" s="3915"/>
      <c r="H224" s="3915"/>
    </row>
    <row r="225" spans="1:8" ht="12.75" customHeight="1">
      <c r="C225" s="1451" t="s">
        <v>4089</v>
      </c>
      <c r="E225" s="3915" t="s">
        <v>3125</v>
      </c>
      <c r="F225" s="3915"/>
      <c r="G225" s="3915"/>
      <c r="H225" s="3915"/>
    </row>
    <row r="226" spans="1:8" ht="12.75" customHeight="1">
      <c r="C226" s="1452"/>
      <c r="D226" s="642" t="s">
        <v>2987</v>
      </c>
      <c r="E226" s="3915" t="s">
        <v>3126</v>
      </c>
      <c r="F226" s="3915"/>
      <c r="G226" s="3915"/>
      <c r="H226" s="3915"/>
    </row>
    <row r="227" spans="1:8" ht="3" customHeight="1">
      <c r="D227" s="639"/>
      <c r="E227" s="1027"/>
      <c r="F227" s="1027"/>
      <c r="G227" s="1027"/>
      <c r="H227" s="1027"/>
    </row>
    <row r="228" spans="1:8" ht="12.75" customHeight="1">
      <c r="C228" s="617" t="s">
        <v>2890</v>
      </c>
      <c r="D228" s="639" t="s">
        <v>1845</v>
      </c>
      <c r="E228" s="640"/>
      <c r="F228" s="636" t="s">
        <v>2891</v>
      </c>
      <c r="G228" s="636"/>
      <c r="H228" s="636"/>
    </row>
    <row r="229" spans="1:8" ht="12.75" customHeight="1">
      <c r="C229" s="641" t="s">
        <v>1276</v>
      </c>
      <c r="D229" s="639" t="s">
        <v>1847</v>
      </c>
      <c r="E229" s="3915" t="s">
        <v>2988</v>
      </c>
      <c r="F229" s="3915"/>
      <c r="G229" s="3915"/>
      <c r="H229" s="3915"/>
    </row>
    <row r="230" spans="1:8" ht="12.75" customHeight="1">
      <c r="C230" s="1451" t="s">
        <v>4089</v>
      </c>
      <c r="E230" s="3915" t="s">
        <v>3125</v>
      </c>
      <c r="F230" s="3915"/>
      <c r="G230" s="3915"/>
      <c r="H230" s="3915"/>
    </row>
    <row r="231" spans="1:8" ht="12.75" customHeight="1">
      <c r="C231" s="1452"/>
      <c r="D231" s="1450" t="s">
        <v>2987</v>
      </c>
      <c r="E231" s="3916" t="s">
        <v>3126</v>
      </c>
      <c r="F231" s="3916"/>
      <c r="G231" s="3916"/>
      <c r="H231" s="3916"/>
    </row>
    <row r="232" spans="1:8" ht="3" customHeight="1">
      <c r="D232" s="639"/>
      <c r="E232" s="1027"/>
      <c r="F232" s="1027"/>
      <c r="G232" s="1027"/>
      <c r="H232" s="1027"/>
    </row>
    <row r="233" spans="1:8" ht="12.75" customHeight="1">
      <c r="C233" s="617" t="s">
        <v>2890</v>
      </c>
      <c r="D233" s="639" t="s">
        <v>1845</v>
      </c>
      <c r="E233" s="640"/>
      <c r="F233" s="636" t="s">
        <v>2891</v>
      </c>
      <c r="G233" s="636"/>
      <c r="H233" s="636"/>
    </row>
    <row r="234" spans="1:8" ht="12.75" customHeight="1">
      <c r="C234" s="641" t="s">
        <v>1276</v>
      </c>
      <c r="D234" s="639" t="s">
        <v>1847</v>
      </c>
      <c r="E234" s="3915" t="s">
        <v>2988</v>
      </c>
      <c r="F234" s="3915"/>
      <c r="G234" s="3915"/>
      <c r="H234" s="3915"/>
    </row>
    <row r="235" spans="1:8" ht="12.75" customHeight="1">
      <c r="C235" s="1451" t="s">
        <v>4089</v>
      </c>
      <c r="E235" s="3915" t="s">
        <v>3125</v>
      </c>
      <c r="F235" s="3915"/>
      <c r="G235" s="3915"/>
      <c r="H235" s="3915"/>
    </row>
    <row r="236" spans="1:8" ht="12.75" customHeight="1">
      <c r="C236" s="1452"/>
      <c r="D236" s="1450" t="s">
        <v>2987</v>
      </c>
      <c r="E236" s="3916" t="s">
        <v>3126</v>
      </c>
      <c r="F236" s="3916"/>
      <c r="G236" s="3916"/>
      <c r="H236" s="3916"/>
    </row>
    <row r="237" spans="1:8" ht="6" customHeight="1">
      <c r="D237" s="639"/>
      <c r="E237" s="1027"/>
      <c r="F237" s="1027"/>
      <c r="G237" s="1027"/>
      <c r="H237" s="1027"/>
    </row>
    <row r="238" spans="1:8">
      <c r="A238" s="620" t="s">
        <v>2983</v>
      </c>
      <c r="B238" s="637" t="str">
        <f>IF('Part V-Revenues &amp; Expenses'!$N$60=0,"",'Part V-Revenues &amp; Expenses'!$N$60)</f>
        <v/>
      </c>
      <c r="C238" s="620" t="s">
        <v>2986</v>
      </c>
      <c r="D238" s="638" t="s">
        <v>3129</v>
      </c>
    </row>
    <row r="239" spans="1:8" ht="1.9" customHeight="1"/>
    <row r="240" spans="1:8" ht="12.75" customHeight="1">
      <c r="C240" s="617" t="s">
        <v>2890</v>
      </c>
      <c r="D240" s="639" t="s">
        <v>1845</v>
      </c>
      <c r="E240" s="640"/>
      <c r="F240" s="636" t="s">
        <v>2891</v>
      </c>
      <c r="G240" s="636"/>
      <c r="H240" s="636"/>
    </row>
    <row r="241" spans="1:8" ht="12.75" customHeight="1">
      <c r="C241" s="641" t="s">
        <v>1276</v>
      </c>
      <c r="D241" s="639" t="s">
        <v>1847</v>
      </c>
      <c r="E241" s="3915" t="s">
        <v>2988</v>
      </c>
      <c r="F241" s="3915"/>
      <c r="G241" s="3915"/>
      <c r="H241" s="3915"/>
    </row>
    <row r="242" spans="1:8" ht="12.75" customHeight="1">
      <c r="C242" s="1451" t="s">
        <v>4089</v>
      </c>
      <c r="E242" s="3915" t="s">
        <v>3125</v>
      </c>
      <c r="F242" s="3915"/>
      <c r="G242" s="3915"/>
      <c r="H242" s="3915"/>
    </row>
    <row r="243" spans="1:8" ht="12.75" customHeight="1">
      <c r="C243" s="1452"/>
      <c r="D243" s="642" t="s">
        <v>2987</v>
      </c>
      <c r="E243" s="3915" t="s">
        <v>3126</v>
      </c>
      <c r="F243" s="3915"/>
      <c r="G243" s="3915"/>
      <c r="H243" s="3915"/>
    </row>
    <row r="244" spans="1:8" ht="3" customHeight="1">
      <c r="D244" s="639"/>
      <c r="E244" s="1027"/>
      <c r="F244" s="1027"/>
      <c r="G244" s="1027"/>
      <c r="H244" s="1027"/>
    </row>
    <row r="245" spans="1:8" ht="12.75" customHeight="1">
      <c r="C245" s="617" t="s">
        <v>2890</v>
      </c>
      <c r="D245" s="639" t="s">
        <v>1845</v>
      </c>
      <c r="E245" s="640"/>
      <c r="F245" s="636" t="s">
        <v>2891</v>
      </c>
      <c r="G245" s="636"/>
      <c r="H245" s="636"/>
    </row>
    <row r="246" spans="1:8" ht="12.75" customHeight="1">
      <c r="C246" s="641" t="s">
        <v>1276</v>
      </c>
      <c r="D246" s="639" t="s">
        <v>1847</v>
      </c>
      <c r="E246" s="3915" t="s">
        <v>2988</v>
      </c>
      <c r="F246" s="3915"/>
      <c r="G246" s="3915"/>
      <c r="H246" s="3915"/>
    </row>
    <row r="247" spans="1:8" ht="12.75" customHeight="1">
      <c r="C247" s="1451" t="s">
        <v>4089</v>
      </c>
      <c r="E247" s="3915" t="s">
        <v>3125</v>
      </c>
      <c r="F247" s="3915"/>
      <c r="G247" s="3915"/>
      <c r="H247" s="3915"/>
    </row>
    <row r="248" spans="1:8" ht="12.75" customHeight="1">
      <c r="C248" s="1452"/>
      <c r="D248" s="1450" t="s">
        <v>2987</v>
      </c>
      <c r="E248" s="3916" t="s">
        <v>3126</v>
      </c>
      <c r="F248" s="3916"/>
      <c r="G248" s="3916"/>
      <c r="H248" s="3916"/>
    </row>
    <row r="249" spans="1:8" ht="3" customHeight="1">
      <c r="D249" s="639"/>
      <c r="E249" s="1027"/>
      <c r="F249" s="1027"/>
      <c r="G249" s="1027"/>
      <c r="H249" s="1027"/>
    </row>
    <row r="250" spans="1:8" ht="12.75" customHeight="1">
      <c r="C250" s="617" t="s">
        <v>2890</v>
      </c>
      <c r="D250" s="639" t="s">
        <v>1845</v>
      </c>
      <c r="E250" s="640"/>
      <c r="F250" s="636" t="s">
        <v>2891</v>
      </c>
      <c r="G250" s="636"/>
      <c r="H250" s="636"/>
    </row>
    <row r="251" spans="1:8" ht="12.75" customHeight="1">
      <c r="C251" s="641" t="s">
        <v>1276</v>
      </c>
      <c r="D251" s="639" t="s">
        <v>1847</v>
      </c>
      <c r="E251" s="3915" t="s">
        <v>2988</v>
      </c>
      <c r="F251" s="3915"/>
      <c r="G251" s="3915"/>
      <c r="H251" s="3915"/>
    </row>
    <row r="252" spans="1:8" ht="12.75" customHeight="1">
      <c r="C252" s="1451" t="s">
        <v>4089</v>
      </c>
      <c r="E252" s="3915" t="s">
        <v>3125</v>
      </c>
      <c r="F252" s="3915"/>
      <c r="G252" s="3915"/>
      <c r="H252" s="3915"/>
    </row>
    <row r="253" spans="1:8" ht="12.75" customHeight="1">
      <c r="C253" s="1452"/>
      <c r="D253" s="1450" t="s">
        <v>2987</v>
      </c>
      <c r="E253" s="3916" t="s">
        <v>3126</v>
      </c>
      <c r="F253" s="3916"/>
      <c r="G253" s="3916"/>
      <c r="H253" s="3916"/>
    </row>
    <row r="254" spans="1:8" ht="6" customHeight="1">
      <c r="D254" s="639"/>
      <c r="E254" s="1027"/>
      <c r="F254" s="1027"/>
      <c r="G254" s="1027"/>
      <c r="H254" s="1027"/>
    </row>
    <row r="255" spans="1:8">
      <c r="A255" s="620" t="s">
        <v>2983</v>
      </c>
      <c r="B255" s="637" t="str">
        <f>IF('Part V-Revenues &amp; Expenses'!$O$60=0,"",'Part V-Revenues &amp; Expenses'!$O$60)</f>
        <v/>
      </c>
      <c r="C255" s="620" t="s">
        <v>4087</v>
      </c>
      <c r="D255" s="638" t="s">
        <v>4088</v>
      </c>
    </row>
    <row r="256" spans="1:8" ht="1.9" customHeight="1"/>
    <row r="257" spans="1:11" ht="12.75" customHeight="1">
      <c r="C257" s="617" t="s">
        <v>2890</v>
      </c>
      <c r="D257" s="639" t="s">
        <v>1845</v>
      </c>
      <c r="E257" s="640"/>
      <c r="F257" s="3915" t="s">
        <v>2891</v>
      </c>
      <c r="G257" s="3915"/>
      <c r="H257" s="3915"/>
      <c r="K257" s="432" t="s">
        <v>233</v>
      </c>
    </row>
    <row r="258" spans="1:11" ht="12.75" customHeight="1">
      <c r="C258" s="641" t="s">
        <v>1276</v>
      </c>
      <c r="D258" s="639" t="s">
        <v>1847</v>
      </c>
      <c r="E258" s="3915" t="s">
        <v>2989</v>
      </c>
      <c r="F258" s="3915"/>
      <c r="G258" s="3915"/>
      <c r="H258" s="3915"/>
    </row>
    <row r="259" spans="1:11" ht="12.75" customHeight="1">
      <c r="E259" s="3915" t="s">
        <v>3125</v>
      </c>
      <c r="F259" s="3915"/>
      <c r="G259" s="3915"/>
      <c r="H259" s="3915"/>
    </row>
    <row r="260" spans="1:11" ht="12.75" customHeight="1">
      <c r="D260" s="642" t="s">
        <v>2987</v>
      </c>
      <c r="E260" s="3915" t="s">
        <v>3126</v>
      </c>
      <c r="F260" s="3915"/>
      <c r="G260" s="3915"/>
      <c r="H260" s="3915"/>
    </row>
    <row r="261" spans="1:11" ht="9" customHeight="1" thickBot="1"/>
    <row r="262" spans="1:11" ht="16.149999999999999" customHeight="1" thickBot="1">
      <c r="A262" s="3922">
        <v>50</v>
      </c>
      <c r="B262" s="3923"/>
      <c r="C262" s="1453" t="s">
        <v>976</v>
      </c>
    </row>
    <row r="263" spans="1:11" ht="9" customHeight="1">
      <c r="A263" s="611"/>
    </row>
    <row r="264" spans="1:11" ht="28.15" customHeight="1">
      <c r="A264" s="3915" t="s">
        <v>4090</v>
      </c>
      <c r="B264" s="3915"/>
      <c r="C264" s="3915"/>
      <c r="D264" s="3915"/>
      <c r="E264" s="3915"/>
      <c r="F264" s="3915"/>
      <c r="G264" s="3915"/>
      <c r="H264" s="3915"/>
    </row>
    <row r="265" spans="1:11" ht="9" customHeight="1">
      <c r="A265" s="611"/>
    </row>
    <row r="266" spans="1:11">
      <c r="A266" s="620" t="s">
        <v>2983</v>
      </c>
      <c r="B266" s="637" t="str">
        <f>IF('Part V-Revenues &amp; Expenses'!$K$59=0,"",'Part V-Revenues &amp; Expenses'!$K$59)</f>
        <v/>
      </c>
      <c r="C266" s="620" t="s">
        <v>4084</v>
      </c>
      <c r="D266" s="638" t="s">
        <v>4085</v>
      </c>
    </row>
    <row r="267" spans="1:11" ht="1.9" customHeight="1"/>
    <row r="268" spans="1:11" ht="12.75" customHeight="1">
      <c r="C268" s="617" t="s">
        <v>2890</v>
      </c>
      <c r="D268" s="639" t="s">
        <v>1845</v>
      </c>
      <c r="E268" s="640"/>
      <c r="F268" s="3915" t="s">
        <v>2891</v>
      </c>
      <c r="G268" s="3915"/>
      <c r="H268" s="3915"/>
    </row>
    <row r="269" spans="1:11" ht="12.75" customHeight="1">
      <c r="C269" s="641" t="s">
        <v>1276</v>
      </c>
      <c r="D269" s="639" t="s">
        <v>1847</v>
      </c>
      <c r="E269" s="3915" t="s">
        <v>2988</v>
      </c>
      <c r="F269" s="3915"/>
      <c r="G269" s="3915"/>
      <c r="H269" s="3915"/>
    </row>
    <row r="270" spans="1:11" ht="12.75" customHeight="1">
      <c r="C270" s="1451" t="s">
        <v>4089</v>
      </c>
      <c r="E270" s="3915" t="s">
        <v>3125</v>
      </c>
      <c r="F270" s="3915"/>
      <c r="G270" s="3915"/>
      <c r="H270" s="3915"/>
    </row>
    <row r="271" spans="1:11" ht="12.75" customHeight="1">
      <c r="C271" s="1452"/>
      <c r="D271" s="1450" t="s">
        <v>2987</v>
      </c>
      <c r="E271" s="3916" t="s">
        <v>3126</v>
      </c>
      <c r="F271" s="3916"/>
      <c r="G271" s="3916"/>
      <c r="H271" s="3916"/>
    </row>
    <row r="272" spans="1:11" ht="3" customHeight="1">
      <c r="D272" s="639"/>
      <c r="E272" s="1027"/>
      <c r="F272" s="1027"/>
      <c r="G272" s="1027"/>
      <c r="H272" s="1027"/>
    </row>
    <row r="273" spans="1:8" ht="12.75" customHeight="1">
      <c r="C273" s="617" t="s">
        <v>2890</v>
      </c>
      <c r="D273" s="639" t="s">
        <v>1845</v>
      </c>
      <c r="E273" s="640"/>
      <c r="F273" s="636" t="s">
        <v>2891</v>
      </c>
      <c r="G273" s="636"/>
      <c r="H273" s="636"/>
    </row>
    <row r="274" spans="1:8" ht="12.75" customHeight="1">
      <c r="C274" s="641" t="s">
        <v>1276</v>
      </c>
      <c r="D274" s="639" t="s">
        <v>1847</v>
      </c>
      <c r="E274" s="3915" t="s">
        <v>2988</v>
      </c>
      <c r="F274" s="3915"/>
      <c r="G274" s="3915"/>
      <c r="H274" s="3915"/>
    </row>
    <row r="275" spans="1:8" ht="12.75" customHeight="1">
      <c r="C275" s="1451" t="s">
        <v>4089</v>
      </c>
      <c r="E275" s="3915" t="s">
        <v>3125</v>
      </c>
      <c r="F275" s="3915"/>
      <c r="G275" s="3915"/>
      <c r="H275" s="3915"/>
    </row>
    <row r="276" spans="1:8" ht="12.75" customHeight="1">
      <c r="C276" s="1452"/>
      <c r="D276" s="1450" t="s">
        <v>2987</v>
      </c>
      <c r="E276" s="3916" t="s">
        <v>3126</v>
      </c>
      <c r="F276" s="3916"/>
      <c r="G276" s="3916"/>
      <c r="H276" s="3916"/>
    </row>
    <row r="277" spans="1:8" ht="3" customHeight="1">
      <c r="D277" s="639"/>
      <c r="E277" s="1027"/>
      <c r="F277" s="1027"/>
      <c r="G277" s="1027"/>
      <c r="H277" s="1027"/>
    </row>
    <row r="278" spans="1:8" ht="12.75" customHeight="1">
      <c r="C278" s="617" t="s">
        <v>2890</v>
      </c>
      <c r="D278" s="639" t="s">
        <v>1845</v>
      </c>
      <c r="E278" s="640"/>
      <c r="F278" s="636" t="s">
        <v>2891</v>
      </c>
      <c r="G278" s="636"/>
      <c r="H278" s="636"/>
    </row>
    <row r="279" spans="1:8" ht="12.75" customHeight="1">
      <c r="C279" s="641" t="s">
        <v>1276</v>
      </c>
      <c r="D279" s="639" t="s">
        <v>1847</v>
      </c>
      <c r="E279" s="3915" t="s">
        <v>2988</v>
      </c>
      <c r="F279" s="3915"/>
      <c r="G279" s="3915"/>
      <c r="H279" s="3915"/>
    </row>
    <row r="280" spans="1:8" ht="12.75" customHeight="1">
      <c r="C280" s="1451" t="s">
        <v>4089</v>
      </c>
      <c r="E280" s="3915" t="s">
        <v>3125</v>
      </c>
      <c r="F280" s="3915"/>
      <c r="G280" s="3915"/>
      <c r="H280" s="3915"/>
    </row>
    <row r="281" spans="1:8" ht="12.75" customHeight="1">
      <c r="C281" s="1452"/>
      <c r="D281" s="1450" t="s">
        <v>2987</v>
      </c>
      <c r="E281" s="3916" t="s">
        <v>3126</v>
      </c>
      <c r="F281" s="3916"/>
      <c r="G281" s="3916"/>
      <c r="H281" s="3916"/>
    </row>
    <row r="282" spans="1:8" ht="6" customHeight="1">
      <c r="D282" s="639"/>
      <c r="E282" s="1027"/>
      <c r="F282" s="1027"/>
      <c r="G282" s="1027"/>
      <c r="H282" s="1027"/>
    </row>
    <row r="283" spans="1:8">
      <c r="A283" s="620" t="s">
        <v>2983</v>
      </c>
      <c r="B283" s="637" t="str">
        <f>IF('Part V-Revenues &amp; Expenses'!$L$59=0,"",'Part V-Revenues &amp; Expenses'!$L$59)</f>
        <v/>
      </c>
      <c r="C283" s="620" t="s">
        <v>2984</v>
      </c>
      <c r="D283" s="638" t="s">
        <v>3127</v>
      </c>
    </row>
    <row r="284" spans="1:8" ht="1.9" customHeight="1"/>
    <row r="285" spans="1:8" ht="12.75" customHeight="1">
      <c r="C285" s="617" t="s">
        <v>2890</v>
      </c>
      <c r="D285" s="639" t="s">
        <v>1845</v>
      </c>
      <c r="E285" s="640"/>
      <c r="F285" s="636" t="s">
        <v>2891</v>
      </c>
      <c r="G285" s="636"/>
      <c r="H285" s="636"/>
    </row>
    <row r="286" spans="1:8" ht="12.75" customHeight="1">
      <c r="C286" s="641" t="s">
        <v>1276</v>
      </c>
      <c r="D286" s="639" t="s">
        <v>1847</v>
      </c>
      <c r="E286" s="3915" t="s">
        <v>2988</v>
      </c>
      <c r="F286" s="3915"/>
      <c r="G286" s="3915"/>
      <c r="H286" s="3915"/>
    </row>
    <row r="287" spans="1:8" ht="12.75" customHeight="1">
      <c r="C287" s="1451" t="s">
        <v>4089</v>
      </c>
      <c r="E287" s="3915" t="s">
        <v>3125</v>
      </c>
      <c r="F287" s="3915"/>
      <c r="G287" s="3915"/>
      <c r="H287" s="3915"/>
    </row>
    <row r="288" spans="1:8" ht="12.75" customHeight="1">
      <c r="C288" s="1452"/>
      <c r="D288" s="642" t="s">
        <v>2987</v>
      </c>
      <c r="E288" s="3915" t="s">
        <v>3126</v>
      </c>
      <c r="F288" s="3915"/>
      <c r="G288" s="3915"/>
      <c r="H288" s="3915"/>
    </row>
    <row r="289" spans="1:8" ht="3" customHeight="1">
      <c r="D289" s="639"/>
      <c r="E289" s="1027"/>
      <c r="F289" s="1027"/>
      <c r="G289" s="1027"/>
      <c r="H289" s="1027"/>
    </row>
    <row r="290" spans="1:8" ht="12.75" customHeight="1">
      <c r="C290" s="617" t="s">
        <v>2890</v>
      </c>
      <c r="D290" s="639" t="s">
        <v>1845</v>
      </c>
      <c r="E290" s="640"/>
      <c r="F290" s="636" t="s">
        <v>2891</v>
      </c>
      <c r="G290" s="636"/>
      <c r="H290" s="636"/>
    </row>
    <row r="291" spans="1:8" ht="12.75" customHeight="1">
      <c r="C291" s="641" t="s">
        <v>1276</v>
      </c>
      <c r="D291" s="639" t="s">
        <v>1847</v>
      </c>
      <c r="E291" s="3915" t="s">
        <v>2988</v>
      </c>
      <c r="F291" s="3915"/>
      <c r="G291" s="3915"/>
      <c r="H291" s="3915"/>
    </row>
    <row r="292" spans="1:8" ht="12.75" customHeight="1">
      <c r="C292" s="1451" t="s">
        <v>4089</v>
      </c>
      <c r="E292" s="3915" t="s">
        <v>3125</v>
      </c>
      <c r="F292" s="3915"/>
      <c r="G292" s="3915"/>
      <c r="H292" s="3915"/>
    </row>
    <row r="293" spans="1:8" ht="12.75" customHeight="1">
      <c r="C293" s="1452"/>
      <c r="D293" s="1450" t="s">
        <v>2987</v>
      </c>
      <c r="E293" s="3916" t="s">
        <v>3126</v>
      </c>
      <c r="F293" s="3916"/>
      <c r="G293" s="3916"/>
      <c r="H293" s="3916"/>
    </row>
    <row r="294" spans="1:8" ht="3" customHeight="1">
      <c r="D294" s="639"/>
      <c r="E294" s="1027"/>
      <c r="F294" s="1027"/>
      <c r="G294" s="1027"/>
      <c r="H294" s="1027"/>
    </row>
    <row r="295" spans="1:8" ht="12.75" customHeight="1">
      <c r="C295" s="617" t="s">
        <v>2890</v>
      </c>
      <c r="D295" s="639" t="s">
        <v>1845</v>
      </c>
      <c r="E295" s="640"/>
      <c r="F295" s="636" t="s">
        <v>2891</v>
      </c>
      <c r="G295" s="636"/>
      <c r="H295" s="636"/>
    </row>
    <row r="296" spans="1:8" ht="12.75" customHeight="1">
      <c r="C296" s="641" t="s">
        <v>1276</v>
      </c>
      <c r="D296" s="639" t="s">
        <v>1847</v>
      </c>
      <c r="E296" s="3915" t="s">
        <v>2988</v>
      </c>
      <c r="F296" s="3915"/>
      <c r="G296" s="3915"/>
      <c r="H296" s="3915"/>
    </row>
    <row r="297" spans="1:8" ht="12.75" customHeight="1">
      <c r="C297" s="1451" t="s">
        <v>4089</v>
      </c>
      <c r="E297" s="3915" t="s">
        <v>3125</v>
      </c>
      <c r="F297" s="3915"/>
      <c r="G297" s="3915"/>
      <c r="H297" s="3915"/>
    </row>
    <row r="298" spans="1:8" ht="12.75" customHeight="1">
      <c r="C298" s="1452"/>
      <c r="D298" s="1450" t="s">
        <v>2987</v>
      </c>
      <c r="E298" s="3916" t="s">
        <v>3126</v>
      </c>
      <c r="F298" s="3916"/>
      <c r="G298" s="3916"/>
      <c r="H298" s="3916"/>
    </row>
    <row r="299" spans="1:8" ht="6" customHeight="1">
      <c r="D299" s="639"/>
      <c r="E299" s="1027"/>
      <c r="F299" s="1027"/>
      <c r="G299" s="1027"/>
      <c r="H299" s="1027"/>
    </row>
    <row r="300" spans="1:8">
      <c r="A300" s="620" t="s">
        <v>2983</v>
      </c>
      <c r="B300" s="637" t="str">
        <f>IF('Part V-Revenues &amp; Expenses'!$M$59=0,"",'Part V-Revenues &amp; Expenses'!$M$59)</f>
        <v/>
      </c>
      <c r="C300" s="620" t="s">
        <v>2985</v>
      </c>
      <c r="D300" s="638" t="s">
        <v>3128</v>
      </c>
    </row>
    <row r="301" spans="1:8" ht="1.9" customHeight="1"/>
    <row r="302" spans="1:8" ht="12.75" customHeight="1">
      <c r="C302" s="617" t="s">
        <v>2890</v>
      </c>
      <c r="D302" s="639" t="s">
        <v>1845</v>
      </c>
      <c r="E302" s="640"/>
      <c r="F302" s="636" t="s">
        <v>2891</v>
      </c>
      <c r="G302" s="636"/>
      <c r="H302" s="636"/>
    </row>
    <row r="303" spans="1:8" ht="12.75" customHeight="1">
      <c r="C303" s="641" t="s">
        <v>1276</v>
      </c>
      <c r="D303" s="639" t="s">
        <v>1847</v>
      </c>
      <c r="E303" s="3915" t="s">
        <v>2988</v>
      </c>
      <c r="F303" s="3915"/>
      <c r="G303" s="3915"/>
      <c r="H303" s="3915"/>
    </row>
    <row r="304" spans="1:8" ht="12.75" customHeight="1">
      <c r="C304" s="1451" t="s">
        <v>4089</v>
      </c>
      <c r="E304" s="3915" t="s">
        <v>3125</v>
      </c>
      <c r="F304" s="3915"/>
      <c r="G304" s="3915"/>
      <c r="H304" s="3915"/>
    </row>
    <row r="305" spans="1:8" ht="12.75" customHeight="1">
      <c r="C305" s="1452"/>
      <c r="D305" s="642" t="s">
        <v>2987</v>
      </c>
      <c r="E305" s="3915" t="s">
        <v>3126</v>
      </c>
      <c r="F305" s="3915"/>
      <c r="G305" s="3915"/>
      <c r="H305" s="3915"/>
    </row>
    <row r="306" spans="1:8" ht="3" customHeight="1">
      <c r="D306" s="639"/>
      <c r="E306" s="1027"/>
      <c r="F306" s="1027"/>
      <c r="G306" s="1027"/>
      <c r="H306" s="1027"/>
    </row>
    <row r="307" spans="1:8" ht="12.75" customHeight="1">
      <c r="C307" s="617" t="s">
        <v>2890</v>
      </c>
      <c r="D307" s="639" t="s">
        <v>1845</v>
      </c>
      <c r="E307" s="640"/>
      <c r="F307" s="636" t="s">
        <v>2891</v>
      </c>
      <c r="G307" s="636"/>
      <c r="H307" s="636"/>
    </row>
    <row r="308" spans="1:8" ht="12.75" customHeight="1">
      <c r="C308" s="641" t="s">
        <v>1276</v>
      </c>
      <c r="D308" s="639" t="s">
        <v>1847</v>
      </c>
      <c r="E308" s="3915" t="s">
        <v>2988</v>
      </c>
      <c r="F308" s="3915"/>
      <c r="G308" s="3915"/>
      <c r="H308" s="3915"/>
    </row>
    <row r="309" spans="1:8" ht="12.75" customHeight="1">
      <c r="C309" s="1451" t="s">
        <v>4089</v>
      </c>
      <c r="E309" s="3915" t="s">
        <v>3125</v>
      </c>
      <c r="F309" s="3915"/>
      <c r="G309" s="3915"/>
      <c r="H309" s="3915"/>
    </row>
    <row r="310" spans="1:8" ht="12.75" customHeight="1">
      <c r="C310" s="1452"/>
      <c r="D310" s="1450" t="s">
        <v>2987</v>
      </c>
      <c r="E310" s="3916" t="s">
        <v>3126</v>
      </c>
      <c r="F310" s="3916"/>
      <c r="G310" s="3916"/>
      <c r="H310" s="3916"/>
    </row>
    <row r="311" spans="1:8" ht="3" customHeight="1">
      <c r="D311" s="639"/>
      <c r="E311" s="1027"/>
      <c r="F311" s="1027"/>
      <c r="G311" s="1027"/>
      <c r="H311" s="1027"/>
    </row>
    <row r="312" spans="1:8" ht="12.75" customHeight="1">
      <c r="C312" s="617" t="s">
        <v>2890</v>
      </c>
      <c r="D312" s="639" t="s">
        <v>1845</v>
      </c>
      <c r="E312" s="640"/>
      <c r="F312" s="636" t="s">
        <v>2891</v>
      </c>
      <c r="G312" s="636"/>
      <c r="H312" s="636"/>
    </row>
    <row r="313" spans="1:8" ht="12.75" customHeight="1">
      <c r="C313" s="641" t="s">
        <v>1276</v>
      </c>
      <c r="D313" s="639" t="s">
        <v>1847</v>
      </c>
      <c r="E313" s="3915" t="s">
        <v>2988</v>
      </c>
      <c r="F313" s="3915"/>
      <c r="G313" s="3915"/>
      <c r="H313" s="3915"/>
    </row>
    <row r="314" spans="1:8" ht="12.75" customHeight="1">
      <c r="C314" s="1451" t="s">
        <v>4089</v>
      </c>
      <c r="E314" s="3915" t="s">
        <v>3125</v>
      </c>
      <c r="F314" s="3915"/>
      <c r="G314" s="3915"/>
      <c r="H314" s="3915"/>
    </row>
    <row r="315" spans="1:8" ht="12.75" customHeight="1">
      <c r="C315" s="1452"/>
      <c r="D315" s="1450" t="s">
        <v>2987</v>
      </c>
      <c r="E315" s="3916" t="s">
        <v>3126</v>
      </c>
      <c r="F315" s="3916"/>
      <c r="G315" s="3916"/>
      <c r="H315" s="3916"/>
    </row>
    <row r="316" spans="1:8" ht="6" customHeight="1">
      <c r="D316" s="639"/>
      <c r="E316" s="1027"/>
      <c r="F316" s="1027"/>
      <c r="G316" s="1027"/>
      <c r="H316" s="1027"/>
    </row>
    <row r="317" spans="1:8">
      <c r="A317" s="620" t="s">
        <v>2983</v>
      </c>
      <c r="B317" s="637" t="str">
        <f>IF('Part V-Revenues &amp; Expenses'!$N$59=0,"",'Part V-Revenues &amp; Expenses'!$N$59)</f>
        <v/>
      </c>
      <c r="C317" s="620" t="s">
        <v>2986</v>
      </c>
      <c r="D317" s="638" t="s">
        <v>3129</v>
      </c>
    </row>
    <row r="318" spans="1:8" ht="1.9" customHeight="1"/>
    <row r="319" spans="1:8" ht="12.75" customHeight="1">
      <c r="C319" s="617" t="s">
        <v>2890</v>
      </c>
      <c r="D319" s="639" t="s">
        <v>1845</v>
      </c>
      <c r="E319" s="640"/>
      <c r="F319" s="636" t="s">
        <v>2891</v>
      </c>
      <c r="G319" s="636"/>
      <c r="H319" s="636"/>
    </row>
    <row r="320" spans="1:8" ht="12.75" customHeight="1">
      <c r="C320" s="641" t="s">
        <v>1276</v>
      </c>
      <c r="D320" s="639" t="s">
        <v>1847</v>
      </c>
      <c r="E320" s="3915" t="s">
        <v>2988</v>
      </c>
      <c r="F320" s="3915"/>
      <c r="G320" s="3915"/>
      <c r="H320" s="3915"/>
    </row>
    <row r="321" spans="1:11" ht="12.75" customHeight="1">
      <c r="C321" s="1451" t="s">
        <v>4089</v>
      </c>
      <c r="E321" s="3915" t="s">
        <v>3125</v>
      </c>
      <c r="F321" s="3915"/>
      <c r="G321" s="3915"/>
      <c r="H321" s="3915"/>
    </row>
    <row r="322" spans="1:11" ht="12.75" customHeight="1">
      <c r="C322" s="1452"/>
      <c r="D322" s="642" t="s">
        <v>2987</v>
      </c>
      <c r="E322" s="3915" t="s">
        <v>3126</v>
      </c>
      <c r="F322" s="3915"/>
      <c r="G322" s="3915"/>
      <c r="H322" s="3915"/>
    </row>
    <row r="323" spans="1:11" ht="3" customHeight="1">
      <c r="D323" s="639"/>
      <c r="E323" s="1027"/>
      <c r="F323" s="1027"/>
      <c r="G323" s="1027"/>
      <c r="H323" s="1027"/>
    </row>
    <row r="324" spans="1:11" ht="12.75" customHeight="1">
      <c r="C324" s="617" t="s">
        <v>2890</v>
      </c>
      <c r="D324" s="639" t="s">
        <v>1845</v>
      </c>
      <c r="E324" s="640"/>
      <c r="F324" s="636" t="s">
        <v>2891</v>
      </c>
      <c r="G324" s="636"/>
      <c r="H324" s="636"/>
    </row>
    <row r="325" spans="1:11" ht="12.75" customHeight="1">
      <c r="C325" s="641" t="s">
        <v>1276</v>
      </c>
      <c r="D325" s="639" t="s">
        <v>1847</v>
      </c>
      <c r="E325" s="3915" t="s">
        <v>2988</v>
      </c>
      <c r="F325" s="3915"/>
      <c r="G325" s="3915"/>
      <c r="H325" s="3915"/>
    </row>
    <row r="326" spans="1:11" ht="12.75" customHeight="1">
      <c r="C326" s="1451" t="s">
        <v>4089</v>
      </c>
      <c r="E326" s="3915" t="s">
        <v>3125</v>
      </c>
      <c r="F326" s="3915"/>
      <c r="G326" s="3915"/>
      <c r="H326" s="3915"/>
    </row>
    <row r="327" spans="1:11" ht="12.75" customHeight="1">
      <c r="C327" s="1452"/>
      <c r="D327" s="1450" t="s">
        <v>2987</v>
      </c>
      <c r="E327" s="3916" t="s">
        <v>3126</v>
      </c>
      <c r="F327" s="3916"/>
      <c r="G327" s="3916"/>
      <c r="H327" s="3916"/>
    </row>
    <row r="328" spans="1:11" ht="3" customHeight="1">
      <c r="D328" s="639"/>
      <c r="E328" s="1027"/>
      <c r="F328" s="1027"/>
      <c r="G328" s="1027"/>
      <c r="H328" s="1027"/>
    </row>
    <row r="329" spans="1:11" ht="12.75" customHeight="1">
      <c r="C329" s="617" t="s">
        <v>2890</v>
      </c>
      <c r="D329" s="639" t="s">
        <v>1845</v>
      </c>
      <c r="E329" s="640"/>
      <c r="F329" s="636" t="s">
        <v>2891</v>
      </c>
      <c r="G329" s="636"/>
      <c r="H329" s="636"/>
    </row>
    <row r="330" spans="1:11" ht="12.75" customHeight="1">
      <c r="C330" s="641" t="s">
        <v>1276</v>
      </c>
      <c r="D330" s="639" t="s">
        <v>1847</v>
      </c>
      <c r="E330" s="3915" t="s">
        <v>2988</v>
      </c>
      <c r="F330" s="3915"/>
      <c r="G330" s="3915"/>
      <c r="H330" s="3915"/>
    </row>
    <row r="331" spans="1:11" ht="12.75" customHeight="1">
      <c r="C331" s="1451" t="s">
        <v>4089</v>
      </c>
      <c r="E331" s="3915" t="s">
        <v>3125</v>
      </c>
      <c r="F331" s="3915"/>
      <c r="G331" s="3915"/>
      <c r="H331" s="3915"/>
    </row>
    <row r="332" spans="1:11" ht="12.75" customHeight="1">
      <c r="C332" s="1452"/>
      <c r="D332" s="1450" t="s">
        <v>2987</v>
      </c>
      <c r="E332" s="3916" t="s">
        <v>3126</v>
      </c>
      <c r="F332" s="3916"/>
      <c r="G332" s="3916"/>
      <c r="H332" s="3916"/>
    </row>
    <row r="333" spans="1:11" ht="6" customHeight="1">
      <c r="D333" s="639"/>
      <c r="E333" s="1027"/>
      <c r="F333" s="1027"/>
      <c r="G333" s="1027"/>
      <c r="H333" s="1027"/>
    </row>
    <row r="334" spans="1:11">
      <c r="A334" s="620" t="s">
        <v>2983</v>
      </c>
      <c r="B334" s="637" t="str">
        <f>IF('Part V-Revenues &amp; Expenses'!$O$59=0,"",'Part V-Revenues &amp; Expenses'!$O$59)</f>
        <v/>
      </c>
      <c r="C334" s="620" t="s">
        <v>4087</v>
      </c>
      <c r="D334" s="638" t="s">
        <v>4088</v>
      </c>
    </row>
    <row r="335" spans="1:11" ht="1.9" customHeight="1"/>
    <row r="336" spans="1:11" ht="12.75" customHeight="1">
      <c r="C336" s="617" t="s">
        <v>2890</v>
      </c>
      <c r="D336" s="639" t="s">
        <v>1845</v>
      </c>
      <c r="E336" s="640"/>
      <c r="F336" s="3915" t="s">
        <v>2891</v>
      </c>
      <c r="G336" s="3915"/>
      <c r="H336" s="3915"/>
      <c r="K336" s="432" t="s">
        <v>233</v>
      </c>
    </row>
    <row r="337" spans="1:8" ht="12.75" customHeight="1">
      <c r="C337" s="641" t="s">
        <v>1276</v>
      </c>
      <c r="D337" s="639" t="s">
        <v>1847</v>
      </c>
      <c r="E337" s="3915" t="s">
        <v>2989</v>
      </c>
      <c r="F337" s="3915"/>
      <c r="G337" s="3915"/>
      <c r="H337" s="3915"/>
    </row>
    <row r="338" spans="1:8" ht="12.75" customHeight="1">
      <c r="E338" s="3915" t="s">
        <v>3125</v>
      </c>
      <c r="F338" s="3915"/>
      <c r="G338" s="3915"/>
      <c r="H338" s="3915"/>
    </row>
    <row r="339" spans="1:8" ht="12.75" customHeight="1">
      <c r="D339" s="642" t="s">
        <v>2987</v>
      </c>
      <c r="E339" s="3915" t="s">
        <v>3126</v>
      </c>
      <c r="F339" s="3915"/>
      <c r="G339" s="3915"/>
      <c r="H339" s="3915"/>
    </row>
    <row r="340" spans="1:8" ht="9" customHeight="1"/>
    <row r="341" spans="1:8" ht="7.5" customHeight="1" thickBot="1">
      <c r="E341" s="3915"/>
      <c r="F341" s="3915"/>
      <c r="G341" s="3915"/>
      <c r="H341" s="3915"/>
    </row>
    <row r="342" spans="1:8" ht="16.149999999999999" customHeight="1" thickBot="1">
      <c r="A342" s="3922">
        <v>60</v>
      </c>
      <c r="B342" s="3923"/>
      <c r="C342" s="1453" t="s">
        <v>976</v>
      </c>
    </row>
    <row r="343" spans="1:8" ht="9" customHeight="1">
      <c r="A343" s="611"/>
    </row>
    <row r="344" spans="1:8" ht="28.15" customHeight="1">
      <c r="A344" s="3915" t="s">
        <v>4094</v>
      </c>
      <c r="B344" s="3915"/>
      <c r="C344" s="3915"/>
      <c r="D344" s="3915"/>
      <c r="E344" s="3915"/>
      <c r="F344" s="3915"/>
      <c r="G344" s="3915"/>
      <c r="H344" s="3915"/>
    </row>
    <row r="345" spans="1:8" ht="9" customHeight="1">
      <c r="A345" s="611"/>
    </row>
    <row r="346" spans="1:8">
      <c r="A346" s="620" t="s">
        <v>2983</v>
      </c>
      <c r="B346" s="637" t="str">
        <f>IF('Part V-Revenues &amp; Expenses'!$K$58=0,"",'Part V-Revenues &amp; Expenses'!$K$58)</f>
        <v/>
      </c>
      <c r="C346" s="620" t="s">
        <v>4084</v>
      </c>
      <c r="D346" s="638" t="s">
        <v>4085</v>
      </c>
    </row>
    <row r="347" spans="1:8" ht="1.9" customHeight="1"/>
    <row r="348" spans="1:8" ht="12.75" customHeight="1">
      <c r="C348" s="617" t="s">
        <v>2890</v>
      </c>
      <c r="D348" s="639" t="s">
        <v>1845</v>
      </c>
      <c r="E348" s="640"/>
      <c r="F348" s="3915" t="s">
        <v>2891</v>
      </c>
      <c r="G348" s="3915"/>
      <c r="H348" s="3915"/>
    </row>
    <row r="349" spans="1:8" ht="12.75" customHeight="1">
      <c r="C349" s="641" t="s">
        <v>1276</v>
      </c>
      <c r="D349" s="639" t="s">
        <v>1847</v>
      </c>
      <c r="E349" s="3915" t="s">
        <v>2988</v>
      </c>
      <c r="F349" s="3915"/>
      <c r="G349" s="3915"/>
      <c r="H349" s="3915"/>
    </row>
    <row r="350" spans="1:8" ht="12.75" customHeight="1">
      <c r="C350" s="1451" t="s">
        <v>4089</v>
      </c>
      <c r="E350" s="3915" t="s">
        <v>3125</v>
      </c>
      <c r="F350" s="3915"/>
      <c r="G350" s="3915"/>
      <c r="H350" s="3915"/>
    </row>
    <row r="351" spans="1:8" ht="12.75" customHeight="1">
      <c r="C351" s="1452"/>
      <c r="D351" s="1450" t="s">
        <v>2987</v>
      </c>
      <c r="E351" s="3916" t="s">
        <v>3126</v>
      </c>
      <c r="F351" s="3916"/>
      <c r="G351" s="3916"/>
      <c r="H351" s="3916"/>
    </row>
    <row r="352" spans="1:8" ht="3" customHeight="1">
      <c r="D352" s="639"/>
      <c r="E352" s="1027"/>
      <c r="F352" s="1027"/>
      <c r="G352" s="1027"/>
      <c r="H352" s="1027"/>
    </row>
    <row r="353" spans="1:8" ht="12.75" customHeight="1">
      <c r="C353" s="617" t="s">
        <v>2890</v>
      </c>
      <c r="D353" s="639" t="s">
        <v>1845</v>
      </c>
      <c r="E353" s="640"/>
      <c r="F353" s="636" t="s">
        <v>2891</v>
      </c>
      <c r="G353" s="636"/>
      <c r="H353" s="636"/>
    </row>
    <row r="354" spans="1:8" ht="12.75" customHeight="1">
      <c r="C354" s="641" t="s">
        <v>1276</v>
      </c>
      <c r="D354" s="639" t="s">
        <v>1847</v>
      </c>
      <c r="E354" s="3915" t="s">
        <v>2988</v>
      </c>
      <c r="F354" s="3915"/>
      <c r="G354" s="3915"/>
      <c r="H354" s="3915"/>
    </row>
    <row r="355" spans="1:8" ht="12.75" customHeight="1">
      <c r="C355" s="1451" t="s">
        <v>4089</v>
      </c>
      <c r="E355" s="3915" t="s">
        <v>3125</v>
      </c>
      <c r="F355" s="3915"/>
      <c r="G355" s="3915"/>
      <c r="H355" s="3915"/>
    </row>
    <row r="356" spans="1:8" ht="12.75" customHeight="1">
      <c r="C356" s="1452"/>
      <c r="D356" s="1450" t="s">
        <v>2987</v>
      </c>
      <c r="E356" s="3916" t="s">
        <v>3126</v>
      </c>
      <c r="F356" s="3916"/>
      <c r="G356" s="3916"/>
      <c r="H356" s="3916"/>
    </row>
    <row r="357" spans="1:8" ht="3" customHeight="1">
      <c r="D357" s="639"/>
      <c r="E357" s="1027"/>
      <c r="F357" s="1027"/>
      <c r="G357" s="1027"/>
      <c r="H357" s="1027"/>
    </row>
    <row r="358" spans="1:8" ht="12.75" customHeight="1">
      <c r="C358" s="617" t="s">
        <v>2890</v>
      </c>
      <c r="D358" s="639" t="s">
        <v>1845</v>
      </c>
      <c r="E358" s="640"/>
      <c r="F358" s="636" t="s">
        <v>2891</v>
      </c>
      <c r="G358" s="636"/>
      <c r="H358" s="636"/>
    </row>
    <row r="359" spans="1:8" ht="12.75" customHeight="1">
      <c r="C359" s="641" t="s">
        <v>1276</v>
      </c>
      <c r="D359" s="639" t="s">
        <v>1847</v>
      </c>
      <c r="E359" s="3915" t="s">
        <v>2988</v>
      </c>
      <c r="F359" s="3915"/>
      <c r="G359" s="3915"/>
      <c r="H359" s="3915"/>
    </row>
    <row r="360" spans="1:8" ht="12.75" customHeight="1">
      <c r="C360" s="1451" t="s">
        <v>4089</v>
      </c>
      <c r="E360" s="3915" t="s">
        <v>3125</v>
      </c>
      <c r="F360" s="3915"/>
      <c r="G360" s="3915"/>
      <c r="H360" s="3915"/>
    </row>
    <row r="361" spans="1:8" ht="12.75" customHeight="1">
      <c r="C361" s="1452"/>
      <c r="D361" s="1450" t="s">
        <v>2987</v>
      </c>
      <c r="E361" s="3916" t="s">
        <v>3126</v>
      </c>
      <c r="F361" s="3916"/>
      <c r="G361" s="3916"/>
      <c r="H361" s="3916"/>
    </row>
    <row r="362" spans="1:8" ht="6" customHeight="1">
      <c r="D362" s="639"/>
      <c r="E362" s="1027"/>
      <c r="F362" s="1027"/>
      <c r="G362" s="1027"/>
      <c r="H362" s="1027"/>
    </row>
    <row r="363" spans="1:8">
      <c r="A363" s="620" t="s">
        <v>2983</v>
      </c>
      <c r="B363" s="637">
        <f>IF('Part V-Revenues &amp; Expenses'!$L$58=0,"",'Part V-Revenues &amp; Expenses'!$L$58)</f>
        <v>6</v>
      </c>
      <c r="C363" s="620" t="s">
        <v>2984</v>
      </c>
      <c r="D363" s="638" t="s">
        <v>3127</v>
      </c>
    </row>
    <row r="364" spans="1:8" ht="1.9" customHeight="1"/>
    <row r="365" spans="1:8" ht="12.75" customHeight="1">
      <c r="C365" s="617" t="s">
        <v>2890</v>
      </c>
      <c r="D365" s="639" t="s">
        <v>1845</v>
      </c>
      <c r="E365" s="640"/>
      <c r="F365" s="636" t="s">
        <v>2891</v>
      </c>
      <c r="G365" s="636"/>
      <c r="H365" s="636"/>
    </row>
    <row r="366" spans="1:8" ht="12.75" customHeight="1">
      <c r="C366" s="641" t="s">
        <v>1276</v>
      </c>
      <c r="D366" s="639" t="s">
        <v>1847</v>
      </c>
      <c r="E366" s="3915" t="s">
        <v>2988</v>
      </c>
      <c r="F366" s="3915"/>
      <c r="G366" s="3915"/>
      <c r="H366" s="3915"/>
    </row>
    <row r="367" spans="1:8" ht="12.75" customHeight="1">
      <c r="C367" s="1451" t="s">
        <v>4089</v>
      </c>
      <c r="E367" s="3915" t="s">
        <v>3125</v>
      </c>
      <c r="F367" s="3915"/>
      <c r="G367" s="3915"/>
      <c r="H367" s="3915"/>
    </row>
    <row r="368" spans="1:8" ht="12.75" customHeight="1">
      <c r="C368" s="1452"/>
      <c r="D368" s="642" t="s">
        <v>2987</v>
      </c>
      <c r="E368" s="3915" t="s">
        <v>3126</v>
      </c>
      <c r="F368" s="3915"/>
      <c r="G368" s="3915"/>
      <c r="H368" s="3915"/>
    </row>
    <row r="369" spans="1:8" ht="3" customHeight="1">
      <c r="D369" s="639"/>
      <c r="E369" s="1027"/>
      <c r="F369" s="1027"/>
      <c r="G369" s="1027"/>
      <c r="H369" s="1027"/>
    </row>
    <row r="370" spans="1:8" ht="12.75" customHeight="1">
      <c r="C370" s="617" t="s">
        <v>2890</v>
      </c>
      <c r="D370" s="639" t="s">
        <v>1845</v>
      </c>
      <c r="E370" s="640"/>
      <c r="F370" s="636" t="s">
        <v>2891</v>
      </c>
      <c r="G370" s="636"/>
      <c r="H370" s="636"/>
    </row>
    <row r="371" spans="1:8" ht="12.75" customHeight="1">
      <c r="C371" s="641" t="s">
        <v>1276</v>
      </c>
      <c r="D371" s="639" t="s">
        <v>1847</v>
      </c>
      <c r="E371" s="3915" t="s">
        <v>2988</v>
      </c>
      <c r="F371" s="3915"/>
      <c r="G371" s="3915"/>
      <c r="H371" s="3915"/>
    </row>
    <row r="372" spans="1:8" ht="12.75" customHeight="1">
      <c r="C372" s="1451" t="s">
        <v>4089</v>
      </c>
      <c r="E372" s="3915" t="s">
        <v>3125</v>
      </c>
      <c r="F372" s="3915"/>
      <c r="G372" s="3915"/>
      <c r="H372" s="3915"/>
    </row>
    <row r="373" spans="1:8" ht="12.75" customHeight="1">
      <c r="C373" s="1452"/>
      <c r="D373" s="1450" t="s">
        <v>2987</v>
      </c>
      <c r="E373" s="3916" t="s">
        <v>3126</v>
      </c>
      <c r="F373" s="3916"/>
      <c r="G373" s="3916"/>
      <c r="H373" s="3916"/>
    </row>
    <row r="374" spans="1:8" ht="3" customHeight="1">
      <c r="D374" s="639"/>
      <c r="E374" s="1027"/>
      <c r="F374" s="1027"/>
      <c r="G374" s="1027"/>
      <c r="H374" s="1027"/>
    </row>
    <row r="375" spans="1:8" ht="12.75" customHeight="1">
      <c r="C375" s="617" t="s">
        <v>2890</v>
      </c>
      <c r="D375" s="639" t="s">
        <v>1845</v>
      </c>
      <c r="E375" s="640"/>
      <c r="F375" s="636" t="s">
        <v>2891</v>
      </c>
      <c r="G375" s="636"/>
      <c r="H375" s="636"/>
    </row>
    <row r="376" spans="1:8" ht="12.75" customHeight="1">
      <c r="C376" s="641" t="s">
        <v>1276</v>
      </c>
      <c r="D376" s="639" t="s">
        <v>1847</v>
      </c>
      <c r="E376" s="3915" t="s">
        <v>2988</v>
      </c>
      <c r="F376" s="3915"/>
      <c r="G376" s="3915"/>
      <c r="H376" s="3915"/>
    </row>
    <row r="377" spans="1:8" ht="12.75" customHeight="1">
      <c r="C377" s="1451" t="s">
        <v>4089</v>
      </c>
      <c r="E377" s="3915" t="s">
        <v>3125</v>
      </c>
      <c r="F377" s="3915"/>
      <c r="G377" s="3915"/>
      <c r="H377" s="3915"/>
    </row>
    <row r="378" spans="1:8" ht="12.75" customHeight="1">
      <c r="C378" s="1452"/>
      <c r="D378" s="1450" t="s">
        <v>2987</v>
      </c>
      <c r="E378" s="3916" t="s">
        <v>3126</v>
      </c>
      <c r="F378" s="3916"/>
      <c r="G378" s="3916"/>
      <c r="H378" s="3916"/>
    </row>
    <row r="379" spans="1:8" ht="6" customHeight="1">
      <c r="D379" s="639"/>
      <c r="E379" s="1027"/>
      <c r="F379" s="1027"/>
      <c r="G379" s="1027"/>
      <c r="H379" s="1027"/>
    </row>
    <row r="380" spans="1:8">
      <c r="A380" s="620" t="s">
        <v>2983</v>
      </c>
      <c r="B380" s="637">
        <f>IF('Part V-Revenues &amp; Expenses'!$M$58=0,"",'Part V-Revenues &amp; Expenses'!$M$58)</f>
        <v>17</v>
      </c>
      <c r="C380" s="620" t="s">
        <v>2985</v>
      </c>
      <c r="D380" s="638" t="s">
        <v>3128</v>
      </c>
    </row>
    <row r="381" spans="1:8" ht="1.9" customHeight="1"/>
    <row r="382" spans="1:8" ht="12.75" customHeight="1">
      <c r="C382" s="617" t="s">
        <v>2890</v>
      </c>
      <c r="D382" s="639" t="s">
        <v>1845</v>
      </c>
      <c r="E382" s="640"/>
      <c r="F382" s="636" t="s">
        <v>2891</v>
      </c>
      <c r="G382" s="636"/>
      <c r="H382" s="636"/>
    </row>
    <row r="383" spans="1:8" ht="12.75" customHeight="1">
      <c r="C383" s="641" t="s">
        <v>1276</v>
      </c>
      <c r="D383" s="639" t="s">
        <v>1847</v>
      </c>
      <c r="E383" s="3915" t="s">
        <v>2988</v>
      </c>
      <c r="F383" s="3915"/>
      <c r="G383" s="3915"/>
      <c r="H383" s="3915"/>
    </row>
    <row r="384" spans="1:8" ht="12.75" customHeight="1">
      <c r="C384" s="1451" t="s">
        <v>4089</v>
      </c>
      <c r="E384" s="3915" t="s">
        <v>3125</v>
      </c>
      <c r="F384" s="3915"/>
      <c r="G384" s="3915"/>
      <c r="H384" s="3915"/>
    </row>
    <row r="385" spans="1:8" ht="12.75" customHeight="1">
      <c r="C385" s="1452"/>
      <c r="D385" s="642" t="s">
        <v>2987</v>
      </c>
      <c r="E385" s="3915" t="s">
        <v>3126</v>
      </c>
      <c r="F385" s="3915"/>
      <c r="G385" s="3915"/>
      <c r="H385" s="3915"/>
    </row>
    <row r="386" spans="1:8" ht="3" customHeight="1">
      <c r="D386" s="639"/>
      <c r="E386" s="1027"/>
      <c r="F386" s="1027"/>
      <c r="G386" s="1027"/>
      <c r="H386" s="1027"/>
    </row>
    <row r="387" spans="1:8" ht="12.75" customHeight="1">
      <c r="C387" s="617" t="s">
        <v>2890</v>
      </c>
      <c r="D387" s="639" t="s">
        <v>1845</v>
      </c>
      <c r="E387" s="640"/>
      <c r="F387" s="636" t="s">
        <v>2891</v>
      </c>
      <c r="G387" s="636"/>
      <c r="H387" s="636"/>
    </row>
    <row r="388" spans="1:8" ht="12.75" customHeight="1">
      <c r="C388" s="641" t="s">
        <v>1276</v>
      </c>
      <c r="D388" s="639" t="s">
        <v>1847</v>
      </c>
      <c r="E388" s="3915" t="s">
        <v>2988</v>
      </c>
      <c r="F388" s="3915"/>
      <c r="G388" s="3915"/>
      <c r="H388" s="3915"/>
    </row>
    <row r="389" spans="1:8" ht="12.75" customHeight="1">
      <c r="C389" s="1451" t="s">
        <v>4089</v>
      </c>
      <c r="E389" s="3915" t="s">
        <v>3125</v>
      </c>
      <c r="F389" s="3915"/>
      <c r="G389" s="3915"/>
      <c r="H389" s="3915"/>
    </row>
    <row r="390" spans="1:8" ht="12.75" customHeight="1">
      <c r="C390" s="1452"/>
      <c r="D390" s="1450" t="s">
        <v>2987</v>
      </c>
      <c r="E390" s="3916" t="s">
        <v>3126</v>
      </c>
      <c r="F390" s="3916"/>
      <c r="G390" s="3916"/>
      <c r="H390" s="3916"/>
    </row>
    <row r="391" spans="1:8" ht="3" customHeight="1">
      <c r="D391" s="639"/>
      <c r="E391" s="1027"/>
      <c r="F391" s="1027"/>
      <c r="G391" s="1027"/>
      <c r="H391" s="1027"/>
    </row>
    <row r="392" spans="1:8" ht="12.75" customHeight="1">
      <c r="C392" s="617" t="s">
        <v>2890</v>
      </c>
      <c r="D392" s="639" t="s">
        <v>1845</v>
      </c>
      <c r="E392" s="640"/>
      <c r="F392" s="636" t="s">
        <v>2891</v>
      </c>
      <c r="G392" s="636"/>
      <c r="H392" s="636"/>
    </row>
    <row r="393" spans="1:8" ht="12.75" customHeight="1">
      <c r="C393" s="641" t="s">
        <v>1276</v>
      </c>
      <c r="D393" s="639" t="s">
        <v>1847</v>
      </c>
      <c r="E393" s="3915" t="s">
        <v>2988</v>
      </c>
      <c r="F393" s="3915"/>
      <c r="G393" s="3915"/>
      <c r="H393" s="3915"/>
    </row>
    <row r="394" spans="1:8" ht="12.75" customHeight="1">
      <c r="C394" s="1451" t="s">
        <v>4089</v>
      </c>
      <c r="E394" s="3915" t="s">
        <v>3125</v>
      </c>
      <c r="F394" s="3915"/>
      <c r="G394" s="3915"/>
      <c r="H394" s="3915"/>
    </row>
    <row r="395" spans="1:8" ht="12.75" customHeight="1">
      <c r="C395" s="1452"/>
      <c r="D395" s="1450" t="s">
        <v>2987</v>
      </c>
      <c r="E395" s="3916" t="s">
        <v>3126</v>
      </c>
      <c r="F395" s="3916"/>
      <c r="G395" s="3916"/>
      <c r="H395" s="3916"/>
    </row>
    <row r="396" spans="1:8" ht="6" customHeight="1">
      <c r="D396" s="639"/>
      <c r="E396" s="1027"/>
      <c r="F396" s="1027"/>
      <c r="G396" s="1027"/>
      <c r="H396" s="1027"/>
    </row>
    <row r="397" spans="1:8">
      <c r="A397" s="620" t="s">
        <v>2983</v>
      </c>
      <c r="B397" s="637">
        <f>IF('Part V-Revenues &amp; Expenses'!$N$58=0,"",'Part V-Revenues &amp; Expenses'!$N$58)</f>
        <v>23</v>
      </c>
      <c r="C397" s="620" t="s">
        <v>2986</v>
      </c>
      <c r="D397" s="638" t="s">
        <v>3129</v>
      </c>
    </row>
    <row r="398" spans="1:8" ht="1.9" customHeight="1"/>
    <row r="399" spans="1:8" ht="12.75" customHeight="1">
      <c r="C399" s="617" t="s">
        <v>2890</v>
      </c>
      <c r="D399" s="639" t="s">
        <v>1845</v>
      </c>
      <c r="E399" s="640"/>
      <c r="F399" s="636" t="s">
        <v>2891</v>
      </c>
      <c r="G399" s="636"/>
      <c r="H399" s="636"/>
    </row>
    <row r="400" spans="1:8" ht="12.75" customHeight="1">
      <c r="C400" s="641" t="s">
        <v>1276</v>
      </c>
      <c r="D400" s="639" t="s">
        <v>1847</v>
      </c>
      <c r="E400" s="3915" t="s">
        <v>2988</v>
      </c>
      <c r="F400" s="3915"/>
      <c r="G400" s="3915"/>
      <c r="H400" s="3915"/>
    </row>
    <row r="401" spans="1:11" ht="12.75" customHeight="1">
      <c r="C401" s="1451" t="s">
        <v>4089</v>
      </c>
      <c r="E401" s="3915" t="s">
        <v>3125</v>
      </c>
      <c r="F401" s="3915"/>
      <c r="G401" s="3915"/>
      <c r="H401" s="3915"/>
    </row>
    <row r="402" spans="1:11" ht="12.75" customHeight="1">
      <c r="C402" s="1452"/>
      <c r="D402" s="642" t="s">
        <v>2987</v>
      </c>
      <c r="E402" s="3915" t="s">
        <v>3126</v>
      </c>
      <c r="F402" s="3915"/>
      <c r="G402" s="3915"/>
      <c r="H402" s="3915"/>
    </row>
    <row r="403" spans="1:11" ht="3" customHeight="1">
      <c r="D403" s="639"/>
      <c r="E403" s="1027"/>
      <c r="F403" s="1027"/>
      <c r="G403" s="1027"/>
      <c r="H403" s="1027"/>
    </row>
    <row r="404" spans="1:11" ht="12.75" customHeight="1">
      <c r="C404" s="617" t="s">
        <v>2890</v>
      </c>
      <c r="D404" s="639" t="s">
        <v>1845</v>
      </c>
      <c r="E404" s="640"/>
      <c r="F404" s="636" t="s">
        <v>2891</v>
      </c>
      <c r="G404" s="636"/>
      <c r="H404" s="636"/>
    </row>
    <row r="405" spans="1:11" ht="12.75" customHeight="1">
      <c r="C405" s="641" t="s">
        <v>1276</v>
      </c>
      <c r="D405" s="639" t="s">
        <v>1847</v>
      </c>
      <c r="E405" s="3915" t="s">
        <v>2988</v>
      </c>
      <c r="F405" s="3915"/>
      <c r="G405" s="3915"/>
      <c r="H405" s="3915"/>
    </row>
    <row r="406" spans="1:11" ht="12.75" customHeight="1">
      <c r="C406" s="1451" t="s">
        <v>4089</v>
      </c>
      <c r="E406" s="3915" t="s">
        <v>3125</v>
      </c>
      <c r="F406" s="3915"/>
      <c r="G406" s="3915"/>
      <c r="H406" s="3915"/>
    </row>
    <row r="407" spans="1:11" ht="12.75" customHeight="1">
      <c r="C407" s="1452"/>
      <c r="D407" s="1450" t="s">
        <v>2987</v>
      </c>
      <c r="E407" s="3916" t="s">
        <v>3126</v>
      </c>
      <c r="F407" s="3916"/>
      <c r="G407" s="3916"/>
      <c r="H407" s="3916"/>
    </row>
    <row r="408" spans="1:11" ht="3" customHeight="1">
      <c r="D408" s="639"/>
      <c r="E408" s="1027"/>
      <c r="F408" s="1027"/>
      <c r="G408" s="1027"/>
      <c r="H408" s="1027"/>
    </row>
    <row r="409" spans="1:11" ht="12.75" customHeight="1">
      <c r="C409" s="617" t="s">
        <v>2890</v>
      </c>
      <c r="D409" s="639" t="s">
        <v>1845</v>
      </c>
      <c r="E409" s="640"/>
      <c r="F409" s="636" t="s">
        <v>2891</v>
      </c>
      <c r="G409" s="636"/>
      <c r="H409" s="636"/>
    </row>
    <row r="410" spans="1:11" ht="12.75" customHeight="1">
      <c r="C410" s="641" t="s">
        <v>1276</v>
      </c>
      <c r="D410" s="639" t="s">
        <v>1847</v>
      </c>
      <c r="E410" s="3915" t="s">
        <v>2988</v>
      </c>
      <c r="F410" s="3915"/>
      <c r="G410" s="3915"/>
      <c r="H410" s="3915"/>
    </row>
    <row r="411" spans="1:11" ht="12.75" customHeight="1">
      <c r="C411" s="1451" t="s">
        <v>4089</v>
      </c>
      <c r="E411" s="3915" t="s">
        <v>3125</v>
      </c>
      <c r="F411" s="3915"/>
      <c r="G411" s="3915"/>
      <c r="H411" s="3915"/>
    </row>
    <row r="412" spans="1:11" ht="12.75" customHeight="1">
      <c r="C412" s="1452"/>
      <c r="D412" s="1450" t="s">
        <v>2987</v>
      </c>
      <c r="E412" s="3916" t="s">
        <v>3126</v>
      </c>
      <c r="F412" s="3916"/>
      <c r="G412" s="3916"/>
      <c r="H412" s="3916"/>
    </row>
    <row r="413" spans="1:11" ht="6" customHeight="1">
      <c r="D413" s="639"/>
      <c r="E413" s="1027"/>
      <c r="F413" s="1027"/>
      <c r="G413" s="1027"/>
      <c r="H413" s="1027"/>
    </row>
    <row r="414" spans="1:11">
      <c r="A414" s="620" t="s">
        <v>2983</v>
      </c>
      <c r="B414" s="637">
        <f>IF('Part V-Revenues &amp; Expenses'!$O$58=0,"",'Part V-Revenues &amp; Expenses'!$O$58)</f>
        <v>12</v>
      </c>
      <c r="C414" s="620" t="s">
        <v>4087</v>
      </c>
      <c r="D414" s="638" t="s">
        <v>4088</v>
      </c>
    </row>
    <row r="415" spans="1:11" ht="1.9" customHeight="1"/>
    <row r="416" spans="1:11" ht="12.75" customHeight="1">
      <c r="C416" s="617" t="s">
        <v>2890</v>
      </c>
      <c r="D416" s="639" t="s">
        <v>1845</v>
      </c>
      <c r="E416" s="640"/>
      <c r="F416" s="3915" t="s">
        <v>2891</v>
      </c>
      <c r="G416" s="3915"/>
      <c r="H416" s="3915"/>
      <c r="K416" s="432" t="s">
        <v>233</v>
      </c>
    </row>
    <row r="417" spans="1:8" ht="12.75" customHeight="1">
      <c r="C417" s="641" t="s">
        <v>1276</v>
      </c>
      <c r="D417" s="639" t="s">
        <v>1847</v>
      </c>
      <c r="E417" s="3915" t="s">
        <v>2989</v>
      </c>
      <c r="F417" s="3915"/>
      <c r="G417" s="3915"/>
      <c r="H417" s="3915"/>
    </row>
    <row r="418" spans="1:8" ht="12.75" customHeight="1">
      <c r="E418" s="3915" t="s">
        <v>3125</v>
      </c>
      <c r="F418" s="3915"/>
      <c r="G418" s="3915"/>
      <c r="H418" s="3915"/>
    </row>
    <row r="419" spans="1:8" ht="12.75" customHeight="1">
      <c r="D419" s="642" t="s">
        <v>2987</v>
      </c>
      <c r="E419" s="3915" t="s">
        <v>3126</v>
      </c>
      <c r="F419" s="3915"/>
      <c r="G419" s="3915"/>
      <c r="H419" s="3915"/>
    </row>
    <row r="420" spans="1:8" ht="9" customHeight="1" thickBot="1"/>
    <row r="421" spans="1:8" ht="16.149999999999999" customHeight="1" thickBot="1">
      <c r="A421" s="3922">
        <v>70</v>
      </c>
      <c r="B421" s="3923"/>
      <c r="C421" s="1453" t="s">
        <v>976</v>
      </c>
    </row>
    <row r="422" spans="1:8" ht="9" customHeight="1">
      <c r="A422" s="611"/>
    </row>
    <row r="423" spans="1:8" ht="28.15" customHeight="1">
      <c r="A423" s="3915" t="s">
        <v>4095</v>
      </c>
      <c r="B423" s="3915"/>
      <c r="C423" s="3915"/>
      <c r="D423" s="3915"/>
      <c r="E423" s="3915"/>
      <c r="F423" s="3915"/>
      <c r="G423" s="3915"/>
      <c r="H423" s="3915"/>
    </row>
    <row r="424" spans="1:8" ht="9" customHeight="1">
      <c r="A424" s="611"/>
    </row>
    <row r="425" spans="1:8">
      <c r="A425" s="620" t="s">
        <v>2983</v>
      </c>
      <c r="B425" s="637" t="str">
        <f>IF('Part V-Revenues &amp; Expenses'!$K$57=0,"",'Part V-Revenues &amp; Expenses'!$K$57)</f>
        <v/>
      </c>
      <c r="C425" s="620" t="s">
        <v>4084</v>
      </c>
      <c r="D425" s="638" t="s">
        <v>4085</v>
      </c>
    </row>
    <row r="426" spans="1:8" ht="1.9" customHeight="1"/>
    <row r="427" spans="1:8" ht="12.75" customHeight="1">
      <c r="C427" s="617" t="s">
        <v>2890</v>
      </c>
      <c r="D427" s="639" t="s">
        <v>1845</v>
      </c>
      <c r="E427" s="640"/>
      <c r="F427" s="3915" t="s">
        <v>2891</v>
      </c>
      <c r="G427" s="3915"/>
      <c r="H427" s="3915"/>
    </row>
    <row r="428" spans="1:8" ht="12.75" customHeight="1">
      <c r="C428" s="641" t="s">
        <v>1276</v>
      </c>
      <c r="D428" s="639" t="s">
        <v>1847</v>
      </c>
      <c r="E428" s="3915" t="s">
        <v>2988</v>
      </c>
      <c r="F428" s="3915"/>
      <c r="G428" s="3915"/>
      <c r="H428" s="3915"/>
    </row>
    <row r="429" spans="1:8" ht="12.75" customHeight="1">
      <c r="C429" s="1451" t="s">
        <v>4089</v>
      </c>
      <c r="E429" s="3915" t="s">
        <v>3125</v>
      </c>
      <c r="F429" s="3915"/>
      <c r="G429" s="3915"/>
      <c r="H429" s="3915"/>
    </row>
    <row r="430" spans="1:8" ht="12.75" customHeight="1">
      <c r="C430" s="1452"/>
      <c r="D430" s="1450" t="s">
        <v>2987</v>
      </c>
      <c r="E430" s="3916" t="s">
        <v>3126</v>
      </c>
      <c r="F430" s="3916"/>
      <c r="G430" s="3916"/>
      <c r="H430" s="3916"/>
    </row>
    <row r="431" spans="1:8" ht="3" customHeight="1">
      <c r="D431" s="639"/>
      <c r="E431" s="1027"/>
      <c r="F431" s="1027"/>
      <c r="G431" s="1027"/>
      <c r="H431" s="1027"/>
    </row>
    <row r="432" spans="1:8" ht="12.75" customHeight="1">
      <c r="C432" s="617" t="s">
        <v>2890</v>
      </c>
      <c r="D432" s="639" t="s">
        <v>1845</v>
      </c>
      <c r="E432" s="640"/>
      <c r="F432" s="636" t="s">
        <v>2891</v>
      </c>
      <c r="G432" s="636"/>
      <c r="H432" s="636"/>
    </row>
    <row r="433" spans="1:8" ht="12.75" customHeight="1">
      <c r="C433" s="641" t="s">
        <v>1276</v>
      </c>
      <c r="D433" s="639" t="s">
        <v>1847</v>
      </c>
      <c r="E433" s="3915" t="s">
        <v>2988</v>
      </c>
      <c r="F433" s="3915"/>
      <c r="G433" s="3915"/>
      <c r="H433" s="3915"/>
    </row>
    <row r="434" spans="1:8" ht="12.75" customHeight="1">
      <c r="C434" s="1451" t="s">
        <v>4089</v>
      </c>
      <c r="E434" s="3915" t="s">
        <v>3125</v>
      </c>
      <c r="F434" s="3915"/>
      <c r="G434" s="3915"/>
      <c r="H434" s="3915"/>
    </row>
    <row r="435" spans="1:8" ht="12.75" customHeight="1">
      <c r="C435" s="1452"/>
      <c r="D435" s="1450" t="s">
        <v>2987</v>
      </c>
      <c r="E435" s="3916" t="s">
        <v>3126</v>
      </c>
      <c r="F435" s="3916"/>
      <c r="G435" s="3916"/>
      <c r="H435" s="3916"/>
    </row>
    <row r="436" spans="1:8" ht="3" customHeight="1">
      <c r="D436" s="639"/>
      <c r="E436" s="1027"/>
      <c r="F436" s="1027"/>
      <c r="G436" s="1027"/>
      <c r="H436" s="1027"/>
    </row>
    <row r="437" spans="1:8" ht="12.75" customHeight="1">
      <c r="C437" s="617" t="s">
        <v>2890</v>
      </c>
      <c r="D437" s="639" t="s">
        <v>1845</v>
      </c>
      <c r="E437" s="640"/>
      <c r="F437" s="636" t="s">
        <v>2891</v>
      </c>
      <c r="G437" s="636"/>
      <c r="H437" s="636"/>
    </row>
    <row r="438" spans="1:8" ht="12.75" customHeight="1">
      <c r="C438" s="641" t="s">
        <v>1276</v>
      </c>
      <c r="D438" s="639" t="s">
        <v>1847</v>
      </c>
      <c r="E438" s="3915" t="s">
        <v>2988</v>
      </c>
      <c r="F438" s="3915"/>
      <c r="G438" s="3915"/>
      <c r="H438" s="3915"/>
    </row>
    <row r="439" spans="1:8" ht="12.75" customHeight="1">
      <c r="C439" s="1451" t="s">
        <v>4089</v>
      </c>
      <c r="E439" s="3915" t="s">
        <v>3125</v>
      </c>
      <c r="F439" s="3915"/>
      <c r="G439" s="3915"/>
      <c r="H439" s="3915"/>
    </row>
    <row r="440" spans="1:8" ht="12.75" customHeight="1">
      <c r="C440" s="1452"/>
      <c r="D440" s="1450" t="s">
        <v>2987</v>
      </c>
      <c r="E440" s="3916" t="s">
        <v>3126</v>
      </c>
      <c r="F440" s="3916"/>
      <c r="G440" s="3916"/>
      <c r="H440" s="3916"/>
    </row>
    <row r="441" spans="1:8" ht="6" customHeight="1">
      <c r="D441" s="639"/>
      <c r="E441" s="1027"/>
      <c r="F441" s="1027"/>
      <c r="G441" s="1027"/>
      <c r="H441" s="1027"/>
    </row>
    <row r="442" spans="1:8">
      <c r="A442" s="620" t="s">
        <v>2983</v>
      </c>
      <c r="B442" s="637" t="str">
        <f>IF('Part V-Revenues &amp; Expenses'!$L$57=0,"",'Part V-Revenues &amp; Expenses'!$L$57)</f>
        <v/>
      </c>
      <c r="C442" s="620" t="s">
        <v>2984</v>
      </c>
      <c r="D442" s="638" t="s">
        <v>3127</v>
      </c>
    </row>
    <row r="443" spans="1:8" ht="1.9" customHeight="1"/>
    <row r="444" spans="1:8" ht="12.75" customHeight="1">
      <c r="C444" s="617" t="s">
        <v>2890</v>
      </c>
      <c r="D444" s="639" t="s">
        <v>1845</v>
      </c>
      <c r="E444" s="640"/>
      <c r="F444" s="636" t="s">
        <v>2891</v>
      </c>
      <c r="G444" s="636"/>
      <c r="H444" s="636"/>
    </row>
    <row r="445" spans="1:8" ht="12.75" customHeight="1">
      <c r="C445" s="641" t="s">
        <v>1276</v>
      </c>
      <c r="D445" s="639" t="s">
        <v>1847</v>
      </c>
      <c r="E445" s="3915" t="s">
        <v>2988</v>
      </c>
      <c r="F445" s="3915"/>
      <c r="G445" s="3915"/>
      <c r="H445" s="3915"/>
    </row>
    <row r="446" spans="1:8" ht="12.75" customHeight="1">
      <c r="C446" s="1451" t="s">
        <v>4089</v>
      </c>
      <c r="E446" s="3915" t="s">
        <v>3125</v>
      </c>
      <c r="F446" s="3915"/>
      <c r="G446" s="3915"/>
      <c r="H446" s="3915"/>
    </row>
    <row r="447" spans="1:8" ht="12.75" customHeight="1">
      <c r="C447" s="1452"/>
      <c r="D447" s="642" t="s">
        <v>2987</v>
      </c>
      <c r="E447" s="3915" t="s">
        <v>3126</v>
      </c>
      <c r="F447" s="3915"/>
      <c r="G447" s="3915"/>
      <c r="H447" s="3915"/>
    </row>
    <row r="448" spans="1:8" ht="3" customHeight="1">
      <c r="D448" s="639"/>
      <c r="E448" s="1027"/>
      <c r="F448" s="1027"/>
      <c r="G448" s="1027"/>
      <c r="H448" s="1027"/>
    </row>
    <row r="449" spans="1:8" ht="12.75" customHeight="1">
      <c r="C449" s="617" t="s">
        <v>2890</v>
      </c>
      <c r="D449" s="639" t="s">
        <v>1845</v>
      </c>
      <c r="E449" s="640"/>
      <c r="F449" s="636" t="s">
        <v>2891</v>
      </c>
      <c r="G449" s="636"/>
      <c r="H449" s="636"/>
    </row>
    <row r="450" spans="1:8" ht="12.75" customHeight="1">
      <c r="C450" s="641" t="s">
        <v>1276</v>
      </c>
      <c r="D450" s="639" t="s">
        <v>1847</v>
      </c>
      <c r="E450" s="3915" t="s">
        <v>2988</v>
      </c>
      <c r="F450" s="3915"/>
      <c r="G450" s="3915"/>
      <c r="H450" s="3915"/>
    </row>
    <row r="451" spans="1:8" ht="12.75" customHeight="1">
      <c r="C451" s="1451" t="s">
        <v>4089</v>
      </c>
      <c r="E451" s="3915" t="s">
        <v>3125</v>
      </c>
      <c r="F451" s="3915"/>
      <c r="G451" s="3915"/>
      <c r="H451" s="3915"/>
    </row>
    <row r="452" spans="1:8" ht="12.75" customHeight="1">
      <c r="C452" s="1452"/>
      <c r="D452" s="1450" t="s">
        <v>2987</v>
      </c>
      <c r="E452" s="3916" t="s">
        <v>3126</v>
      </c>
      <c r="F452" s="3916"/>
      <c r="G452" s="3916"/>
      <c r="H452" s="3916"/>
    </row>
    <row r="453" spans="1:8" ht="3" customHeight="1">
      <c r="D453" s="639"/>
      <c r="E453" s="1027"/>
      <c r="F453" s="1027"/>
      <c r="G453" s="1027"/>
      <c r="H453" s="1027"/>
    </row>
    <row r="454" spans="1:8" ht="12.75" customHeight="1">
      <c r="C454" s="617" t="s">
        <v>2890</v>
      </c>
      <c r="D454" s="639" t="s">
        <v>1845</v>
      </c>
      <c r="E454" s="640"/>
      <c r="F454" s="636" t="s">
        <v>2891</v>
      </c>
      <c r="G454" s="636"/>
      <c r="H454" s="636"/>
    </row>
    <row r="455" spans="1:8" ht="12.75" customHeight="1">
      <c r="C455" s="641" t="s">
        <v>1276</v>
      </c>
      <c r="D455" s="639" t="s">
        <v>1847</v>
      </c>
      <c r="E455" s="3915" t="s">
        <v>2988</v>
      </c>
      <c r="F455" s="3915"/>
      <c r="G455" s="3915"/>
      <c r="H455" s="3915"/>
    </row>
    <row r="456" spans="1:8" ht="12.75" customHeight="1">
      <c r="C456" s="1451" t="s">
        <v>4089</v>
      </c>
      <c r="E456" s="3915" t="s">
        <v>3125</v>
      </c>
      <c r="F456" s="3915"/>
      <c r="G456" s="3915"/>
      <c r="H456" s="3915"/>
    </row>
    <row r="457" spans="1:8" ht="12.75" customHeight="1">
      <c r="C457" s="1452"/>
      <c r="D457" s="1450" t="s">
        <v>2987</v>
      </c>
      <c r="E457" s="3916" t="s">
        <v>3126</v>
      </c>
      <c r="F457" s="3916"/>
      <c r="G457" s="3916"/>
      <c r="H457" s="3916"/>
    </row>
    <row r="458" spans="1:8" ht="6" customHeight="1">
      <c r="D458" s="639"/>
      <c r="E458" s="1027"/>
      <c r="F458" s="1027"/>
      <c r="G458" s="1027"/>
      <c r="H458" s="1027"/>
    </row>
    <row r="459" spans="1:8">
      <c r="A459" s="620" t="s">
        <v>2983</v>
      </c>
      <c r="B459" s="637" t="str">
        <f>IF('Part V-Revenues &amp; Expenses'!$M$57=0,"",'Part V-Revenues &amp; Expenses'!$M$57)</f>
        <v/>
      </c>
      <c r="C459" s="620" t="s">
        <v>2985</v>
      </c>
      <c r="D459" s="638" t="s">
        <v>3128</v>
      </c>
    </row>
    <row r="460" spans="1:8" ht="1.9" customHeight="1"/>
    <row r="461" spans="1:8" ht="12.75" customHeight="1">
      <c r="C461" s="617" t="s">
        <v>2890</v>
      </c>
      <c r="D461" s="639" t="s">
        <v>1845</v>
      </c>
      <c r="E461" s="640"/>
      <c r="F461" s="636" t="s">
        <v>2891</v>
      </c>
      <c r="G461" s="636"/>
      <c r="H461" s="636"/>
    </row>
    <row r="462" spans="1:8" ht="12.75" customHeight="1">
      <c r="C462" s="641" t="s">
        <v>1276</v>
      </c>
      <c r="D462" s="639" t="s">
        <v>1847</v>
      </c>
      <c r="E462" s="3915" t="s">
        <v>2988</v>
      </c>
      <c r="F462" s="3915"/>
      <c r="G462" s="3915"/>
      <c r="H462" s="3915"/>
    </row>
    <row r="463" spans="1:8" ht="12.75" customHeight="1">
      <c r="C463" s="1451" t="s">
        <v>4089</v>
      </c>
      <c r="E463" s="3915" t="s">
        <v>3125</v>
      </c>
      <c r="F463" s="3915"/>
      <c r="G463" s="3915"/>
      <c r="H463" s="3915"/>
    </row>
    <row r="464" spans="1:8" ht="12.75" customHeight="1">
      <c r="C464" s="1452"/>
      <c r="D464" s="642" t="s">
        <v>2987</v>
      </c>
      <c r="E464" s="3915" t="s">
        <v>3126</v>
      </c>
      <c r="F464" s="3915"/>
      <c r="G464" s="3915"/>
      <c r="H464" s="3915"/>
    </row>
    <row r="465" spans="1:8" ht="3" customHeight="1">
      <c r="D465" s="639"/>
      <c r="E465" s="1027"/>
      <c r="F465" s="1027"/>
      <c r="G465" s="1027"/>
      <c r="H465" s="1027"/>
    </row>
    <row r="466" spans="1:8" ht="12.75" customHeight="1">
      <c r="C466" s="617" t="s">
        <v>2890</v>
      </c>
      <c r="D466" s="639" t="s">
        <v>1845</v>
      </c>
      <c r="E466" s="640"/>
      <c r="F466" s="636" t="s">
        <v>2891</v>
      </c>
      <c r="G466" s="636"/>
      <c r="H466" s="636"/>
    </row>
    <row r="467" spans="1:8" ht="12.75" customHeight="1">
      <c r="C467" s="641" t="s">
        <v>1276</v>
      </c>
      <c r="D467" s="639" t="s">
        <v>1847</v>
      </c>
      <c r="E467" s="3915" t="s">
        <v>2988</v>
      </c>
      <c r="F467" s="3915"/>
      <c r="G467" s="3915"/>
      <c r="H467" s="3915"/>
    </row>
    <row r="468" spans="1:8" ht="12.75" customHeight="1">
      <c r="C468" s="1451" t="s">
        <v>4089</v>
      </c>
      <c r="E468" s="3915" t="s">
        <v>3125</v>
      </c>
      <c r="F468" s="3915"/>
      <c r="G468" s="3915"/>
      <c r="H468" s="3915"/>
    </row>
    <row r="469" spans="1:8" ht="12.75" customHeight="1">
      <c r="C469" s="1452"/>
      <c r="D469" s="1450" t="s">
        <v>2987</v>
      </c>
      <c r="E469" s="3916" t="s">
        <v>3126</v>
      </c>
      <c r="F469" s="3916"/>
      <c r="G469" s="3916"/>
      <c r="H469" s="3916"/>
    </row>
    <row r="470" spans="1:8" ht="3" customHeight="1">
      <c r="D470" s="639"/>
      <c r="E470" s="1027"/>
      <c r="F470" s="1027"/>
      <c r="G470" s="1027"/>
      <c r="H470" s="1027"/>
    </row>
    <row r="471" spans="1:8" ht="12.75" customHeight="1">
      <c r="C471" s="617" t="s">
        <v>2890</v>
      </c>
      <c r="D471" s="639" t="s">
        <v>1845</v>
      </c>
      <c r="E471" s="640"/>
      <c r="F471" s="636" t="s">
        <v>2891</v>
      </c>
      <c r="G471" s="636"/>
      <c r="H471" s="636"/>
    </row>
    <row r="472" spans="1:8" ht="12.75" customHeight="1">
      <c r="C472" s="641" t="s">
        <v>1276</v>
      </c>
      <c r="D472" s="639" t="s">
        <v>1847</v>
      </c>
      <c r="E472" s="3915" t="s">
        <v>2988</v>
      </c>
      <c r="F472" s="3915"/>
      <c r="G472" s="3915"/>
      <c r="H472" s="3915"/>
    </row>
    <row r="473" spans="1:8" ht="12.75" customHeight="1">
      <c r="C473" s="1451" t="s">
        <v>4089</v>
      </c>
      <c r="E473" s="3915" t="s">
        <v>3125</v>
      </c>
      <c r="F473" s="3915"/>
      <c r="G473" s="3915"/>
      <c r="H473" s="3915"/>
    </row>
    <row r="474" spans="1:8" ht="12.75" customHeight="1">
      <c r="C474" s="1452"/>
      <c r="D474" s="1450" t="s">
        <v>2987</v>
      </c>
      <c r="E474" s="3916" t="s">
        <v>3126</v>
      </c>
      <c r="F474" s="3916"/>
      <c r="G474" s="3916"/>
      <c r="H474" s="3916"/>
    </row>
    <row r="475" spans="1:8" ht="6" customHeight="1">
      <c r="D475" s="639"/>
      <c r="E475" s="1027"/>
      <c r="F475" s="1027"/>
      <c r="G475" s="1027"/>
      <c r="H475" s="1027"/>
    </row>
    <row r="476" spans="1:8">
      <c r="A476" s="620" t="s">
        <v>2983</v>
      </c>
      <c r="B476" s="637" t="str">
        <f>IF('Part V-Revenues &amp; Expenses'!$N$57=0,"",'Part V-Revenues &amp; Expenses'!$N$57)</f>
        <v/>
      </c>
      <c r="C476" s="620" t="s">
        <v>2986</v>
      </c>
      <c r="D476" s="638" t="s">
        <v>3129</v>
      </c>
    </row>
    <row r="477" spans="1:8" ht="1.9" customHeight="1"/>
    <row r="478" spans="1:8" ht="12.75" customHeight="1">
      <c r="C478" s="617" t="s">
        <v>2890</v>
      </c>
      <c r="D478" s="639" t="s">
        <v>1845</v>
      </c>
      <c r="E478" s="640"/>
      <c r="F478" s="636" t="s">
        <v>2891</v>
      </c>
      <c r="G478" s="636"/>
      <c r="H478" s="636"/>
    </row>
    <row r="479" spans="1:8" ht="12.75" customHeight="1">
      <c r="C479" s="641" t="s">
        <v>1276</v>
      </c>
      <c r="D479" s="639" t="s">
        <v>1847</v>
      </c>
      <c r="E479" s="3915" t="s">
        <v>2988</v>
      </c>
      <c r="F479" s="3915"/>
      <c r="G479" s="3915"/>
      <c r="H479" s="3915"/>
    </row>
    <row r="480" spans="1:8" ht="12.75" customHeight="1">
      <c r="C480" s="1451" t="s">
        <v>4089</v>
      </c>
      <c r="E480" s="3915" t="s">
        <v>3125</v>
      </c>
      <c r="F480" s="3915"/>
      <c r="G480" s="3915"/>
      <c r="H480" s="3915"/>
    </row>
    <row r="481" spans="1:11" ht="12.75" customHeight="1">
      <c r="C481" s="1452"/>
      <c r="D481" s="642" t="s">
        <v>2987</v>
      </c>
      <c r="E481" s="3915" t="s">
        <v>3126</v>
      </c>
      <c r="F481" s="3915"/>
      <c r="G481" s="3915"/>
      <c r="H481" s="3915"/>
    </row>
    <row r="482" spans="1:11" ht="3" customHeight="1">
      <c r="D482" s="639"/>
      <c r="E482" s="1027"/>
      <c r="F482" s="1027"/>
      <c r="G482" s="1027"/>
      <c r="H482" s="1027"/>
    </row>
    <row r="483" spans="1:11" ht="12.75" customHeight="1">
      <c r="C483" s="617" t="s">
        <v>2890</v>
      </c>
      <c r="D483" s="639" t="s">
        <v>1845</v>
      </c>
      <c r="E483" s="640"/>
      <c r="F483" s="636" t="s">
        <v>2891</v>
      </c>
      <c r="G483" s="636"/>
      <c r="H483" s="636"/>
    </row>
    <row r="484" spans="1:11" ht="12.75" customHeight="1">
      <c r="C484" s="641" t="s">
        <v>1276</v>
      </c>
      <c r="D484" s="639" t="s">
        <v>1847</v>
      </c>
      <c r="E484" s="3915" t="s">
        <v>2988</v>
      </c>
      <c r="F484" s="3915"/>
      <c r="G484" s="3915"/>
      <c r="H484" s="3915"/>
    </row>
    <row r="485" spans="1:11" ht="12.75" customHeight="1">
      <c r="C485" s="1451" t="s">
        <v>4089</v>
      </c>
      <c r="E485" s="3915" t="s">
        <v>3125</v>
      </c>
      <c r="F485" s="3915"/>
      <c r="G485" s="3915"/>
      <c r="H485" s="3915"/>
    </row>
    <row r="486" spans="1:11" ht="12.75" customHeight="1">
      <c r="C486" s="1452"/>
      <c r="D486" s="1450" t="s">
        <v>2987</v>
      </c>
      <c r="E486" s="3916" t="s">
        <v>3126</v>
      </c>
      <c r="F486" s="3916"/>
      <c r="G486" s="3916"/>
      <c r="H486" s="3916"/>
    </row>
    <row r="487" spans="1:11" ht="3" customHeight="1">
      <c r="D487" s="639"/>
      <c r="E487" s="1027"/>
      <c r="F487" s="1027"/>
      <c r="G487" s="1027"/>
      <c r="H487" s="1027"/>
    </row>
    <row r="488" spans="1:11" ht="12.75" customHeight="1">
      <c r="C488" s="617" t="s">
        <v>2890</v>
      </c>
      <c r="D488" s="639" t="s">
        <v>1845</v>
      </c>
      <c r="E488" s="640"/>
      <c r="F488" s="636" t="s">
        <v>2891</v>
      </c>
      <c r="G488" s="636"/>
      <c r="H488" s="636"/>
    </row>
    <row r="489" spans="1:11" ht="12.75" customHeight="1">
      <c r="C489" s="641" t="s">
        <v>1276</v>
      </c>
      <c r="D489" s="639" t="s">
        <v>1847</v>
      </c>
      <c r="E489" s="3915" t="s">
        <v>2988</v>
      </c>
      <c r="F489" s="3915"/>
      <c r="G489" s="3915"/>
      <c r="H489" s="3915"/>
    </row>
    <row r="490" spans="1:11" ht="12.75" customHeight="1">
      <c r="C490" s="1451" t="s">
        <v>4089</v>
      </c>
      <c r="E490" s="3915" t="s">
        <v>3125</v>
      </c>
      <c r="F490" s="3915"/>
      <c r="G490" s="3915"/>
      <c r="H490" s="3915"/>
    </row>
    <row r="491" spans="1:11" ht="12.75" customHeight="1">
      <c r="C491" s="1452"/>
      <c r="D491" s="1450" t="s">
        <v>2987</v>
      </c>
      <c r="E491" s="3916" t="s">
        <v>3126</v>
      </c>
      <c r="F491" s="3916"/>
      <c r="G491" s="3916"/>
      <c r="H491" s="3916"/>
    </row>
    <row r="492" spans="1:11" ht="6" customHeight="1">
      <c r="D492" s="639"/>
      <c r="E492" s="1027"/>
      <c r="F492" s="1027"/>
      <c r="G492" s="1027"/>
      <c r="H492" s="1027"/>
    </row>
    <row r="493" spans="1:11">
      <c r="A493" s="620" t="s">
        <v>2983</v>
      </c>
      <c r="B493" s="637" t="str">
        <f>IF('Part V-Revenues &amp; Expenses'!$O$57=0,"",'Part V-Revenues &amp; Expenses'!$O$57)</f>
        <v/>
      </c>
      <c r="C493" s="620" t="s">
        <v>4087</v>
      </c>
      <c r="D493" s="638" t="s">
        <v>4088</v>
      </c>
    </row>
    <row r="494" spans="1:11" ht="1.9" customHeight="1"/>
    <row r="495" spans="1:11" ht="12.75" customHeight="1">
      <c r="C495" s="617" t="s">
        <v>2890</v>
      </c>
      <c r="D495" s="639" t="s">
        <v>1845</v>
      </c>
      <c r="E495" s="640"/>
      <c r="F495" s="3915" t="s">
        <v>2891</v>
      </c>
      <c r="G495" s="3915"/>
      <c r="H495" s="3915"/>
      <c r="K495" s="432" t="s">
        <v>233</v>
      </c>
    </row>
    <row r="496" spans="1:11" ht="12.75" customHeight="1">
      <c r="C496" s="641" t="s">
        <v>1276</v>
      </c>
      <c r="D496" s="639" t="s">
        <v>1847</v>
      </c>
      <c r="E496" s="3915" t="s">
        <v>2989</v>
      </c>
      <c r="F496" s="3915"/>
      <c r="G496" s="3915"/>
      <c r="H496" s="3915"/>
    </row>
    <row r="497" spans="1:8" ht="12.75" customHeight="1">
      <c r="E497" s="3915" t="s">
        <v>3125</v>
      </c>
      <c r="F497" s="3915"/>
      <c r="G497" s="3915"/>
      <c r="H497" s="3915"/>
    </row>
    <row r="498" spans="1:8" ht="12.75" customHeight="1">
      <c r="D498" s="642" t="s">
        <v>2987</v>
      </c>
      <c r="E498" s="3915" t="s">
        <v>3126</v>
      </c>
      <c r="F498" s="3915"/>
      <c r="G498" s="3915"/>
      <c r="H498" s="3915"/>
    </row>
    <row r="499" spans="1:8" ht="9" customHeight="1" thickBot="1"/>
    <row r="500" spans="1:8" ht="16.149999999999999" customHeight="1" thickBot="1">
      <c r="A500" s="3922">
        <v>80</v>
      </c>
      <c r="B500" s="3923"/>
      <c r="C500" s="1453" t="s">
        <v>976</v>
      </c>
    </row>
    <row r="501" spans="1:8" ht="9" customHeight="1">
      <c r="A501" s="611"/>
    </row>
    <row r="502" spans="1:8" ht="28.15" customHeight="1">
      <c r="A502" s="3915" t="s">
        <v>4096</v>
      </c>
      <c r="B502" s="3915"/>
      <c r="C502" s="3915"/>
      <c r="D502" s="3915"/>
      <c r="E502" s="3915"/>
      <c r="F502" s="3915"/>
      <c r="G502" s="3915"/>
      <c r="H502" s="3915"/>
    </row>
    <row r="503" spans="1:8" ht="9" customHeight="1">
      <c r="A503" s="611"/>
    </row>
    <row r="504" spans="1:8">
      <c r="A504" s="620" t="s">
        <v>2983</v>
      </c>
      <c r="B504" s="637" t="str">
        <f>IF('Part V-Revenues &amp; Expenses'!$K$56=0,"",'Part V-Revenues &amp; Expenses'!$K$56)</f>
        <v/>
      </c>
      <c r="C504" s="620" t="s">
        <v>4084</v>
      </c>
      <c r="D504" s="638" t="s">
        <v>4085</v>
      </c>
    </row>
    <row r="505" spans="1:8" ht="1.9" customHeight="1"/>
    <row r="506" spans="1:8" ht="12.75" customHeight="1">
      <c r="C506" s="617" t="s">
        <v>2890</v>
      </c>
      <c r="D506" s="639" t="s">
        <v>1845</v>
      </c>
      <c r="E506" s="640"/>
      <c r="F506" s="3915" t="s">
        <v>2891</v>
      </c>
      <c r="G506" s="3915"/>
      <c r="H506" s="3915"/>
    </row>
    <row r="507" spans="1:8" ht="12.75" customHeight="1">
      <c r="C507" s="641" t="s">
        <v>1276</v>
      </c>
      <c r="D507" s="639" t="s">
        <v>1847</v>
      </c>
      <c r="E507" s="3915" t="s">
        <v>2988</v>
      </c>
      <c r="F507" s="3915"/>
      <c r="G507" s="3915"/>
      <c r="H507" s="3915"/>
    </row>
    <row r="508" spans="1:8" ht="12.75" customHeight="1">
      <c r="C508" s="1451" t="s">
        <v>4089</v>
      </c>
      <c r="E508" s="3915" t="s">
        <v>3125</v>
      </c>
      <c r="F508" s="3915"/>
      <c r="G508" s="3915"/>
      <c r="H508" s="3915"/>
    </row>
    <row r="509" spans="1:8" ht="12.75" customHeight="1">
      <c r="C509" s="1452"/>
      <c r="D509" s="1450" t="s">
        <v>2987</v>
      </c>
      <c r="E509" s="3916" t="s">
        <v>3126</v>
      </c>
      <c r="F509" s="3916"/>
      <c r="G509" s="3916"/>
      <c r="H509" s="3916"/>
    </row>
    <row r="510" spans="1:8" ht="3" customHeight="1">
      <c r="D510" s="639"/>
      <c r="E510" s="1027"/>
      <c r="F510" s="1027"/>
      <c r="G510" s="1027"/>
      <c r="H510" s="1027"/>
    </row>
    <row r="511" spans="1:8" ht="12.75" customHeight="1">
      <c r="C511" s="617" t="s">
        <v>2890</v>
      </c>
      <c r="D511" s="639" t="s">
        <v>1845</v>
      </c>
      <c r="E511" s="640"/>
      <c r="F511" s="636" t="s">
        <v>2891</v>
      </c>
      <c r="G511" s="636"/>
      <c r="H511" s="636"/>
    </row>
    <row r="512" spans="1:8" ht="12.75" customHeight="1">
      <c r="C512" s="641" t="s">
        <v>1276</v>
      </c>
      <c r="D512" s="639" t="s">
        <v>1847</v>
      </c>
      <c r="E512" s="3915" t="s">
        <v>2988</v>
      </c>
      <c r="F512" s="3915"/>
      <c r="G512" s="3915"/>
      <c r="H512" s="3915"/>
    </row>
    <row r="513" spans="1:8" ht="12.75" customHeight="1">
      <c r="C513" s="1451" t="s">
        <v>4089</v>
      </c>
      <c r="E513" s="3915" t="s">
        <v>3125</v>
      </c>
      <c r="F513" s="3915"/>
      <c r="G513" s="3915"/>
      <c r="H513" s="3915"/>
    </row>
    <row r="514" spans="1:8" ht="12.75" customHeight="1">
      <c r="C514" s="1452"/>
      <c r="D514" s="1450" t="s">
        <v>2987</v>
      </c>
      <c r="E514" s="3916" t="s">
        <v>3126</v>
      </c>
      <c r="F514" s="3916"/>
      <c r="G514" s="3916"/>
      <c r="H514" s="3916"/>
    </row>
    <row r="515" spans="1:8" ht="3" customHeight="1">
      <c r="D515" s="639"/>
      <c r="E515" s="1027"/>
      <c r="F515" s="1027"/>
      <c r="G515" s="1027"/>
      <c r="H515" s="1027"/>
    </row>
    <row r="516" spans="1:8" ht="12.75" customHeight="1">
      <c r="C516" s="617" t="s">
        <v>2890</v>
      </c>
      <c r="D516" s="639" t="s">
        <v>1845</v>
      </c>
      <c r="E516" s="640"/>
      <c r="F516" s="636" t="s">
        <v>2891</v>
      </c>
      <c r="G516" s="636"/>
      <c r="H516" s="636"/>
    </row>
    <row r="517" spans="1:8" ht="12.75" customHeight="1">
      <c r="C517" s="641" t="s">
        <v>1276</v>
      </c>
      <c r="D517" s="639" t="s">
        <v>1847</v>
      </c>
      <c r="E517" s="3915" t="s">
        <v>2988</v>
      </c>
      <c r="F517" s="3915"/>
      <c r="G517" s="3915"/>
      <c r="H517" s="3915"/>
    </row>
    <row r="518" spans="1:8" ht="12.75" customHeight="1">
      <c r="C518" s="1451" t="s">
        <v>4089</v>
      </c>
      <c r="E518" s="3915" t="s">
        <v>3125</v>
      </c>
      <c r="F518" s="3915"/>
      <c r="G518" s="3915"/>
      <c r="H518" s="3915"/>
    </row>
    <row r="519" spans="1:8" ht="12.75" customHeight="1">
      <c r="C519" s="1452"/>
      <c r="D519" s="1450" t="s">
        <v>2987</v>
      </c>
      <c r="E519" s="3916" t="s">
        <v>3126</v>
      </c>
      <c r="F519" s="3916"/>
      <c r="G519" s="3916"/>
      <c r="H519" s="3916"/>
    </row>
    <row r="520" spans="1:8" ht="6" customHeight="1">
      <c r="D520" s="639"/>
      <c r="E520" s="1027"/>
      <c r="F520" s="1027"/>
      <c r="G520" s="1027"/>
      <c r="H520" s="1027"/>
    </row>
    <row r="521" spans="1:8">
      <c r="A521" s="620" t="s">
        <v>2983</v>
      </c>
      <c r="B521" s="637">
        <f>IF('Part V-Revenues &amp; Expenses'!$L$56=0,"",'Part V-Revenues &amp; Expenses'!$L$56)</f>
        <v>5</v>
      </c>
      <c r="C521" s="620" t="s">
        <v>2984</v>
      </c>
      <c r="D521" s="638" t="s">
        <v>3127</v>
      </c>
    </row>
    <row r="522" spans="1:8" ht="1.9" customHeight="1"/>
    <row r="523" spans="1:8" ht="12.75" customHeight="1">
      <c r="C523" s="617" t="s">
        <v>2890</v>
      </c>
      <c r="D523" s="639" t="s">
        <v>1845</v>
      </c>
      <c r="E523" s="640"/>
      <c r="F523" s="636" t="s">
        <v>2891</v>
      </c>
      <c r="G523" s="636"/>
      <c r="H523" s="636"/>
    </row>
    <row r="524" spans="1:8" ht="12.75" customHeight="1">
      <c r="C524" s="641" t="s">
        <v>1276</v>
      </c>
      <c r="D524" s="639" t="s">
        <v>1847</v>
      </c>
      <c r="E524" s="3915" t="s">
        <v>2988</v>
      </c>
      <c r="F524" s="3915"/>
      <c r="G524" s="3915"/>
      <c r="H524" s="3915"/>
    </row>
    <row r="525" spans="1:8" ht="12.75" customHeight="1">
      <c r="C525" s="1451" t="s">
        <v>4089</v>
      </c>
      <c r="E525" s="3915" t="s">
        <v>3125</v>
      </c>
      <c r="F525" s="3915"/>
      <c r="G525" s="3915"/>
      <c r="H525" s="3915"/>
    </row>
    <row r="526" spans="1:8" ht="12.75" customHeight="1">
      <c r="C526" s="1452"/>
      <c r="D526" s="642" t="s">
        <v>2987</v>
      </c>
      <c r="E526" s="3915" t="s">
        <v>3126</v>
      </c>
      <c r="F526" s="3915"/>
      <c r="G526" s="3915"/>
      <c r="H526" s="3915"/>
    </row>
    <row r="527" spans="1:8" ht="3" customHeight="1">
      <c r="D527" s="639"/>
      <c r="E527" s="1027"/>
      <c r="F527" s="1027"/>
      <c r="G527" s="1027"/>
      <c r="H527" s="1027"/>
    </row>
    <row r="528" spans="1:8" ht="12.75" customHeight="1">
      <c r="C528" s="617" t="s">
        <v>2890</v>
      </c>
      <c r="D528" s="639" t="s">
        <v>1845</v>
      </c>
      <c r="E528" s="640"/>
      <c r="F528" s="636" t="s">
        <v>2891</v>
      </c>
      <c r="G528" s="636"/>
      <c r="H528" s="636"/>
    </row>
    <row r="529" spans="1:8" ht="12.75" customHeight="1">
      <c r="C529" s="641" t="s">
        <v>1276</v>
      </c>
      <c r="D529" s="639" t="s">
        <v>1847</v>
      </c>
      <c r="E529" s="3915" t="s">
        <v>2988</v>
      </c>
      <c r="F529" s="3915"/>
      <c r="G529" s="3915"/>
      <c r="H529" s="3915"/>
    </row>
    <row r="530" spans="1:8" ht="12.75" customHeight="1">
      <c r="C530" s="1451" t="s">
        <v>4089</v>
      </c>
      <c r="E530" s="3915" t="s">
        <v>3125</v>
      </c>
      <c r="F530" s="3915"/>
      <c r="G530" s="3915"/>
      <c r="H530" s="3915"/>
    </row>
    <row r="531" spans="1:8" ht="12.75" customHeight="1">
      <c r="C531" s="1452"/>
      <c r="D531" s="1450" t="s">
        <v>2987</v>
      </c>
      <c r="E531" s="3916" t="s">
        <v>3126</v>
      </c>
      <c r="F531" s="3916"/>
      <c r="G531" s="3916"/>
      <c r="H531" s="3916"/>
    </row>
    <row r="532" spans="1:8" ht="3" customHeight="1">
      <c r="D532" s="639"/>
      <c r="E532" s="1027"/>
      <c r="F532" s="1027"/>
      <c r="G532" s="1027"/>
      <c r="H532" s="1027"/>
    </row>
    <row r="533" spans="1:8" ht="12.75" customHeight="1">
      <c r="C533" s="617" t="s">
        <v>2890</v>
      </c>
      <c r="D533" s="639" t="s">
        <v>1845</v>
      </c>
      <c r="E533" s="640"/>
      <c r="F533" s="636" t="s">
        <v>2891</v>
      </c>
      <c r="G533" s="636"/>
      <c r="H533" s="636"/>
    </row>
    <row r="534" spans="1:8" ht="12.75" customHeight="1">
      <c r="C534" s="641" t="s">
        <v>1276</v>
      </c>
      <c r="D534" s="639" t="s">
        <v>1847</v>
      </c>
      <c r="E534" s="3915" t="s">
        <v>2988</v>
      </c>
      <c r="F534" s="3915"/>
      <c r="G534" s="3915"/>
      <c r="H534" s="3915"/>
    </row>
    <row r="535" spans="1:8" ht="12.75" customHeight="1">
      <c r="C535" s="1451" t="s">
        <v>4089</v>
      </c>
      <c r="E535" s="3915" t="s">
        <v>3125</v>
      </c>
      <c r="F535" s="3915"/>
      <c r="G535" s="3915"/>
      <c r="H535" s="3915"/>
    </row>
    <row r="536" spans="1:8" ht="12.75" customHeight="1">
      <c r="C536" s="1452"/>
      <c r="D536" s="1450" t="s">
        <v>2987</v>
      </c>
      <c r="E536" s="3916" t="s">
        <v>3126</v>
      </c>
      <c r="F536" s="3916"/>
      <c r="G536" s="3916"/>
      <c r="H536" s="3916"/>
    </row>
    <row r="537" spans="1:8" ht="6" customHeight="1">
      <c r="D537" s="639"/>
      <c r="E537" s="1027"/>
      <c r="F537" s="1027"/>
      <c r="G537" s="1027"/>
      <c r="H537" s="1027"/>
    </row>
    <row r="538" spans="1:8">
      <c r="A538" s="620" t="s">
        <v>2983</v>
      </c>
      <c r="B538" s="637">
        <f>IF('Part V-Revenues &amp; Expenses'!$M$56=0,"",'Part V-Revenues &amp; Expenses'!$M$56)</f>
        <v>7</v>
      </c>
      <c r="C538" s="620" t="s">
        <v>2985</v>
      </c>
      <c r="D538" s="638" t="s">
        <v>3128</v>
      </c>
    </row>
    <row r="539" spans="1:8" ht="1.9" customHeight="1"/>
    <row r="540" spans="1:8" ht="12.75" customHeight="1">
      <c r="C540" s="617" t="s">
        <v>2890</v>
      </c>
      <c r="D540" s="639" t="s">
        <v>1845</v>
      </c>
      <c r="E540" s="640"/>
      <c r="F540" s="636" t="s">
        <v>2891</v>
      </c>
      <c r="G540" s="636"/>
      <c r="H540" s="636"/>
    </row>
    <row r="541" spans="1:8" ht="12.75" customHeight="1">
      <c r="C541" s="641" t="s">
        <v>1276</v>
      </c>
      <c r="D541" s="639" t="s">
        <v>1847</v>
      </c>
      <c r="E541" s="3915" t="s">
        <v>2988</v>
      </c>
      <c r="F541" s="3915"/>
      <c r="G541" s="3915"/>
      <c r="H541" s="3915"/>
    </row>
    <row r="542" spans="1:8" ht="12.75" customHeight="1">
      <c r="C542" s="1451" t="s">
        <v>4089</v>
      </c>
      <c r="E542" s="3915" t="s">
        <v>3125</v>
      </c>
      <c r="F542" s="3915"/>
      <c r="G542" s="3915"/>
      <c r="H542" s="3915"/>
    </row>
    <row r="543" spans="1:8" ht="12.75" customHeight="1">
      <c r="C543" s="1452"/>
      <c r="D543" s="642" t="s">
        <v>2987</v>
      </c>
      <c r="E543" s="3915" t="s">
        <v>3126</v>
      </c>
      <c r="F543" s="3915"/>
      <c r="G543" s="3915"/>
      <c r="H543" s="3915"/>
    </row>
    <row r="544" spans="1:8" ht="3" customHeight="1">
      <c r="D544" s="639"/>
      <c r="E544" s="1027"/>
      <c r="F544" s="1027"/>
      <c r="G544" s="1027"/>
      <c r="H544" s="1027"/>
    </row>
    <row r="545" spans="1:8" ht="12.75" customHeight="1">
      <c r="C545" s="617" t="s">
        <v>2890</v>
      </c>
      <c r="D545" s="639" t="s">
        <v>1845</v>
      </c>
      <c r="E545" s="640"/>
      <c r="F545" s="636" t="s">
        <v>2891</v>
      </c>
      <c r="G545" s="636"/>
      <c r="H545" s="636"/>
    </row>
    <row r="546" spans="1:8" ht="12.75" customHeight="1">
      <c r="C546" s="641" t="s">
        <v>1276</v>
      </c>
      <c r="D546" s="639" t="s">
        <v>1847</v>
      </c>
      <c r="E546" s="3915" t="s">
        <v>2988</v>
      </c>
      <c r="F546" s="3915"/>
      <c r="G546" s="3915"/>
      <c r="H546" s="3915"/>
    </row>
    <row r="547" spans="1:8" ht="12.75" customHeight="1">
      <c r="C547" s="1451" t="s">
        <v>4089</v>
      </c>
      <c r="E547" s="3915" t="s">
        <v>3125</v>
      </c>
      <c r="F547" s="3915"/>
      <c r="G547" s="3915"/>
      <c r="H547" s="3915"/>
    </row>
    <row r="548" spans="1:8" ht="12.75" customHeight="1">
      <c r="C548" s="1452"/>
      <c r="D548" s="1450" t="s">
        <v>2987</v>
      </c>
      <c r="E548" s="3916" t="s">
        <v>3126</v>
      </c>
      <c r="F548" s="3916"/>
      <c r="G548" s="3916"/>
      <c r="H548" s="3916"/>
    </row>
    <row r="549" spans="1:8" ht="3" customHeight="1">
      <c r="D549" s="639"/>
      <c r="E549" s="1027"/>
      <c r="F549" s="1027"/>
      <c r="G549" s="1027"/>
      <c r="H549" s="1027"/>
    </row>
    <row r="550" spans="1:8" ht="12.75" customHeight="1">
      <c r="C550" s="617" t="s">
        <v>2890</v>
      </c>
      <c r="D550" s="639" t="s">
        <v>1845</v>
      </c>
      <c r="E550" s="640"/>
      <c r="F550" s="636" t="s">
        <v>2891</v>
      </c>
      <c r="G550" s="636"/>
      <c r="H550" s="636"/>
    </row>
    <row r="551" spans="1:8" ht="12.75" customHeight="1">
      <c r="C551" s="641" t="s">
        <v>1276</v>
      </c>
      <c r="D551" s="639" t="s">
        <v>1847</v>
      </c>
      <c r="E551" s="3915" t="s">
        <v>2988</v>
      </c>
      <c r="F551" s="3915"/>
      <c r="G551" s="3915"/>
      <c r="H551" s="3915"/>
    </row>
    <row r="552" spans="1:8" ht="12.75" customHeight="1">
      <c r="C552" s="1451" t="s">
        <v>4089</v>
      </c>
      <c r="E552" s="3915" t="s">
        <v>3125</v>
      </c>
      <c r="F552" s="3915"/>
      <c r="G552" s="3915"/>
      <c r="H552" s="3915"/>
    </row>
    <row r="553" spans="1:8" ht="12.75" customHeight="1">
      <c r="C553" s="1452"/>
      <c r="D553" s="1450" t="s">
        <v>2987</v>
      </c>
      <c r="E553" s="3916" t="s">
        <v>3126</v>
      </c>
      <c r="F553" s="3916"/>
      <c r="G553" s="3916"/>
      <c r="H553" s="3916"/>
    </row>
    <row r="554" spans="1:8" ht="6" customHeight="1">
      <c r="D554" s="639"/>
      <c r="E554" s="1027"/>
      <c r="F554" s="1027"/>
      <c r="G554" s="1027"/>
      <c r="H554" s="1027"/>
    </row>
    <row r="555" spans="1:8">
      <c r="A555" s="620" t="s">
        <v>2983</v>
      </c>
      <c r="B555" s="637">
        <f>IF('Part V-Revenues &amp; Expenses'!$N$56=0,"",'Part V-Revenues &amp; Expenses'!$N$56)</f>
        <v>10</v>
      </c>
      <c r="C555" s="620" t="s">
        <v>2986</v>
      </c>
      <c r="D555" s="638" t="s">
        <v>3129</v>
      </c>
    </row>
    <row r="556" spans="1:8" ht="1.9" customHeight="1"/>
    <row r="557" spans="1:8" ht="12.75" customHeight="1">
      <c r="C557" s="617" t="s">
        <v>2890</v>
      </c>
      <c r="D557" s="639" t="s">
        <v>1845</v>
      </c>
      <c r="E557" s="640"/>
      <c r="F557" s="636" t="s">
        <v>2891</v>
      </c>
      <c r="G557" s="636"/>
      <c r="H557" s="636"/>
    </row>
    <row r="558" spans="1:8" ht="12.75" customHeight="1">
      <c r="C558" s="641" t="s">
        <v>1276</v>
      </c>
      <c r="D558" s="639" t="s">
        <v>1847</v>
      </c>
      <c r="E558" s="3915" t="s">
        <v>2988</v>
      </c>
      <c r="F558" s="3915"/>
      <c r="G558" s="3915"/>
      <c r="H558" s="3915"/>
    </row>
    <row r="559" spans="1:8" ht="12.75" customHeight="1">
      <c r="C559" s="1451" t="s">
        <v>4089</v>
      </c>
      <c r="E559" s="3915" t="s">
        <v>3125</v>
      </c>
      <c r="F559" s="3915"/>
      <c r="G559" s="3915"/>
      <c r="H559" s="3915"/>
    </row>
    <row r="560" spans="1:8" ht="12.75" customHeight="1">
      <c r="C560" s="1452"/>
      <c r="D560" s="642" t="s">
        <v>2987</v>
      </c>
      <c r="E560" s="3915" t="s">
        <v>3126</v>
      </c>
      <c r="F560" s="3915"/>
      <c r="G560" s="3915"/>
      <c r="H560" s="3915"/>
    </row>
    <row r="561" spans="1:11" ht="3" customHeight="1">
      <c r="D561" s="639"/>
      <c r="E561" s="1027"/>
      <c r="F561" s="1027"/>
      <c r="G561" s="1027"/>
      <c r="H561" s="1027"/>
    </row>
    <row r="562" spans="1:11" ht="12.75" customHeight="1">
      <c r="C562" s="617" t="s">
        <v>2890</v>
      </c>
      <c r="D562" s="639" t="s">
        <v>1845</v>
      </c>
      <c r="E562" s="640"/>
      <c r="F562" s="636" t="s">
        <v>2891</v>
      </c>
      <c r="G562" s="636"/>
      <c r="H562" s="636"/>
    </row>
    <row r="563" spans="1:11" ht="12.75" customHeight="1">
      <c r="C563" s="641" t="s">
        <v>1276</v>
      </c>
      <c r="D563" s="639" t="s">
        <v>1847</v>
      </c>
      <c r="E563" s="3915" t="s">
        <v>2988</v>
      </c>
      <c r="F563" s="3915"/>
      <c r="G563" s="3915"/>
      <c r="H563" s="3915"/>
    </row>
    <row r="564" spans="1:11" ht="12.75" customHeight="1">
      <c r="C564" s="1451" t="s">
        <v>4089</v>
      </c>
      <c r="E564" s="3915" t="s">
        <v>3125</v>
      </c>
      <c r="F564" s="3915"/>
      <c r="G564" s="3915"/>
      <c r="H564" s="3915"/>
    </row>
    <row r="565" spans="1:11" ht="12.75" customHeight="1">
      <c r="C565" s="1452"/>
      <c r="D565" s="1450" t="s">
        <v>2987</v>
      </c>
      <c r="E565" s="3916" t="s">
        <v>3126</v>
      </c>
      <c r="F565" s="3916"/>
      <c r="G565" s="3916"/>
      <c r="H565" s="3916"/>
    </row>
    <row r="566" spans="1:11" ht="3" customHeight="1">
      <c r="D566" s="639"/>
      <c r="E566" s="1027"/>
      <c r="F566" s="1027"/>
      <c r="G566" s="1027"/>
      <c r="H566" s="1027"/>
    </row>
    <row r="567" spans="1:11" ht="12.75" customHeight="1">
      <c r="C567" s="617" t="s">
        <v>2890</v>
      </c>
      <c r="D567" s="639" t="s">
        <v>1845</v>
      </c>
      <c r="E567" s="640"/>
      <c r="F567" s="636" t="s">
        <v>2891</v>
      </c>
      <c r="G567" s="636"/>
      <c r="H567" s="636"/>
    </row>
    <row r="568" spans="1:11" ht="12.75" customHeight="1">
      <c r="C568" s="641" t="s">
        <v>1276</v>
      </c>
      <c r="D568" s="639" t="s">
        <v>1847</v>
      </c>
      <c r="E568" s="3915" t="s">
        <v>2988</v>
      </c>
      <c r="F568" s="3915"/>
      <c r="G568" s="3915"/>
      <c r="H568" s="3915"/>
    </row>
    <row r="569" spans="1:11" ht="12.75" customHeight="1">
      <c r="C569" s="1451" t="s">
        <v>4089</v>
      </c>
      <c r="E569" s="3915" t="s">
        <v>3125</v>
      </c>
      <c r="F569" s="3915"/>
      <c r="G569" s="3915"/>
      <c r="H569" s="3915"/>
    </row>
    <row r="570" spans="1:11" ht="12.75" customHeight="1">
      <c r="C570" s="1452"/>
      <c r="D570" s="1450" t="s">
        <v>2987</v>
      </c>
      <c r="E570" s="3916" t="s">
        <v>3126</v>
      </c>
      <c r="F570" s="3916"/>
      <c r="G570" s="3916"/>
      <c r="H570" s="3916"/>
    </row>
    <row r="571" spans="1:11" ht="6" customHeight="1">
      <c r="D571" s="639"/>
      <c r="E571" s="1027"/>
      <c r="F571" s="1027"/>
      <c r="G571" s="1027"/>
      <c r="H571" s="1027"/>
    </row>
    <row r="572" spans="1:11">
      <c r="A572" s="620" t="s">
        <v>2983</v>
      </c>
      <c r="B572" s="637">
        <f>IF('Part V-Revenues &amp; Expenses'!$O$56=0,"",'Part V-Revenues &amp; Expenses'!$O$56)</f>
        <v>3</v>
      </c>
      <c r="C572" s="620" t="s">
        <v>4087</v>
      </c>
      <c r="D572" s="638" t="s">
        <v>4088</v>
      </c>
    </row>
    <row r="573" spans="1:11" ht="1.9" customHeight="1"/>
    <row r="574" spans="1:11" ht="12.75" customHeight="1">
      <c r="C574" s="617" t="s">
        <v>2890</v>
      </c>
      <c r="D574" s="639" t="s">
        <v>1845</v>
      </c>
      <c r="E574" s="640"/>
      <c r="F574" s="3915" t="s">
        <v>2891</v>
      </c>
      <c r="G574" s="3915"/>
      <c r="H574" s="3915"/>
      <c r="K574" s="432" t="s">
        <v>233</v>
      </c>
    </row>
    <row r="575" spans="1:11" ht="12.75" customHeight="1">
      <c r="C575" s="641" t="s">
        <v>1276</v>
      </c>
      <c r="D575" s="639" t="s">
        <v>1847</v>
      </c>
      <c r="E575" s="3915" t="s">
        <v>2989</v>
      </c>
      <c r="F575" s="3915"/>
      <c r="G575" s="3915"/>
      <c r="H575" s="3915"/>
    </row>
    <row r="576" spans="1:11" ht="12.75" customHeight="1">
      <c r="E576" s="3915" t="s">
        <v>3125</v>
      </c>
      <c r="F576" s="3915"/>
      <c r="G576" s="3915"/>
      <c r="H576" s="3915"/>
    </row>
    <row r="577" spans="4:8" ht="12.75" customHeight="1">
      <c r="D577" s="642" t="s">
        <v>2987</v>
      </c>
      <c r="E577" s="3915" t="s">
        <v>3126</v>
      </c>
      <c r="F577" s="3915"/>
      <c r="G577" s="3915"/>
      <c r="H577" s="3915"/>
    </row>
    <row r="578" spans="4:8" ht="9" customHeight="1"/>
    <row r="579" spans="4:8" ht="7.5" customHeight="1">
      <c r="E579" s="3915"/>
      <c r="F579" s="3915"/>
      <c r="G579" s="3915"/>
      <c r="H579" s="3915"/>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L13" sqref="L13:M13"/>
    </sheetView>
  </sheetViews>
  <sheetFormatPr defaultColWidth="9.140625" defaultRowHeight="15.75"/>
  <cols>
    <col min="1" max="1" width="4.5703125" style="432" customWidth="1"/>
    <col min="2" max="2" width="6" style="432" customWidth="1"/>
    <col min="3" max="3" width="8.28515625" style="432" customWidth="1"/>
    <col min="4" max="4" width="7.42578125" style="432" customWidth="1"/>
    <col min="5" max="5" width="7.85546875" style="432" customWidth="1"/>
    <col min="6" max="7" width="6.85546875" style="432" customWidth="1"/>
    <col min="8" max="8" width="5" style="432" customWidth="1"/>
    <col min="9" max="10" width="6.7109375" style="432" customWidth="1"/>
    <col min="11" max="11" width="3.28515625" style="1494" customWidth="1"/>
    <col min="12" max="13" width="6.85546875" style="432" customWidth="1"/>
    <col min="14" max="14" width="8.140625" style="432" customWidth="1"/>
    <col min="15" max="15" width="9.140625" style="432"/>
    <col min="16" max="17" width="5.5703125" style="432" customWidth="1"/>
    <col min="18" max="18" width="8.140625" style="432" customWidth="1"/>
    <col min="19" max="19" width="5.7109375" style="609" customWidth="1"/>
    <col min="20" max="20" width="5.7109375" style="432" customWidth="1"/>
    <col min="21" max="21" width="3.7109375" style="432" customWidth="1"/>
    <col min="22" max="23" width="5.42578125" style="432" customWidth="1"/>
    <col min="24" max="16384" width="9.140625" style="432"/>
  </cols>
  <sheetData>
    <row r="1" spans="1:14">
      <c r="A1" s="510" t="s">
        <v>2884</v>
      </c>
      <c r="H1" s="614" t="str">
        <f>'Sensitivity Analysis'!C8</f>
        <v>Harrison Village Apartments</v>
      </c>
    </row>
    <row r="2" spans="1:14">
      <c r="A2" s="560" t="s">
        <v>2885</v>
      </c>
      <c r="H2" s="432" t="str">
        <f>'Sensitivity Analysis'!E8</f>
        <v>2022-522</v>
      </c>
    </row>
    <row r="3" spans="1:14" ht="3" customHeight="1"/>
    <row r="4" spans="1:14" ht="69.599999999999994" customHeight="1">
      <c r="A4" s="3917" t="s">
        <v>2981</v>
      </c>
      <c r="B4" s="3917"/>
      <c r="C4" s="3917"/>
      <c r="D4" s="3917"/>
      <c r="E4" s="3917"/>
      <c r="F4" s="3917"/>
      <c r="G4" s="3917"/>
      <c r="H4" s="3917"/>
      <c r="I4" s="3917"/>
      <c r="J4" s="3917"/>
      <c r="K4" s="3917"/>
      <c r="L4" s="3924">
        <f>SUM('Part VI-Pro Forma'!B15:B17)/12</f>
        <v>148352.50260000001</v>
      </c>
      <c r="M4" s="3924"/>
      <c r="N4" s="1495" t="s">
        <v>3667</v>
      </c>
    </row>
    <row r="5" spans="1:14" ht="1.5" customHeight="1"/>
    <row r="6" spans="1:14" ht="12.75" customHeight="1">
      <c r="B6" s="635" t="s">
        <v>2241</v>
      </c>
      <c r="C6" s="617" t="s">
        <v>2886</v>
      </c>
      <c r="D6" s="617"/>
      <c r="E6" s="617"/>
      <c r="F6" s="617"/>
      <c r="G6" s="617"/>
      <c r="H6" s="617"/>
    </row>
    <row r="7" spans="1:14" ht="12.75" customHeight="1">
      <c r="B7" s="635" t="s">
        <v>2242</v>
      </c>
      <c r="C7" s="3917" t="s">
        <v>2887</v>
      </c>
      <c r="D7" s="3917"/>
      <c r="E7" s="3917"/>
      <c r="F7" s="3917"/>
      <c r="G7" s="3917"/>
      <c r="H7" s="3917"/>
      <c r="I7" s="3917"/>
      <c r="J7" s="3917"/>
      <c r="K7" s="3917"/>
      <c r="L7" s="3917"/>
      <c r="M7" s="3917"/>
    </row>
    <row r="8" spans="1:14" ht="3" customHeight="1"/>
    <row r="9" spans="1:14">
      <c r="A9" s="432" t="s">
        <v>2888</v>
      </c>
    </row>
    <row r="10" spans="1:14" ht="1.5" customHeight="1"/>
    <row r="11" spans="1:14" ht="26.25" customHeight="1">
      <c r="A11" s="636" t="s">
        <v>1842</v>
      </c>
      <c r="B11" s="3917" t="s">
        <v>2978</v>
      </c>
      <c r="C11" s="3917"/>
      <c r="D11" s="3917"/>
      <c r="E11" s="3917"/>
      <c r="F11" s="3917"/>
      <c r="G11" s="3917"/>
      <c r="H11" s="3917"/>
      <c r="I11" s="3917"/>
      <c r="J11" s="3917"/>
      <c r="K11" s="3917"/>
      <c r="L11" s="3918">
        <f>'Part II-Sources of Funds'!I51+'Part II-Sources of Funds'!I52</f>
        <v>25848071</v>
      </c>
      <c r="M11" s="3918"/>
    </row>
    <row r="12" spans="1:14" ht="1.5" customHeight="1">
      <c r="G12" s="617"/>
      <c r="H12" s="617"/>
    </row>
    <row r="13" spans="1:14" ht="25.9" customHeight="1">
      <c r="A13" s="636" t="s">
        <v>1844</v>
      </c>
      <c r="B13" s="3917" t="s">
        <v>2979</v>
      </c>
      <c r="C13" s="3917"/>
      <c r="D13" s="3917"/>
      <c r="E13" s="3917"/>
      <c r="F13" s="3917"/>
      <c r="G13" s="3917"/>
      <c r="H13" s="3917"/>
      <c r="I13" s="3917"/>
      <c r="J13" s="3917"/>
      <c r="K13" s="3917"/>
      <c r="L13" s="3919" t="s">
        <v>2816</v>
      </c>
      <c r="M13" s="3919"/>
    </row>
    <row r="14" spans="1:14">
      <c r="A14" s="636"/>
      <c r="B14" s="3810"/>
      <c r="C14" s="3810"/>
      <c r="D14" s="3810"/>
      <c r="E14" s="3810"/>
      <c r="F14" s="3810"/>
      <c r="G14" s="3810"/>
      <c r="H14" s="3810"/>
    </row>
    <row r="15" spans="1:14" ht="3" customHeight="1"/>
    <row r="16" spans="1:14">
      <c r="A16" s="636" t="s">
        <v>698</v>
      </c>
      <c r="B16" s="432" t="s">
        <v>2982</v>
      </c>
      <c r="L16" s="3920" t="s">
        <v>2655</v>
      </c>
      <c r="M16" s="3920"/>
    </row>
    <row r="17" spans="1:19" ht="1.5" customHeight="1">
      <c r="L17" s="620"/>
    </row>
    <row r="18" spans="1:19" ht="12" customHeight="1">
      <c r="A18" s="636" t="s">
        <v>1963</v>
      </c>
      <c r="B18" s="617" t="s">
        <v>2980</v>
      </c>
      <c r="C18" s="636"/>
      <c r="D18" s="636"/>
      <c r="E18" s="636"/>
      <c r="L18" s="3810" t="s">
        <v>2517</v>
      </c>
      <c r="M18" s="3810"/>
    </row>
    <row r="19" spans="1:19" ht="12" hidden="1" customHeight="1">
      <c r="B19" s="3810"/>
      <c r="C19" s="3810"/>
      <c r="D19" s="3810"/>
      <c r="E19" s="3810"/>
      <c r="F19" s="3810"/>
      <c r="G19" s="3810"/>
      <c r="H19" s="3810"/>
    </row>
    <row r="20" spans="1:19" ht="13.5" customHeight="1"/>
    <row r="21" spans="1:19" ht="12" customHeight="1">
      <c r="A21" s="560" t="s">
        <v>2889</v>
      </c>
    </row>
    <row r="22" spans="1:19" ht="3" customHeight="1"/>
    <row r="23" spans="1:19" ht="42.6" customHeight="1">
      <c r="A23" s="3921" t="s">
        <v>4086</v>
      </c>
      <c r="B23" s="3921"/>
      <c r="C23" s="3921"/>
      <c r="D23" s="3921"/>
      <c r="E23" s="3921"/>
      <c r="F23" s="3921"/>
      <c r="G23" s="3921"/>
      <c r="H23" s="3921"/>
      <c r="I23" s="3921"/>
      <c r="J23" s="3921"/>
      <c r="K23" s="3921"/>
      <c r="L23" s="3921"/>
      <c r="M23" s="3921"/>
    </row>
    <row r="24" spans="1:19" ht="18" customHeight="1">
      <c r="E24" s="616" t="s">
        <v>526</v>
      </c>
      <c r="F24" s="616" t="s">
        <v>500</v>
      </c>
      <c r="G24" s="616" t="s">
        <v>501</v>
      </c>
      <c r="H24" s="616" t="s">
        <v>502</v>
      </c>
      <c r="I24" s="616" t="s">
        <v>503</v>
      </c>
      <c r="J24" s="616" t="s">
        <v>504</v>
      </c>
      <c r="K24" s="432"/>
      <c r="S24" s="432"/>
    </row>
    <row r="25" spans="1:19" ht="14.25" customHeight="1">
      <c r="C25" s="736" t="s">
        <v>3680</v>
      </c>
      <c r="D25" s="439"/>
      <c r="E25" s="1583">
        <f>'Part V-Revenues &amp; Expenses'!K56</f>
        <v>0</v>
      </c>
      <c r="F25" s="1584">
        <f>'Part V-Revenues &amp; Expenses'!L56</f>
        <v>5</v>
      </c>
      <c r="G25" s="1584">
        <f>'Part V-Revenues &amp; Expenses'!M56</f>
        <v>7</v>
      </c>
      <c r="H25" s="1584">
        <f>'Part V-Revenues &amp; Expenses'!N56</f>
        <v>10</v>
      </c>
      <c r="I25" s="1584">
        <f>'Part V-Revenues &amp; Expenses'!O56</f>
        <v>3</v>
      </c>
      <c r="J25" s="1585">
        <f>'Part V-Revenues &amp; Expenses'!P56</f>
        <v>25</v>
      </c>
      <c r="K25" s="432"/>
      <c r="S25" s="432"/>
    </row>
    <row r="26" spans="1:19" ht="15" customHeight="1">
      <c r="C26" s="736" t="s">
        <v>3681</v>
      </c>
      <c r="D26" s="439"/>
      <c r="E26" s="1586">
        <f>'Part V-Revenues &amp; Expenses'!K57</f>
        <v>0</v>
      </c>
      <c r="F26" s="1587">
        <f>'Part V-Revenues &amp; Expenses'!L57</f>
        <v>0</v>
      </c>
      <c r="G26" s="1587">
        <f>'Part V-Revenues &amp; Expenses'!M57</f>
        <v>0</v>
      </c>
      <c r="H26" s="1587">
        <f>'Part V-Revenues &amp; Expenses'!N57</f>
        <v>0</v>
      </c>
      <c r="I26" s="1587">
        <f>'Part V-Revenues &amp; Expenses'!O57</f>
        <v>0</v>
      </c>
      <c r="J26" s="1588">
        <f>'Part V-Revenues &amp; Expenses'!P57</f>
        <v>0</v>
      </c>
      <c r="K26" s="432"/>
      <c r="S26" s="432"/>
    </row>
    <row r="27" spans="1:19" ht="15" customHeight="1">
      <c r="C27" s="736" t="s">
        <v>1082</v>
      </c>
      <c r="D27" s="439"/>
      <c r="E27" s="1586">
        <f>'Part V-Revenues &amp; Expenses'!K58</f>
        <v>0</v>
      </c>
      <c r="F27" s="1587">
        <f>'Part V-Revenues &amp; Expenses'!L58</f>
        <v>6</v>
      </c>
      <c r="G27" s="1587">
        <f>'Part V-Revenues &amp; Expenses'!M58</f>
        <v>17</v>
      </c>
      <c r="H27" s="1587">
        <f>'Part V-Revenues &amp; Expenses'!N58</f>
        <v>23</v>
      </c>
      <c r="I27" s="1587">
        <f>'Part V-Revenues &amp; Expenses'!O58</f>
        <v>12</v>
      </c>
      <c r="J27" s="1588">
        <f>'Part V-Revenues &amp; Expenses'!P58</f>
        <v>58</v>
      </c>
      <c r="K27" s="432"/>
      <c r="S27" s="432"/>
    </row>
    <row r="28" spans="1:19" ht="15" customHeight="1">
      <c r="C28" s="736" t="s">
        <v>112</v>
      </c>
      <c r="D28" s="439"/>
      <c r="E28" s="1586">
        <f>'Part V-Revenues &amp; Expenses'!K59</f>
        <v>0</v>
      </c>
      <c r="F28" s="1587">
        <f>'Part V-Revenues &amp; Expenses'!L59</f>
        <v>0</v>
      </c>
      <c r="G28" s="1587">
        <f>'Part V-Revenues &amp; Expenses'!M59</f>
        <v>0</v>
      </c>
      <c r="H28" s="1587">
        <f>'Part V-Revenues &amp; Expenses'!N59</f>
        <v>0</v>
      </c>
      <c r="I28" s="1587">
        <f>'Part V-Revenues &amp; Expenses'!O59</f>
        <v>0</v>
      </c>
      <c r="J28" s="1588">
        <f>'Part V-Revenues &amp; Expenses'!P59</f>
        <v>0</v>
      </c>
      <c r="K28" s="432"/>
      <c r="S28" s="432"/>
    </row>
    <row r="29" spans="1:19" ht="13.15" customHeight="1">
      <c r="C29" s="736" t="s">
        <v>3682</v>
      </c>
      <c r="D29" s="439"/>
      <c r="E29" s="1586">
        <f>'Part V-Revenues &amp; Expenses'!K60</f>
        <v>0</v>
      </c>
      <c r="F29" s="1587">
        <f>'Part V-Revenues &amp; Expenses'!L60</f>
        <v>0</v>
      </c>
      <c r="G29" s="1587">
        <f>'Part V-Revenues &amp; Expenses'!M60</f>
        <v>0</v>
      </c>
      <c r="H29" s="1587">
        <f>'Part V-Revenues &amp; Expenses'!N60</f>
        <v>0</v>
      </c>
      <c r="I29" s="1587">
        <f>'Part V-Revenues &amp; Expenses'!O60</f>
        <v>0</v>
      </c>
      <c r="J29" s="1588">
        <f>'Part V-Revenues &amp; Expenses'!P60</f>
        <v>0</v>
      </c>
      <c r="K29" s="432"/>
      <c r="S29" s="432"/>
    </row>
    <row r="30" spans="1:19" ht="13.15" customHeight="1">
      <c r="C30" s="736" t="s">
        <v>3683</v>
      </c>
      <c r="D30" s="439"/>
      <c r="E30" s="1586">
        <f>'Part V-Revenues &amp; Expenses'!K61</f>
        <v>0</v>
      </c>
      <c r="F30" s="1587">
        <f>'Part V-Revenues &amp; Expenses'!L61</f>
        <v>4</v>
      </c>
      <c r="G30" s="1587">
        <f>'Part V-Revenues &amp; Expenses'!M61</f>
        <v>15</v>
      </c>
      <c r="H30" s="1587">
        <f>'Part V-Revenues &amp; Expenses'!N61</f>
        <v>12</v>
      </c>
      <c r="I30" s="1587">
        <f>'Part V-Revenues &amp; Expenses'!O61</f>
        <v>6</v>
      </c>
      <c r="J30" s="1588">
        <f>'Part V-Revenues &amp; Expenses'!P61</f>
        <v>37</v>
      </c>
      <c r="K30" s="432"/>
      <c r="S30" s="432"/>
    </row>
    <row r="31" spans="1:19" ht="13.15" customHeight="1">
      <c r="C31" s="736" t="s">
        <v>3684</v>
      </c>
      <c r="D31" s="439"/>
      <c r="E31" s="1586">
        <f>'Part V-Revenues &amp; Expenses'!K62</f>
        <v>0</v>
      </c>
      <c r="F31" s="1587">
        <f>'Part V-Revenues &amp; Expenses'!L62</f>
        <v>0</v>
      </c>
      <c r="G31" s="1587">
        <f>'Part V-Revenues &amp; Expenses'!M62</f>
        <v>0</v>
      </c>
      <c r="H31" s="1587">
        <f>'Part V-Revenues &amp; Expenses'!N62</f>
        <v>0</v>
      </c>
      <c r="I31" s="1587">
        <f>'Part V-Revenues &amp; Expenses'!O62</f>
        <v>0</v>
      </c>
      <c r="J31" s="1588">
        <f>'Part V-Revenues &amp; Expenses'!P62</f>
        <v>0</v>
      </c>
      <c r="K31" s="432"/>
      <c r="S31" s="432"/>
    </row>
    <row r="32" spans="1:19" ht="13.15" customHeight="1">
      <c r="C32" s="439" t="s">
        <v>504</v>
      </c>
      <c r="D32" s="439"/>
      <c r="E32" s="1589">
        <f>'Part V-Revenues &amp; Expenses'!K63</f>
        <v>0</v>
      </c>
      <c r="F32" s="1581">
        <f>'Part V-Revenues &amp; Expenses'!L63</f>
        <v>15</v>
      </c>
      <c r="G32" s="1581">
        <f>'Part V-Revenues &amp; Expenses'!M63</f>
        <v>39</v>
      </c>
      <c r="H32" s="1581">
        <f>'Part V-Revenues &amp; Expenses'!N63</f>
        <v>45</v>
      </c>
      <c r="I32" s="1581">
        <f>'Part V-Revenues &amp; Expenses'!O63</f>
        <v>21</v>
      </c>
      <c r="J32" s="1590">
        <f>'Part V-Revenues &amp; Expenses'!P63</f>
        <v>120</v>
      </c>
      <c r="K32" s="432"/>
      <c r="S32" s="432"/>
    </row>
    <row r="33" spans="1:12" s="432" customFormat="1" ht="13.15" customHeight="1" thickBot="1">
      <c r="K33" s="1494"/>
    </row>
    <row r="34" spans="1:12" s="432" customFormat="1" ht="14.25" customHeight="1" thickBot="1">
      <c r="A34" s="1494"/>
      <c r="B34" s="3931" t="s">
        <v>6180</v>
      </c>
      <c r="E34" s="3932" t="s">
        <v>6073</v>
      </c>
      <c r="F34" s="3933"/>
      <c r="G34" s="3933"/>
      <c r="H34" s="3933"/>
      <c r="I34" s="3933"/>
      <c r="J34" s="3933"/>
      <c r="K34" s="3933"/>
      <c r="L34" s="3934"/>
    </row>
    <row r="35" spans="1:12" s="432" customFormat="1" ht="14.25" customHeight="1">
      <c r="A35" s="1494"/>
      <c r="B35" s="3931"/>
      <c r="C35" s="3935" t="s">
        <v>6181</v>
      </c>
      <c r="D35" s="3931" t="s">
        <v>6182</v>
      </c>
      <c r="E35" s="3936" t="s">
        <v>6076</v>
      </c>
      <c r="F35" s="3937"/>
      <c r="G35" s="3940" t="s">
        <v>1276</v>
      </c>
      <c r="H35" s="3942" t="s">
        <v>6072</v>
      </c>
      <c r="I35" s="3943"/>
      <c r="J35" s="3943"/>
      <c r="K35" s="3943"/>
      <c r="L35" s="3944"/>
    </row>
    <row r="36" spans="1:12" s="432" customFormat="1" ht="23.25" customHeight="1">
      <c r="A36" s="3935" t="s">
        <v>976</v>
      </c>
      <c r="B36" s="3931"/>
      <c r="C36" s="3935"/>
      <c r="D36" s="3931"/>
      <c r="E36" s="3938"/>
      <c r="F36" s="3939"/>
      <c r="G36" s="3941"/>
      <c r="H36" s="3945" t="s">
        <v>6074</v>
      </c>
      <c r="I36" s="3946"/>
      <c r="J36" s="3949" t="s">
        <v>1276</v>
      </c>
      <c r="K36" s="3946" t="s">
        <v>6075</v>
      </c>
      <c r="L36" s="3951"/>
    </row>
    <row r="37" spans="1:12" s="432" customFormat="1" ht="23.25" customHeight="1">
      <c r="A37" s="3935"/>
      <c r="B37" s="3931"/>
      <c r="C37" s="3935"/>
      <c r="D37" s="3931"/>
      <c r="E37" s="3938"/>
      <c r="F37" s="3939"/>
      <c r="G37" s="3941"/>
      <c r="H37" s="3945"/>
      <c r="I37" s="3946"/>
      <c r="J37" s="3950"/>
      <c r="K37" s="3946"/>
      <c r="L37" s="3951"/>
    </row>
    <row r="38" spans="1:12" s="432" customFormat="1" ht="23.25" customHeight="1">
      <c r="A38" s="3931"/>
      <c r="B38" s="3931"/>
      <c r="C38" s="3931"/>
      <c r="D38" s="3931"/>
      <c r="E38" s="3938"/>
      <c r="F38" s="3939"/>
      <c r="G38" s="3941"/>
      <c r="H38" s="3947"/>
      <c r="I38" s="3948"/>
      <c r="J38" s="3950"/>
      <c r="K38" s="3948"/>
      <c r="L38" s="3952"/>
    </row>
    <row r="39" spans="1:12" s="432" customFormat="1" ht="13.15" customHeight="1">
      <c r="A39" s="1573">
        <f>'Part V-Revenues &amp; Expenses'!B18</f>
        <v>30</v>
      </c>
      <c r="B39" s="1574">
        <f>'Part V-Revenues &amp; Expenses'!E18</f>
        <v>4</v>
      </c>
      <c r="C39" s="1575" t="str">
        <f>_xlfn.CONCAT('Part V-Revenues &amp; Expenses'!C18," / ",'Part V-Revenues &amp; Expenses'!D18)</f>
        <v>1 / 1</v>
      </c>
      <c r="D39" s="1574">
        <f>'Part V-Revenues &amp; Expenses'!F18</f>
        <v>845</v>
      </c>
      <c r="E39" s="3929">
        <f>'Part V-Revenues &amp; Expenses'!H18</f>
        <v>492</v>
      </c>
      <c r="F39" s="3930"/>
      <c r="G39" s="439"/>
      <c r="H39" s="3956"/>
      <c r="I39" s="3957"/>
      <c r="J39" s="3957"/>
      <c r="K39" s="3957"/>
      <c r="L39" s="3958"/>
    </row>
    <row r="40" spans="1:12" s="432" customFormat="1" ht="13.15" customHeight="1">
      <c r="A40" s="1576">
        <f>'Part V-Revenues &amp; Expenses'!B19</f>
        <v>60</v>
      </c>
      <c r="B40" s="1577">
        <f>'Part V-Revenues &amp; Expenses'!E19</f>
        <v>6</v>
      </c>
      <c r="C40" s="1578" t="str">
        <f>_xlfn.CONCAT('Part V-Revenues &amp; Expenses'!C19," / ",'Part V-Revenues &amp; Expenses'!D19)</f>
        <v>1 / 1</v>
      </c>
      <c r="D40" s="1577">
        <f>'Part V-Revenues &amp; Expenses'!F19</f>
        <v>845</v>
      </c>
      <c r="E40" s="3927">
        <f>'Part V-Revenues &amp; Expenses'!H19</f>
        <v>934</v>
      </c>
      <c r="F40" s="3928"/>
      <c r="G40" s="439"/>
      <c r="H40" s="3953"/>
      <c r="I40" s="3954"/>
      <c r="J40" s="3954"/>
      <c r="K40" s="3954"/>
      <c r="L40" s="3955"/>
    </row>
    <row r="41" spans="1:12" s="432" customFormat="1" ht="13.15" customHeight="1">
      <c r="A41" s="1576">
        <f>'Part V-Revenues &amp; Expenses'!B20</f>
        <v>80</v>
      </c>
      <c r="B41" s="1577">
        <f>'Part V-Revenues &amp; Expenses'!E20</f>
        <v>5</v>
      </c>
      <c r="C41" s="1578" t="str">
        <f>_xlfn.CONCAT('Part V-Revenues &amp; Expenses'!C20," / ",'Part V-Revenues &amp; Expenses'!D20)</f>
        <v>1 / 1</v>
      </c>
      <c r="D41" s="1577">
        <f>'Part V-Revenues &amp; Expenses'!F20</f>
        <v>845</v>
      </c>
      <c r="E41" s="3927">
        <f>'Part V-Revenues &amp; Expenses'!H20</f>
        <v>1112</v>
      </c>
      <c r="F41" s="3928"/>
      <c r="G41" s="439"/>
      <c r="H41" s="3953"/>
      <c r="I41" s="3954"/>
      <c r="J41" s="3954"/>
      <c r="K41" s="3954"/>
      <c r="L41" s="3955"/>
    </row>
    <row r="42" spans="1:12" s="432" customFormat="1" ht="13.15" customHeight="1">
      <c r="A42" s="1576">
        <f>'Part V-Revenues &amp; Expenses'!B21</f>
        <v>30</v>
      </c>
      <c r="B42" s="1577">
        <f>'Part V-Revenues &amp; Expenses'!E21</f>
        <v>15</v>
      </c>
      <c r="C42" s="1578" t="str">
        <f>_xlfn.CONCAT('Part V-Revenues &amp; Expenses'!C21," / ",'Part V-Revenues &amp; Expenses'!D21)</f>
        <v>2 / 2</v>
      </c>
      <c r="D42" s="1577">
        <f>'Part V-Revenues &amp; Expenses'!F21</f>
        <v>1156</v>
      </c>
      <c r="E42" s="3927">
        <f>'Part V-Revenues &amp; Expenses'!H21</f>
        <v>843</v>
      </c>
      <c r="F42" s="3928"/>
      <c r="G42" s="439"/>
      <c r="H42" s="3953"/>
      <c r="I42" s="3954"/>
      <c r="J42" s="3954"/>
      <c r="K42" s="3954"/>
      <c r="L42" s="3955"/>
    </row>
    <row r="43" spans="1:12" s="432" customFormat="1" ht="13.15" customHeight="1">
      <c r="A43" s="1576">
        <f>'Part V-Revenues &amp; Expenses'!B22</f>
        <v>60</v>
      </c>
      <c r="B43" s="1577">
        <f>'Part V-Revenues &amp; Expenses'!E22</f>
        <v>15</v>
      </c>
      <c r="C43" s="1578" t="str">
        <f>_xlfn.CONCAT('Part V-Revenues &amp; Expenses'!C22," / ",'Part V-Revenues &amp; Expenses'!D22)</f>
        <v>2 / 2</v>
      </c>
      <c r="D43" s="1577">
        <f>'Part V-Revenues &amp; Expenses'!F22</f>
        <v>1156</v>
      </c>
      <c r="E43" s="3927">
        <f>'Part V-Revenues &amp; Expenses'!H22</f>
        <v>1320</v>
      </c>
      <c r="F43" s="3928"/>
      <c r="G43" s="439"/>
      <c r="H43" s="3953"/>
      <c r="I43" s="3954"/>
      <c r="J43" s="3954"/>
      <c r="K43" s="3954"/>
      <c r="L43" s="3955"/>
    </row>
    <row r="44" spans="1:12" s="432" customFormat="1" ht="13.15" customHeight="1">
      <c r="A44" s="1576">
        <f>'Part V-Revenues &amp; Expenses'!B23</f>
        <v>60</v>
      </c>
      <c r="B44" s="1577">
        <f>'Part V-Revenues &amp; Expenses'!E23</f>
        <v>2</v>
      </c>
      <c r="C44" s="1578" t="str">
        <f>_xlfn.CONCAT('Part V-Revenues &amp; Expenses'!C23," / ",'Part V-Revenues &amp; Expenses'!D23)</f>
        <v>2 / 2</v>
      </c>
      <c r="D44" s="1577">
        <f>'Part V-Revenues &amp; Expenses'!F23</f>
        <v>1156</v>
      </c>
      <c r="E44" s="3927">
        <f>'Part V-Revenues &amp; Expenses'!H23</f>
        <v>1080</v>
      </c>
      <c r="F44" s="3928"/>
      <c r="G44" s="439"/>
      <c r="H44" s="3953"/>
      <c r="I44" s="3954"/>
      <c r="J44" s="3954"/>
      <c r="K44" s="3954"/>
      <c r="L44" s="3955"/>
    </row>
    <row r="45" spans="1:12" s="432" customFormat="1" ht="13.15" customHeight="1">
      <c r="A45" s="1576">
        <f>'Part V-Revenues &amp; Expenses'!B24</f>
        <v>80</v>
      </c>
      <c r="B45" s="1577">
        <f>'Part V-Revenues &amp; Expenses'!E24</f>
        <v>7</v>
      </c>
      <c r="C45" s="1578" t="str">
        <f>_xlfn.CONCAT('Part V-Revenues &amp; Expenses'!C24," / ",'Part V-Revenues &amp; Expenses'!D24)</f>
        <v>2 / 2</v>
      </c>
      <c r="D45" s="1577">
        <f>'Part V-Revenues &amp; Expenses'!F24</f>
        <v>1156</v>
      </c>
      <c r="E45" s="3927">
        <f>'Part V-Revenues &amp; Expenses'!H24</f>
        <v>1324</v>
      </c>
      <c r="F45" s="3928"/>
      <c r="G45" s="439"/>
      <c r="H45" s="3953"/>
      <c r="I45" s="3954"/>
      <c r="J45" s="3954"/>
      <c r="K45" s="3954"/>
      <c r="L45" s="3955"/>
    </row>
    <row r="46" spans="1:12" s="432" customFormat="1" ht="13.15" customHeight="1">
      <c r="A46" s="1576">
        <f>'Part V-Revenues &amp; Expenses'!B25</f>
        <v>30</v>
      </c>
      <c r="B46" s="1577">
        <f>'Part V-Revenues &amp; Expenses'!E25</f>
        <v>12</v>
      </c>
      <c r="C46" s="1578" t="str">
        <f>_xlfn.CONCAT('Part V-Revenues &amp; Expenses'!C25," / ",'Part V-Revenues &amp; Expenses'!D25)</f>
        <v>3 / 2</v>
      </c>
      <c r="D46" s="1577">
        <f>'Part V-Revenues &amp; Expenses'!F25</f>
        <v>1364</v>
      </c>
      <c r="E46" s="3927">
        <f>'Part V-Revenues &amp; Expenses'!H25</f>
        <v>1673</v>
      </c>
      <c r="F46" s="3928"/>
      <c r="G46" s="439"/>
      <c r="H46" s="3953"/>
      <c r="I46" s="3954"/>
      <c r="J46" s="3954"/>
      <c r="K46" s="3954"/>
      <c r="L46" s="3955"/>
    </row>
    <row r="47" spans="1:12" s="432" customFormat="1" ht="13.15" customHeight="1">
      <c r="A47" s="1576">
        <f>'Part V-Revenues &amp; Expenses'!B26</f>
        <v>60</v>
      </c>
      <c r="B47" s="1577">
        <f>'Part V-Revenues &amp; Expenses'!E26</f>
        <v>17</v>
      </c>
      <c r="C47" s="1578" t="str">
        <f>_xlfn.CONCAT('Part V-Revenues &amp; Expenses'!C26," / ",'Part V-Revenues &amp; Expenses'!D26)</f>
        <v>3 / 2</v>
      </c>
      <c r="D47" s="1577">
        <f>'Part V-Revenues &amp; Expenses'!F26</f>
        <v>1364</v>
      </c>
      <c r="E47" s="3927">
        <f>'Part V-Revenues &amp; Expenses'!H26</f>
        <v>1673</v>
      </c>
      <c r="F47" s="3928"/>
      <c r="G47" s="439"/>
      <c r="H47" s="3953"/>
      <c r="I47" s="3954"/>
      <c r="J47" s="3954"/>
      <c r="K47" s="3954"/>
      <c r="L47" s="3955"/>
    </row>
    <row r="48" spans="1:12" s="432" customFormat="1" ht="13.15" customHeight="1">
      <c r="A48" s="1576">
        <f>'Part V-Revenues &amp; Expenses'!B27</f>
        <v>60</v>
      </c>
      <c r="B48" s="1577">
        <f>'Part V-Revenues &amp; Expenses'!E27</f>
        <v>6</v>
      </c>
      <c r="C48" s="1578" t="str">
        <f>_xlfn.CONCAT('Part V-Revenues &amp; Expenses'!C27," / ",'Part V-Revenues &amp; Expenses'!D27)</f>
        <v>3 / 2</v>
      </c>
      <c r="D48" s="1577">
        <f>'Part V-Revenues &amp; Expenses'!F27</f>
        <v>1364</v>
      </c>
      <c r="E48" s="3927">
        <f>'Part V-Revenues &amp; Expenses'!H27</f>
        <v>1263</v>
      </c>
      <c r="F48" s="3928"/>
      <c r="G48" s="439"/>
      <c r="H48" s="3953"/>
      <c r="I48" s="3954"/>
      <c r="J48" s="3954"/>
      <c r="K48" s="3954"/>
      <c r="L48" s="3955"/>
    </row>
    <row r="49" spans="1:13" s="432" customFormat="1" ht="13.15" customHeight="1">
      <c r="A49" s="1576">
        <f>'Part V-Revenues &amp; Expenses'!B28</f>
        <v>80</v>
      </c>
      <c r="B49" s="1577">
        <f>'Part V-Revenues &amp; Expenses'!E28</f>
        <v>10</v>
      </c>
      <c r="C49" s="1578" t="str">
        <f>_xlfn.CONCAT('Part V-Revenues &amp; Expenses'!C28," / ",'Part V-Revenues &amp; Expenses'!D28)</f>
        <v>3 / 2</v>
      </c>
      <c r="D49" s="1577">
        <f>'Part V-Revenues &amp; Expenses'!F28</f>
        <v>1364</v>
      </c>
      <c r="E49" s="3927">
        <f>'Part V-Revenues &amp; Expenses'!H28</f>
        <v>1568</v>
      </c>
      <c r="F49" s="3928"/>
      <c r="G49" s="439"/>
      <c r="H49" s="3953"/>
      <c r="I49" s="3954"/>
      <c r="J49" s="3954"/>
      <c r="K49" s="3954"/>
      <c r="L49" s="3955"/>
    </row>
    <row r="50" spans="1:13" s="432" customFormat="1" ht="13.15" customHeight="1">
      <c r="A50" s="1576">
        <f>'Part V-Revenues &amp; Expenses'!B29</f>
        <v>30</v>
      </c>
      <c r="B50" s="1577">
        <f>'Part V-Revenues &amp; Expenses'!E29</f>
        <v>6</v>
      </c>
      <c r="C50" s="1578" t="str">
        <f>_xlfn.CONCAT('Part V-Revenues &amp; Expenses'!C29," / ",'Part V-Revenues &amp; Expenses'!D29)</f>
        <v>4 / 2</v>
      </c>
      <c r="D50" s="1577">
        <f>'Part V-Revenues &amp; Expenses'!F29</f>
        <v>1571</v>
      </c>
      <c r="E50" s="3927">
        <f>'Part V-Revenues &amp; Expenses'!H29</f>
        <v>1900</v>
      </c>
      <c r="F50" s="3928"/>
      <c r="G50" s="439"/>
      <c r="H50" s="3953"/>
      <c r="I50" s="3954"/>
      <c r="J50" s="3954"/>
      <c r="K50" s="3954"/>
      <c r="L50" s="3955"/>
    </row>
    <row r="51" spans="1:13" s="432" customFormat="1" ht="13.15" customHeight="1">
      <c r="A51" s="1576">
        <f>'Part V-Revenues &amp; Expenses'!B30</f>
        <v>60</v>
      </c>
      <c r="B51" s="1577">
        <f>'Part V-Revenues &amp; Expenses'!E30</f>
        <v>10</v>
      </c>
      <c r="C51" s="1578" t="str">
        <f>_xlfn.CONCAT('Part V-Revenues &amp; Expenses'!C30," / ",'Part V-Revenues &amp; Expenses'!D30)</f>
        <v>4 / 2</v>
      </c>
      <c r="D51" s="1577">
        <f>'Part V-Revenues &amp; Expenses'!F30</f>
        <v>1571</v>
      </c>
      <c r="E51" s="3927">
        <f>'Part V-Revenues &amp; Expenses'!H30</f>
        <v>1900</v>
      </c>
      <c r="F51" s="3928"/>
      <c r="G51" s="439"/>
      <c r="H51" s="3953"/>
      <c r="I51" s="3954"/>
      <c r="J51" s="3954"/>
      <c r="K51" s="3954"/>
      <c r="L51" s="3955"/>
    </row>
    <row r="52" spans="1:13" s="432" customFormat="1" ht="13.15" customHeight="1">
      <c r="A52" s="1576">
        <f>'Part V-Revenues &amp; Expenses'!B31</f>
        <v>60</v>
      </c>
      <c r="B52" s="1577">
        <f>'Part V-Revenues &amp; Expenses'!E31</f>
        <v>2</v>
      </c>
      <c r="C52" s="1578" t="str">
        <f>_xlfn.CONCAT('Part V-Revenues &amp; Expenses'!C31," / ",'Part V-Revenues &amp; Expenses'!D31)</f>
        <v>4 / 2</v>
      </c>
      <c r="D52" s="1577">
        <f>'Part V-Revenues &amp; Expenses'!F31</f>
        <v>1571</v>
      </c>
      <c r="E52" s="3927">
        <f>'Part V-Revenues &amp; Expenses'!H31</f>
        <v>1421</v>
      </c>
      <c r="F52" s="3928"/>
      <c r="G52" s="439"/>
      <c r="H52" s="3953"/>
      <c r="I52" s="3954"/>
      <c r="J52" s="3954"/>
      <c r="K52" s="3954"/>
      <c r="L52" s="3955"/>
    </row>
    <row r="53" spans="1:13" s="432" customFormat="1" ht="13.15" customHeight="1">
      <c r="A53" s="1576">
        <f>'Part V-Revenues &amp; Expenses'!B32</f>
        <v>80</v>
      </c>
      <c r="B53" s="1577">
        <f>'Part V-Revenues &amp; Expenses'!E32</f>
        <v>3</v>
      </c>
      <c r="C53" s="1578" t="str">
        <f>_xlfn.CONCAT('Part V-Revenues &amp; Expenses'!C32," / ",'Part V-Revenues &amp; Expenses'!D32)</f>
        <v>4 / 2</v>
      </c>
      <c r="D53" s="1577">
        <f>'Part V-Revenues &amp; Expenses'!F32</f>
        <v>1571</v>
      </c>
      <c r="E53" s="3927">
        <f>'Part V-Revenues &amp; Expenses'!H32</f>
        <v>1748</v>
      </c>
      <c r="F53" s="3928"/>
      <c r="G53" s="439"/>
      <c r="H53" s="3953"/>
      <c r="I53" s="3954"/>
      <c r="J53" s="3954"/>
      <c r="K53" s="3954"/>
      <c r="L53" s="3955"/>
    </row>
    <row r="54" spans="1:13" s="432" customFormat="1" ht="13.15" customHeight="1">
      <c r="A54" s="1576">
        <f>'Part V-Revenues &amp; Expenses'!B33</f>
        <v>0</v>
      </c>
      <c r="B54" s="1577">
        <f>'Part V-Revenues &amp; Expenses'!E33</f>
        <v>0</v>
      </c>
      <c r="C54" s="1578" t="str">
        <f>_xlfn.CONCAT('Part V-Revenues &amp; Expenses'!C33," / ",'Part V-Revenues &amp; Expenses'!D33)</f>
        <v xml:space="preserve"> / </v>
      </c>
      <c r="D54" s="1577">
        <f>'Part V-Revenues &amp; Expenses'!F33</f>
        <v>0</v>
      </c>
      <c r="E54" s="3927">
        <f>'Part V-Revenues &amp; Expenses'!H33</f>
        <v>0</v>
      </c>
      <c r="F54" s="3928"/>
      <c r="G54" s="439"/>
      <c r="H54" s="3953"/>
      <c r="I54" s="3954"/>
      <c r="J54" s="3954"/>
      <c r="K54" s="3954"/>
      <c r="L54" s="3955"/>
    </row>
    <row r="55" spans="1:13" s="432" customFormat="1" ht="13.15" customHeight="1">
      <c r="A55" s="1576">
        <f>'Part V-Revenues &amp; Expenses'!B34</f>
        <v>0</v>
      </c>
      <c r="B55" s="1577">
        <f>'Part V-Revenues &amp; Expenses'!E34</f>
        <v>0</v>
      </c>
      <c r="C55" s="1578" t="str">
        <f>_xlfn.CONCAT('Part V-Revenues &amp; Expenses'!C34," / ",'Part V-Revenues &amp; Expenses'!D34)</f>
        <v xml:space="preserve"> / </v>
      </c>
      <c r="D55" s="1577">
        <f>'Part V-Revenues &amp; Expenses'!F34</f>
        <v>0</v>
      </c>
      <c r="E55" s="3927">
        <f>'Part V-Revenues &amp; Expenses'!H34</f>
        <v>0</v>
      </c>
      <c r="F55" s="3928"/>
      <c r="G55" s="439"/>
      <c r="H55" s="3953"/>
      <c r="I55" s="3954"/>
      <c r="J55" s="3954"/>
      <c r="K55" s="3954"/>
      <c r="L55" s="3955"/>
    </row>
    <row r="56" spans="1:13" s="432" customFormat="1" ht="13.15" customHeight="1">
      <c r="A56" s="1576">
        <f>'Part V-Revenues &amp; Expenses'!B35</f>
        <v>0</v>
      </c>
      <c r="B56" s="1577">
        <f>'Part V-Revenues &amp; Expenses'!E35</f>
        <v>0</v>
      </c>
      <c r="C56" s="1578" t="str">
        <f>_xlfn.CONCAT('Part V-Revenues &amp; Expenses'!C35," / ",'Part V-Revenues &amp; Expenses'!D35)</f>
        <v xml:space="preserve"> / </v>
      </c>
      <c r="D56" s="1577">
        <f>'Part V-Revenues &amp; Expenses'!F35</f>
        <v>0</v>
      </c>
      <c r="E56" s="3927">
        <f>'Part V-Revenues &amp; Expenses'!H35</f>
        <v>0</v>
      </c>
      <c r="F56" s="3928"/>
      <c r="G56" s="439"/>
      <c r="H56" s="3953"/>
      <c r="I56" s="3954"/>
      <c r="J56" s="3954"/>
      <c r="K56" s="3954"/>
      <c r="L56" s="3955"/>
    </row>
    <row r="57" spans="1:13" s="432" customFormat="1" ht="13.15" customHeight="1">
      <c r="A57" s="1576">
        <f>'Part V-Revenues &amp; Expenses'!B36</f>
        <v>0</v>
      </c>
      <c r="B57" s="1577">
        <f>'Part V-Revenues &amp; Expenses'!E36</f>
        <v>0</v>
      </c>
      <c r="C57" s="1578" t="str">
        <f>_xlfn.CONCAT('Part V-Revenues &amp; Expenses'!C36," / ",'Part V-Revenues &amp; Expenses'!D36)</f>
        <v xml:space="preserve"> / </v>
      </c>
      <c r="D57" s="1577">
        <f>'Part V-Revenues &amp; Expenses'!F36</f>
        <v>0</v>
      </c>
      <c r="E57" s="3927">
        <f>'Part V-Revenues &amp; Expenses'!H36</f>
        <v>0</v>
      </c>
      <c r="F57" s="3928"/>
      <c r="G57" s="439"/>
      <c r="H57" s="3953"/>
      <c r="I57" s="3954"/>
      <c r="J57" s="3954"/>
      <c r="K57" s="3954"/>
      <c r="L57" s="3955"/>
    </row>
    <row r="58" spans="1:13" s="432" customFormat="1" ht="13.15" customHeight="1">
      <c r="A58" s="1576">
        <f>'Part V-Revenues &amp; Expenses'!B37</f>
        <v>0</v>
      </c>
      <c r="B58" s="1577">
        <f>'Part V-Revenues &amp; Expenses'!E37</f>
        <v>0</v>
      </c>
      <c r="C58" s="1578" t="str">
        <f>_xlfn.CONCAT('Part V-Revenues &amp; Expenses'!C37," / ",'Part V-Revenues &amp; Expenses'!D37)</f>
        <v xml:space="preserve"> / </v>
      </c>
      <c r="D58" s="1577">
        <f>'Part V-Revenues &amp; Expenses'!F37</f>
        <v>0</v>
      </c>
      <c r="E58" s="3927">
        <f>'Part V-Revenues &amp; Expenses'!H37</f>
        <v>0</v>
      </c>
      <c r="F58" s="3928"/>
      <c r="G58" s="439"/>
      <c r="H58" s="3953"/>
      <c r="I58" s="3954"/>
      <c r="J58" s="3954"/>
      <c r="K58" s="3954"/>
      <c r="L58" s="3955"/>
    </row>
    <row r="59" spans="1:13" s="432" customFormat="1" ht="13.15" customHeight="1">
      <c r="A59" s="1576">
        <f>'Part V-Revenues &amp; Expenses'!B38</f>
        <v>0</v>
      </c>
      <c r="B59" s="1577">
        <f>'Part V-Revenues &amp; Expenses'!E38</f>
        <v>0</v>
      </c>
      <c r="C59" s="1578" t="str">
        <f>_xlfn.CONCAT('Part V-Revenues &amp; Expenses'!C38," / ",'Part V-Revenues &amp; Expenses'!D38)</f>
        <v xml:space="preserve"> / </v>
      </c>
      <c r="D59" s="1577">
        <f>'Part V-Revenues &amp; Expenses'!F38</f>
        <v>0</v>
      </c>
      <c r="E59" s="3927">
        <f>'Part V-Revenues &amp; Expenses'!H38</f>
        <v>0</v>
      </c>
      <c r="F59" s="3928"/>
      <c r="G59" s="439"/>
      <c r="H59" s="3953"/>
      <c r="I59" s="3954"/>
      <c r="J59" s="3954"/>
      <c r="K59" s="3954"/>
      <c r="L59" s="3955"/>
    </row>
    <row r="60" spans="1:13" s="432" customFormat="1" ht="13.15" customHeight="1">
      <c r="A60" s="1576">
        <f>'Part V-Revenues &amp; Expenses'!B39</f>
        <v>0</v>
      </c>
      <c r="B60" s="1577">
        <f>'Part V-Revenues &amp; Expenses'!E39</f>
        <v>0</v>
      </c>
      <c r="C60" s="1578" t="str">
        <f>_xlfn.CONCAT('Part V-Revenues &amp; Expenses'!C39," / ",'Part V-Revenues &amp; Expenses'!D39)</f>
        <v xml:space="preserve"> / </v>
      </c>
      <c r="D60" s="1577">
        <f>'Part V-Revenues &amp; Expenses'!F39</f>
        <v>0</v>
      </c>
      <c r="E60" s="3927">
        <f>'Part V-Revenues &amp; Expenses'!H39</f>
        <v>0</v>
      </c>
      <c r="F60" s="3928"/>
      <c r="G60" s="439"/>
      <c r="H60" s="3953"/>
      <c r="I60" s="3954"/>
      <c r="J60" s="3954"/>
      <c r="K60" s="3954"/>
      <c r="L60" s="3955"/>
      <c r="M60" s="616"/>
    </row>
    <row r="61" spans="1:13" s="432" customFormat="1" ht="13.15" customHeight="1">
      <c r="A61" s="1576">
        <f>'Part V-Revenues &amp; Expenses'!B40</f>
        <v>0</v>
      </c>
      <c r="B61" s="1577">
        <f>'Part V-Revenues &amp; Expenses'!E40</f>
        <v>0</v>
      </c>
      <c r="C61" s="1578" t="str">
        <f>_xlfn.CONCAT('Part V-Revenues &amp; Expenses'!C40," / ",'Part V-Revenues &amp; Expenses'!D40)</f>
        <v xml:space="preserve"> / </v>
      </c>
      <c r="D61" s="1577">
        <f>'Part V-Revenues &amp; Expenses'!F40</f>
        <v>0</v>
      </c>
      <c r="E61" s="3927">
        <f>'Part V-Revenues &amp; Expenses'!H40</f>
        <v>0</v>
      </c>
      <c r="F61" s="3928"/>
      <c r="G61" s="439"/>
      <c r="H61" s="3953"/>
      <c r="I61" s="3954"/>
      <c r="J61" s="3954"/>
      <c r="K61" s="3954"/>
      <c r="L61" s="3955"/>
      <c r="M61" s="616"/>
    </row>
    <row r="62" spans="1:13" s="432" customFormat="1" ht="13.15" customHeight="1">
      <c r="A62" s="1576">
        <f>'Part V-Revenues &amp; Expenses'!B41</f>
        <v>0</v>
      </c>
      <c r="B62" s="1577">
        <f>'Part V-Revenues &amp; Expenses'!E41</f>
        <v>0</v>
      </c>
      <c r="C62" s="1578" t="str">
        <f>_xlfn.CONCAT('Part V-Revenues &amp; Expenses'!C41," / ",'Part V-Revenues &amp; Expenses'!D41)</f>
        <v xml:space="preserve"> / </v>
      </c>
      <c r="D62" s="1577">
        <f>'Part V-Revenues &amp; Expenses'!F41</f>
        <v>0</v>
      </c>
      <c r="E62" s="3927">
        <f>'Part V-Revenues &amp; Expenses'!H41</f>
        <v>0</v>
      </c>
      <c r="F62" s="3928"/>
      <c r="G62" s="439"/>
      <c r="H62" s="3953"/>
      <c r="I62" s="3954"/>
      <c r="J62" s="3954"/>
      <c r="K62" s="3954"/>
      <c r="L62" s="3955"/>
      <c r="M62" s="616"/>
    </row>
    <row r="63" spans="1:13" s="432" customFormat="1" ht="13.15" customHeight="1">
      <c r="A63" s="1576">
        <f>'Part V-Revenues &amp; Expenses'!B42</f>
        <v>0</v>
      </c>
      <c r="B63" s="1577">
        <f>'Part V-Revenues &amp; Expenses'!E42</f>
        <v>0</v>
      </c>
      <c r="C63" s="1578" t="str">
        <f>_xlfn.CONCAT('Part V-Revenues &amp; Expenses'!C42," / ",'Part V-Revenues &amp; Expenses'!D42)</f>
        <v xml:space="preserve"> / </v>
      </c>
      <c r="D63" s="1577">
        <f>'Part V-Revenues &amp; Expenses'!F42</f>
        <v>0</v>
      </c>
      <c r="E63" s="3927">
        <f>'Part V-Revenues &amp; Expenses'!H42</f>
        <v>0</v>
      </c>
      <c r="F63" s="3928"/>
      <c r="G63" s="439"/>
      <c r="H63" s="3953"/>
      <c r="I63" s="3954"/>
      <c r="J63" s="3954"/>
      <c r="K63" s="3954"/>
      <c r="L63" s="3955"/>
      <c r="M63" s="616"/>
    </row>
    <row r="64" spans="1:13" s="432" customFormat="1" ht="13.15" customHeight="1">
      <c r="A64" s="1576">
        <f>'Part V-Revenues &amp; Expenses'!B43</f>
        <v>0</v>
      </c>
      <c r="B64" s="1577">
        <f>'Part V-Revenues &amp; Expenses'!E43</f>
        <v>0</v>
      </c>
      <c r="C64" s="1578" t="str">
        <f>_xlfn.CONCAT('Part V-Revenues &amp; Expenses'!C43," / ",'Part V-Revenues &amp; Expenses'!D43)</f>
        <v xml:space="preserve"> / </v>
      </c>
      <c r="D64" s="1577">
        <f>'Part V-Revenues &amp; Expenses'!F43</f>
        <v>0</v>
      </c>
      <c r="E64" s="3927">
        <f>'Part V-Revenues &amp; Expenses'!H43</f>
        <v>0</v>
      </c>
      <c r="F64" s="3928"/>
      <c r="G64" s="439"/>
      <c r="H64" s="3953"/>
      <c r="I64" s="3954"/>
      <c r="J64" s="3954"/>
      <c r="K64" s="3954"/>
      <c r="L64" s="3955"/>
      <c r="M64" s="616"/>
    </row>
    <row r="65" spans="1:19" ht="13.15" customHeight="1">
      <c r="A65" s="1576">
        <f>'Part V-Revenues &amp; Expenses'!B44</f>
        <v>0</v>
      </c>
      <c r="B65" s="1577">
        <f>'Part V-Revenues &amp; Expenses'!E44</f>
        <v>0</v>
      </c>
      <c r="C65" s="1578" t="str">
        <f>_xlfn.CONCAT('Part V-Revenues &amp; Expenses'!C44," / ",'Part V-Revenues &amp; Expenses'!D44)</f>
        <v xml:space="preserve"> / </v>
      </c>
      <c r="D65" s="1577">
        <f>'Part V-Revenues &amp; Expenses'!F44</f>
        <v>0</v>
      </c>
      <c r="E65" s="3927">
        <f>'Part V-Revenues &amp; Expenses'!H44</f>
        <v>0</v>
      </c>
      <c r="F65" s="3928"/>
      <c r="G65" s="439"/>
      <c r="H65" s="3953"/>
      <c r="I65" s="3954"/>
      <c r="J65" s="3954"/>
      <c r="K65" s="3954"/>
      <c r="L65" s="3955"/>
      <c r="M65" s="616"/>
      <c r="S65" s="432"/>
    </row>
    <row r="66" spans="1:19" ht="13.15" customHeight="1">
      <c r="A66" s="1576">
        <f>'Part V-Revenues &amp; Expenses'!B45</f>
        <v>0</v>
      </c>
      <c r="B66" s="1577">
        <f>'Part V-Revenues &amp; Expenses'!E45</f>
        <v>0</v>
      </c>
      <c r="C66" s="1578" t="str">
        <f>_xlfn.CONCAT('Part V-Revenues &amp; Expenses'!C45," / ",'Part V-Revenues &amp; Expenses'!D45)</f>
        <v xml:space="preserve"> / </v>
      </c>
      <c r="D66" s="1577">
        <f>'Part V-Revenues &amp; Expenses'!F45</f>
        <v>0</v>
      </c>
      <c r="E66" s="3927">
        <f>'Part V-Revenues &amp; Expenses'!H45</f>
        <v>0</v>
      </c>
      <c r="F66" s="3928"/>
      <c r="G66" s="439"/>
      <c r="H66" s="3953"/>
      <c r="I66" s="3954"/>
      <c r="J66" s="3954"/>
      <c r="K66" s="3954"/>
      <c r="L66" s="3955"/>
      <c r="M66" s="616"/>
      <c r="S66" s="432"/>
    </row>
    <row r="67" spans="1:19" ht="13.15" customHeight="1">
      <c r="A67" s="1576">
        <f>'Part V-Revenues &amp; Expenses'!B46</f>
        <v>0</v>
      </c>
      <c r="B67" s="1577">
        <f>'Part V-Revenues &amp; Expenses'!E46</f>
        <v>0</v>
      </c>
      <c r="C67" s="1578" t="str">
        <f>_xlfn.CONCAT('Part V-Revenues &amp; Expenses'!C46," / ",'Part V-Revenues &amp; Expenses'!D46)</f>
        <v xml:space="preserve"> / </v>
      </c>
      <c r="D67" s="1577">
        <f>'Part V-Revenues &amp; Expenses'!F46</f>
        <v>0</v>
      </c>
      <c r="E67" s="3927">
        <f>'Part V-Revenues &amp; Expenses'!H46</f>
        <v>0</v>
      </c>
      <c r="F67" s="3928"/>
      <c r="G67" s="439"/>
      <c r="H67" s="3953"/>
      <c r="I67" s="3954"/>
      <c r="J67" s="3954"/>
      <c r="K67" s="3954"/>
      <c r="L67" s="3955"/>
      <c r="M67" s="616"/>
      <c r="S67" s="432"/>
    </row>
    <row r="68" spans="1:19" ht="13.15" customHeight="1">
      <c r="A68" s="1576">
        <f>'Part V-Revenues &amp; Expenses'!B47</f>
        <v>0</v>
      </c>
      <c r="B68" s="1577">
        <f>'Part V-Revenues &amp; Expenses'!E47</f>
        <v>0</v>
      </c>
      <c r="C68" s="1578" t="str">
        <f>_xlfn.CONCAT('Part V-Revenues &amp; Expenses'!C47," / ",'Part V-Revenues &amp; Expenses'!D47)</f>
        <v xml:space="preserve"> / </v>
      </c>
      <c r="D68" s="1577">
        <f>'Part V-Revenues &amp; Expenses'!F47</f>
        <v>0</v>
      </c>
      <c r="E68" s="3927">
        <f>'Part V-Revenues &amp; Expenses'!H47</f>
        <v>0</v>
      </c>
      <c r="F68" s="3928"/>
      <c r="G68" s="439"/>
      <c r="H68" s="3953"/>
      <c r="I68" s="3954"/>
      <c r="J68" s="3954"/>
      <c r="K68" s="3954"/>
      <c r="L68" s="3955"/>
      <c r="M68" s="616"/>
      <c r="S68" s="432"/>
    </row>
    <row r="69" spans="1:19" ht="13.15" customHeight="1">
      <c r="A69" s="1579">
        <f>'Part V-Revenues &amp; Expenses'!B48</f>
        <v>0</v>
      </c>
      <c r="B69" s="1580">
        <f>'Part V-Revenues &amp; Expenses'!E48</f>
        <v>0</v>
      </c>
      <c r="C69" s="1581" t="str">
        <f>_xlfn.CONCAT('Part V-Revenues &amp; Expenses'!C48," / ",'Part V-Revenues &amp; Expenses'!D48)</f>
        <v xml:space="preserve"> / </v>
      </c>
      <c r="D69" s="1580">
        <f>'Part V-Revenues &amp; Expenses'!F48</f>
        <v>0</v>
      </c>
      <c r="E69" s="3925">
        <f>'Part V-Revenues &amp; Expenses'!H48</f>
        <v>0</v>
      </c>
      <c r="F69" s="3926"/>
      <c r="G69" s="1582"/>
      <c r="H69" s="3959"/>
      <c r="I69" s="3960"/>
      <c r="J69" s="3960"/>
      <c r="K69" s="3960"/>
      <c r="L69" s="3961"/>
      <c r="M69" s="616"/>
      <c r="S69" s="432"/>
    </row>
    <row r="70" spans="1:19" ht="13.15" customHeight="1">
      <c r="C70" s="1494"/>
      <c r="F70" s="616"/>
      <c r="G70" s="616"/>
      <c r="H70" s="616"/>
      <c r="I70" s="616"/>
      <c r="J70" s="616"/>
      <c r="K70" s="1493"/>
      <c r="L70" s="616"/>
      <c r="M70" s="616"/>
      <c r="S70" s="432"/>
    </row>
    <row r="71" spans="1:19" ht="13.15" customHeight="1">
      <c r="C71" s="1494"/>
      <c r="F71" s="616"/>
      <c r="G71" s="616"/>
      <c r="H71" s="616"/>
      <c r="I71" s="616"/>
      <c r="J71" s="616"/>
      <c r="K71" s="1493"/>
      <c r="L71" s="616"/>
      <c r="M71" s="616"/>
      <c r="S71" s="432"/>
    </row>
    <row r="72" spans="1:19" ht="13.15" customHeight="1">
      <c r="C72" s="1494"/>
      <c r="F72" s="616"/>
      <c r="G72" s="616"/>
      <c r="H72" s="616"/>
      <c r="I72" s="616"/>
      <c r="J72" s="616"/>
      <c r="K72" s="1493"/>
      <c r="L72" s="616"/>
      <c r="M72" s="616"/>
      <c r="S72" s="432"/>
    </row>
    <row r="73" spans="1:19" ht="13.15" customHeight="1">
      <c r="C73" s="1494"/>
      <c r="F73" s="616"/>
      <c r="G73" s="616"/>
      <c r="H73" s="616"/>
      <c r="I73" s="616"/>
      <c r="J73" s="616"/>
      <c r="K73" s="1493"/>
      <c r="L73" s="616"/>
      <c r="M73" s="616"/>
      <c r="S73" s="432"/>
    </row>
    <row r="74" spans="1:19" ht="13.15" customHeight="1">
      <c r="C74" s="1494"/>
      <c r="F74" s="616"/>
      <c r="G74" s="616"/>
      <c r="H74" s="616"/>
      <c r="I74" s="616"/>
      <c r="J74" s="616"/>
      <c r="K74" s="1493"/>
      <c r="L74" s="616"/>
      <c r="M74" s="616"/>
      <c r="S74" s="432"/>
    </row>
    <row r="75" spans="1:19" ht="13.15" customHeight="1">
      <c r="C75" s="1494"/>
      <c r="F75" s="616"/>
      <c r="G75" s="616"/>
      <c r="H75" s="616"/>
      <c r="I75" s="616"/>
      <c r="J75" s="616"/>
      <c r="K75" s="1493"/>
      <c r="L75" s="616"/>
      <c r="M75" s="616"/>
      <c r="S75" s="432"/>
    </row>
    <row r="76" spans="1:19" ht="13.15" customHeight="1">
      <c r="C76" s="1494"/>
      <c r="F76" s="616"/>
      <c r="G76" s="616"/>
      <c r="H76" s="616"/>
      <c r="I76" s="616"/>
      <c r="J76" s="616"/>
      <c r="K76" s="1493"/>
      <c r="L76" s="616"/>
      <c r="M76" s="616"/>
      <c r="S76" s="432"/>
    </row>
    <row r="77" spans="1:19" ht="13.15" customHeight="1">
      <c r="C77" s="1494"/>
      <c r="F77" s="616"/>
      <c r="G77" s="616"/>
      <c r="H77" s="616"/>
      <c r="I77" s="616"/>
      <c r="J77" s="616"/>
      <c r="K77" s="1493"/>
      <c r="L77" s="616"/>
      <c r="M77" s="616"/>
      <c r="S77" s="432"/>
    </row>
    <row r="78" spans="1:19" ht="13.15" customHeight="1">
      <c r="C78" s="1494"/>
      <c r="F78" s="616"/>
      <c r="G78" s="616"/>
      <c r="H78" s="616"/>
      <c r="I78" s="616"/>
      <c r="J78" s="616"/>
      <c r="K78" s="1493"/>
      <c r="L78" s="616"/>
      <c r="M78" s="616"/>
      <c r="S78" s="432"/>
    </row>
    <row r="79" spans="1:19" ht="13.15" customHeight="1">
      <c r="C79" s="1494"/>
      <c r="F79" s="616"/>
      <c r="G79" s="616"/>
      <c r="H79" s="616"/>
      <c r="I79" s="616"/>
      <c r="J79" s="616"/>
      <c r="K79" s="1493"/>
      <c r="L79" s="616"/>
      <c r="M79" s="616"/>
      <c r="S79" s="432"/>
    </row>
    <row r="80" spans="1:19" ht="13.15" customHeight="1">
      <c r="C80" s="1494"/>
      <c r="F80" s="616"/>
      <c r="G80" s="616"/>
      <c r="H80" s="616"/>
      <c r="I80" s="616"/>
      <c r="J80" s="616"/>
      <c r="K80" s="1493"/>
      <c r="L80" s="616"/>
      <c r="M80" s="616"/>
      <c r="S80" s="432"/>
    </row>
    <row r="81" spans="3:19" ht="13.15" customHeight="1">
      <c r="C81" s="1494"/>
      <c r="F81" s="616"/>
      <c r="G81" s="616"/>
      <c r="H81" s="616"/>
      <c r="I81" s="616"/>
      <c r="J81" s="616"/>
      <c r="K81" s="1493"/>
      <c r="L81" s="616"/>
      <c r="M81" s="616"/>
      <c r="S81" s="432"/>
    </row>
    <row r="82" spans="3:19" ht="13.15" customHeight="1">
      <c r="C82" s="1494"/>
      <c r="F82" s="616"/>
      <c r="G82" s="616"/>
      <c r="H82" s="616"/>
      <c r="I82" s="616"/>
      <c r="J82" s="616"/>
      <c r="K82" s="1493"/>
      <c r="L82" s="616"/>
      <c r="M82" s="616"/>
      <c r="S82" s="432"/>
    </row>
    <row r="83" spans="3:19" ht="13.15" customHeight="1">
      <c r="C83" s="1494"/>
      <c r="F83" s="616"/>
      <c r="G83" s="616"/>
      <c r="H83" s="616"/>
      <c r="I83" s="616"/>
      <c r="J83" s="616"/>
      <c r="K83" s="1493"/>
      <c r="L83" s="616"/>
      <c r="M83" s="616"/>
      <c r="S83" s="432"/>
    </row>
    <row r="84" spans="3:19" ht="13.15" customHeight="1">
      <c r="C84" s="1494"/>
      <c r="F84" s="616"/>
      <c r="G84" s="616"/>
      <c r="H84" s="616"/>
      <c r="I84" s="616"/>
      <c r="J84" s="616"/>
      <c r="K84" s="1493"/>
      <c r="L84" s="616"/>
      <c r="M84" s="616"/>
      <c r="S84" s="432"/>
    </row>
    <row r="85" spans="3:19" ht="13.15" customHeight="1">
      <c r="C85" s="1494"/>
      <c r="F85" s="616"/>
      <c r="G85" s="616"/>
      <c r="H85" s="616"/>
      <c r="I85" s="616"/>
      <c r="J85" s="616"/>
      <c r="K85" s="1493"/>
      <c r="L85" s="616"/>
      <c r="M85" s="616"/>
      <c r="S85" s="432"/>
    </row>
    <row r="86" spans="3:19" ht="13.15" customHeight="1">
      <c r="C86" s="1494"/>
      <c r="F86" s="616"/>
      <c r="G86" s="616"/>
      <c r="H86" s="616"/>
      <c r="I86" s="616"/>
      <c r="J86" s="616"/>
      <c r="K86" s="1493"/>
      <c r="L86" s="616"/>
      <c r="M86" s="616"/>
      <c r="S86" s="432"/>
    </row>
    <row r="87" spans="3:19" ht="13.15" customHeight="1">
      <c r="C87" s="1494"/>
      <c r="F87" s="616"/>
      <c r="G87" s="616"/>
      <c r="H87" s="616"/>
      <c r="I87" s="616"/>
      <c r="J87" s="616"/>
      <c r="K87" s="1493"/>
      <c r="L87" s="616"/>
      <c r="M87" s="616"/>
      <c r="S87" s="432"/>
    </row>
    <row r="88" spans="3:19" ht="13.15" customHeight="1">
      <c r="C88" s="1494"/>
      <c r="F88" s="616"/>
      <c r="G88" s="616"/>
      <c r="H88" s="616"/>
      <c r="I88" s="616"/>
      <c r="J88" s="616"/>
      <c r="K88" s="1493"/>
      <c r="L88" s="616"/>
      <c r="M88" s="616"/>
      <c r="S88" s="432"/>
    </row>
    <row r="89" spans="3:19" ht="13.15" customHeight="1">
      <c r="C89" s="1494"/>
      <c r="F89" s="616"/>
      <c r="G89" s="616"/>
      <c r="H89" s="616"/>
      <c r="I89" s="616"/>
      <c r="J89" s="616"/>
      <c r="K89" s="1493"/>
      <c r="L89" s="616"/>
      <c r="M89" s="616"/>
      <c r="S89" s="432"/>
    </row>
    <row r="90" spans="3:19" ht="13.15" customHeight="1">
      <c r="C90" s="1494"/>
      <c r="F90" s="616"/>
      <c r="G90" s="616"/>
      <c r="H90" s="616"/>
      <c r="I90" s="616"/>
      <c r="J90" s="616"/>
      <c r="K90" s="1493"/>
      <c r="L90" s="616"/>
      <c r="M90" s="616"/>
      <c r="S90" s="432"/>
    </row>
    <row r="91" spans="3:19" ht="13.15" customHeight="1">
      <c r="C91" s="1494"/>
      <c r="F91" s="616"/>
      <c r="G91" s="616"/>
      <c r="H91" s="616"/>
      <c r="I91" s="616"/>
      <c r="J91" s="616"/>
      <c r="K91" s="1493"/>
      <c r="L91" s="616"/>
      <c r="M91" s="616"/>
      <c r="S91" s="432"/>
    </row>
    <row r="92" spans="3:19" ht="13.15" customHeight="1">
      <c r="C92" s="1494"/>
      <c r="F92" s="616"/>
      <c r="G92" s="616"/>
      <c r="H92" s="616"/>
      <c r="I92" s="616"/>
      <c r="J92" s="616"/>
      <c r="K92" s="1493"/>
      <c r="L92" s="616"/>
      <c r="M92" s="616"/>
      <c r="S92" s="432"/>
    </row>
    <row r="93" spans="3:19" ht="13.15" customHeight="1">
      <c r="C93" s="1494"/>
      <c r="F93" s="616"/>
      <c r="G93" s="616"/>
      <c r="H93" s="616"/>
      <c r="I93" s="616"/>
      <c r="J93" s="616"/>
      <c r="K93" s="1493"/>
      <c r="L93" s="616"/>
      <c r="M93" s="616"/>
      <c r="S93" s="432"/>
    </row>
    <row r="94" spans="3:19" ht="13.15" customHeight="1">
      <c r="C94" s="1494"/>
      <c r="F94" s="616"/>
      <c r="G94" s="616"/>
      <c r="H94" s="616"/>
      <c r="I94" s="616"/>
      <c r="J94" s="616"/>
      <c r="K94" s="1493"/>
      <c r="L94" s="616"/>
      <c r="M94" s="616"/>
      <c r="S94" s="432"/>
    </row>
    <row r="95" spans="3:19" ht="13.15" customHeight="1">
      <c r="C95" s="1494"/>
      <c r="F95" s="616"/>
      <c r="G95" s="616"/>
      <c r="H95" s="616"/>
      <c r="I95" s="616"/>
      <c r="J95" s="616"/>
      <c r="K95" s="1493"/>
      <c r="L95" s="616"/>
      <c r="M95" s="616"/>
      <c r="S95" s="432"/>
    </row>
    <row r="96" spans="3:19" ht="13.15" customHeight="1">
      <c r="C96" s="1494"/>
      <c r="F96" s="616"/>
      <c r="G96" s="616"/>
      <c r="H96" s="616"/>
      <c r="I96" s="616"/>
      <c r="J96" s="616"/>
      <c r="K96" s="1493"/>
      <c r="L96" s="616"/>
      <c r="M96" s="616"/>
      <c r="S96" s="432"/>
    </row>
    <row r="97" spans="3:19" ht="13.15" customHeight="1">
      <c r="C97" s="1494"/>
      <c r="F97" s="616"/>
      <c r="G97" s="616"/>
      <c r="H97" s="616"/>
      <c r="I97" s="616"/>
      <c r="J97" s="616"/>
      <c r="K97" s="1493"/>
      <c r="L97" s="616"/>
      <c r="M97" s="616"/>
      <c r="S97" s="432"/>
    </row>
    <row r="98" spans="3:19" ht="13.15" customHeight="1">
      <c r="C98" s="1494"/>
      <c r="F98" s="616"/>
      <c r="G98" s="616"/>
      <c r="H98" s="616"/>
      <c r="I98" s="616"/>
      <c r="J98" s="616"/>
      <c r="K98" s="1493"/>
      <c r="L98" s="616"/>
      <c r="M98" s="616"/>
      <c r="S98" s="432"/>
    </row>
    <row r="99" spans="3:19" ht="13.15" customHeight="1">
      <c r="C99" s="1494"/>
      <c r="F99" s="616"/>
      <c r="G99" s="616"/>
      <c r="H99" s="616"/>
      <c r="I99" s="616"/>
      <c r="J99" s="616"/>
      <c r="K99" s="1493"/>
      <c r="L99" s="616"/>
      <c r="M99" s="616"/>
      <c r="S99" s="432"/>
    </row>
    <row r="100" spans="3:19" ht="13.15" customHeight="1">
      <c r="C100" s="1494"/>
      <c r="F100" s="616"/>
      <c r="G100" s="616"/>
      <c r="H100" s="616"/>
      <c r="I100" s="616"/>
      <c r="J100" s="616"/>
      <c r="K100" s="1493"/>
      <c r="L100" s="616"/>
      <c r="M100" s="616"/>
      <c r="S100" s="432"/>
    </row>
    <row r="101" spans="3:19" ht="13.15" customHeight="1">
      <c r="C101" s="1494"/>
      <c r="F101" s="616"/>
      <c r="G101" s="616"/>
      <c r="H101" s="616"/>
      <c r="I101" s="616"/>
      <c r="J101" s="616"/>
      <c r="K101" s="1493"/>
      <c r="L101" s="616"/>
      <c r="M101" s="616"/>
      <c r="S101" s="432"/>
    </row>
    <row r="102" spans="3:19" ht="13.15" customHeight="1">
      <c r="C102" s="1494"/>
      <c r="F102" s="616"/>
      <c r="G102" s="616"/>
      <c r="H102" s="616"/>
      <c r="I102" s="616"/>
      <c r="J102" s="616"/>
      <c r="K102" s="1493"/>
      <c r="L102" s="616"/>
      <c r="M102" s="616"/>
      <c r="S102" s="432"/>
    </row>
    <row r="103" spans="3:19" ht="13.15" customHeight="1">
      <c r="C103" s="1494"/>
      <c r="F103" s="616"/>
      <c r="G103" s="616"/>
      <c r="H103" s="616"/>
      <c r="I103" s="616"/>
      <c r="J103" s="616"/>
      <c r="K103" s="1493"/>
      <c r="L103" s="616"/>
      <c r="M103" s="616"/>
      <c r="S103" s="432"/>
    </row>
    <row r="104" spans="3:19" ht="13.15" customHeight="1">
      <c r="C104" s="1494"/>
      <c r="F104" s="616"/>
      <c r="G104" s="616"/>
      <c r="H104" s="616"/>
      <c r="I104" s="616"/>
      <c r="J104" s="616"/>
      <c r="K104" s="1493"/>
      <c r="L104" s="616"/>
      <c r="M104" s="616"/>
      <c r="S104" s="432"/>
    </row>
    <row r="105" spans="3:19" ht="13.15" customHeight="1">
      <c r="C105" s="1494"/>
      <c r="F105" s="616"/>
      <c r="G105" s="616"/>
      <c r="H105" s="616"/>
      <c r="I105" s="616"/>
      <c r="J105" s="616"/>
      <c r="K105" s="1493"/>
      <c r="L105" s="616"/>
      <c r="M105" s="616"/>
      <c r="S105" s="432"/>
    </row>
    <row r="106" spans="3:19" ht="13.15" customHeight="1">
      <c r="C106" s="1494"/>
      <c r="F106" s="616"/>
      <c r="G106" s="616"/>
      <c r="H106" s="616"/>
      <c r="I106" s="616"/>
      <c r="J106" s="616"/>
      <c r="K106" s="1493"/>
      <c r="L106" s="616"/>
      <c r="M106" s="616"/>
      <c r="S106" s="432"/>
    </row>
    <row r="107" spans="3:19" ht="13.15" customHeight="1">
      <c r="C107" s="1494"/>
      <c r="F107" s="616"/>
      <c r="G107" s="616"/>
      <c r="H107" s="616"/>
      <c r="I107" s="616"/>
      <c r="J107" s="616"/>
      <c r="K107" s="1493"/>
      <c r="L107" s="616"/>
      <c r="M107" s="616"/>
      <c r="S107" s="432"/>
    </row>
    <row r="108" spans="3:19" ht="13.15" customHeight="1">
      <c r="C108" s="1494" t="s">
        <v>233</v>
      </c>
      <c r="F108" s="616"/>
      <c r="G108" s="616"/>
      <c r="H108" s="616"/>
      <c r="I108" s="616"/>
      <c r="J108" s="616"/>
      <c r="K108" s="1493"/>
      <c r="L108" s="616"/>
      <c r="M108" s="616"/>
      <c r="S108" s="432"/>
    </row>
    <row r="109" spans="3:19" ht="13.15" customHeight="1">
      <c r="C109" s="1494"/>
      <c r="F109" s="616"/>
      <c r="G109" s="616"/>
      <c r="H109" s="616"/>
      <c r="I109" s="616"/>
      <c r="J109" s="616"/>
      <c r="K109" s="1493"/>
      <c r="L109" s="616"/>
      <c r="M109" s="616"/>
      <c r="S109" s="432"/>
    </row>
    <row r="110" spans="3:19" ht="13.15" customHeight="1">
      <c r="C110" s="1494"/>
      <c r="F110" s="616"/>
      <c r="G110" s="616"/>
      <c r="H110" s="616"/>
      <c r="I110" s="616"/>
      <c r="J110" s="616"/>
      <c r="K110" s="1493"/>
      <c r="L110" s="616"/>
      <c r="M110" s="616"/>
      <c r="S110" s="432"/>
    </row>
    <row r="111" spans="3:19" ht="13.15" customHeight="1">
      <c r="C111" s="1494"/>
      <c r="F111" s="616"/>
      <c r="G111" s="616"/>
      <c r="H111" s="616"/>
      <c r="I111" s="616"/>
      <c r="J111" s="616"/>
      <c r="K111" s="1493"/>
      <c r="L111" s="616"/>
      <c r="M111" s="616"/>
      <c r="S111" s="432"/>
    </row>
    <row r="112" spans="3:19" ht="13.15" customHeight="1">
      <c r="C112" s="1494"/>
      <c r="F112" s="616"/>
      <c r="G112" s="616"/>
      <c r="H112" s="616"/>
      <c r="I112" s="616"/>
      <c r="J112" s="616"/>
      <c r="K112" s="1493"/>
      <c r="L112" s="616"/>
      <c r="M112" s="616"/>
      <c r="S112" s="432"/>
    </row>
    <row r="113" spans="3:19" ht="13.15" customHeight="1">
      <c r="C113" s="1494"/>
      <c r="F113" s="616"/>
      <c r="G113" s="616"/>
      <c r="H113" s="616"/>
      <c r="I113" s="616"/>
      <c r="J113" s="616"/>
      <c r="K113" s="1493"/>
      <c r="L113" s="616"/>
      <c r="M113" s="616"/>
      <c r="S113" s="432"/>
    </row>
    <row r="114" spans="3:19" ht="13.15" customHeight="1">
      <c r="C114" s="1494"/>
      <c r="F114" s="616"/>
      <c r="G114" s="616"/>
      <c r="H114" s="616"/>
      <c r="I114" s="616"/>
      <c r="J114" s="616"/>
      <c r="K114" s="1493"/>
      <c r="L114" s="616"/>
      <c r="M114" s="616"/>
      <c r="S114" s="432"/>
    </row>
    <row r="115" spans="3:19" ht="13.15" customHeight="1">
      <c r="C115" s="1494"/>
      <c r="F115" s="616"/>
      <c r="G115" s="616"/>
      <c r="H115" s="616"/>
      <c r="I115" s="616"/>
      <c r="J115" s="616"/>
      <c r="K115" s="1493"/>
      <c r="L115" s="616"/>
      <c r="M115" s="616"/>
      <c r="S115" s="432"/>
    </row>
    <row r="116" spans="3:19" ht="13.15" customHeight="1">
      <c r="C116" s="1494"/>
      <c r="F116" s="616"/>
      <c r="G116" s="616"/>
      <c r="H116" s="616"/>
      <c r="I116" s="616"/>
      <c r="J116" s="616"/>
      <c r="K116" s="1493"/>
      <c r="L116" s="616"/>
      <c r="M116" s="616"/>
      <c r="S116" s="432"/>
    </row>
    <row r="117" spans="3:19" ht="13.15" customHeight="1">
      <c r="C117" s="1494"/>
      <c r="F117" s="616"/>
      <c r="G117" s="616"/>
      <c r="H117" s="616"/>
      <c r="I117" s="616"/>
      <c r="J117" s="616"/>
      <c r="K117" s="1493"/>
      <c r="L117" s="616"/>
      <c r="M117" s="616"/>
      <c r="S117" s="432"/>
    </row>
    <row r="118" spans="3:19" ht="13.15" customHeight="1">
      <c r="C118" s="1494"/>
      <c r="F118" s="616"/>
      <c r="G118" s="616"/>
      <c r="H118" s="616"/>
      <c r="I118" s="616"/>
      <c r="J118" s="616"/>
      <c r="K118" s="1493"/>
      <c r="L118" s="616"/>
      <c r="M118" s="616"/>
      <c r="S118" s="432"/>
    </row>
    <row r="119" spans="3:19" ht="13.15" customHeight="1">
      <c r="C119" s="1494"/>
      <c r="F119" s="616"/>
      <c r="G119" s="616"/>
      <c r="H119" s="616"/>
      <c r="I119" s="616"/>
      <c r="J119" s="616"/>
      <c r="K119" s="1493"/>
      <c r="L119" s="616"/>
      <c r="M119" s="616"/>
      <c r="S119" s="432"/>
    </row>
    <row r="120" spans="3:19" ht="13.15" customHeight="1">
      <c r="C120" s="1494"/>
      <c r="F120" s="616"/>
      <c r="G120" s="616"/>
      <c r="H120" s="616"/>
      <c r="I120" s="616"/>
      <c r="J120" s="616"/>
      <c r="K120" s="1493"/>
      <c r="L120" s="616"/>
      <c r="M120" s="616"/>
      <c r="S120" s="432"/>
    </row>
    <row r="121" spans="3:19" ht="13.15" customHeight="1">
      <c r="C121" s="1494"/>
      <c r="F121" s="616"/>
      <c r="G121" s="616"/>
      <c r="H121" s="616"/>
      <c r="I121" s="616"/>
      <c r="J121" s="616"/>
      <c r="K121" s="1493"/>
      <c r="L121" s="616"/>
      <c r="M121" s="616"/>
      <c r="S121" s="432"/>
    </row>
    <row r="122" spans="3:19" ht="13.15" customHeight="1">
      <c r="C122" s="1494"/>
      <c r="F122" s="616"/>
      <c r="G122" s="616"/>
      <c r="H122" s="616"/>
      <c r="I122" s="616"/>
      <c r="J122" s="616"/>
      <c r="K122" s="1493"/>
      <c r="L122" s="616"/>
      <c r="M122" s="616"/>
      <c r="S122" s="432"/>
    </row>
    <row r="123" spans="3:19" ht="13.15" customHeight="1">
      <c r="C123" s="1494"/>
      <c r="F123" s="616"/>
      <c r="G123" s="616"/>
      <c r="H123" s="616"/>
      <c r="I123" s="616"/>
      <c r="J123" s="616"/>
      <c r="K123" s="1493"/>
      <c r="L123" s="616"/>
      <c r="M123" s="616"/>
      <c r="S123" s="432"/>
    </row>
    <row r="124" spans="3:19" ht="13.15" customHeight="1">
      <c r="C124" s="1494"/>
      <c r="F124" s="616"/>
      <c r="G124" s="616"/>
      <c r="H124" s="616"/>
      <c r="I124" s="616"/>
      <c r="J124" s="616"/>
      <c r="K124" s="1493"/>
      <c r="L124" s="616"/>
      <c r="M124" s="616"/>
      <c r="S124" s="432"/>
    </row>
    <row r="125" spans="3:19" ht="13.15" customHeight="1">
      <c r="C125" s="1494"/>
      <c r="F125" s="616"/>
      <c r="G125" s="616"/>
      <c r="H125" s="616"/>
      <c r="I125" s="616"/>
      <c r="J125" s="616"/>
      <c r="K125" s="1493"/>
      <c r="L125" s="616"/>
      <c r="M125" s="616"/>
      <c r="S125" s="432"/>
    </row>
    <row r="126" spans="3:19" ht="13.15" customHeight="1">
      <c r="C126" s="1494"/>
      <c r="F126" s="616"/>
      <c r="G126" s="616"/>
      <c r="H126" s="616"/>
      <c r="I126" s="616"/>
      <c r="J126" s="616"/>
      <c r="K126" s="1493"/>
      <c r="L126" s="616"/>
      <c r="M126" s="616"/>
      <c r="S126" s="432"/>
    </row>
    <row r="127" spans="3:19" ht="13.15" customHeight="1">
      <c r="C127" s="1494"/>
      <c r="F127" s="616"/>
      <c r="G127" s="616"/>
      <c r="H127" s="616"/>
      <c r="I127" s="616"/>
      <c r="J127" s="616"/>
      <c r="K127" s="1493"/>
      <c r="L127" s="616"/>
      <c r="M127" s="616"/>
      <c r="S127" s="432"/>
    </row>
    <row r="128" spans="3:19" ht="13.15" customHeight="1">
      <c r="C128" s="1494"/>
      <c r="F128" s="616"/>
      <c r="G128" s="616"/>
      <c r="H128" s="616"/>
      <c r="I128" s="616"/>
      <c r="J128" s="616"/>
      <c r="K128" s="1493"/>
      <c r="L128" s="616"/>
      <c r="M128" s="616"/>
      <c r="S128" s="432"/>
    </row>
    <row r="129" spans="3:19" ht="13.15" customHeight="1">
      <c r="C129" s="1494"/>
      <c r="F129" s="616"/>
      <c r="G129" s="616"/>
      <c r="H129" s="616"/>
      <c r="I129" s="616"/>
      <c r="J129" s="616"/>
      <c r="K129" s="1493"/>
      <c r="L129" s="616"/>
      <c r="M129" s="616"/>
      <c r="S129" s="432"/>
    </row>
    <row r="130" spans="3:19" ht="13.15" customHeight="1">
      <c r="C130" s="1494"/>
      <c r="F130" s="616"/>
      <c r="G130" s="616"/>
      <c r="H130" s="616"/>
      <c r="I130" s="616"/>
      <c r="J130" s="616"/>
      <c r="K130" s="1493"/>
      <c r="L130" s="616"/>
      <c r="M130" s="616"/>
      <c r="S130" s="432"/>
    </row>
    <row r="131" spans="3:19" ht="13.15" customHeight="1">
      <c r="C131" s="1494"/>
      <c r="F131" s="616"/>
      <c r="G131" s="616"/>
      <c r="H131" s="616"/>
      <c r="I131" s="616"/>
      <c r="J131" s="616"/>
      <c r="K131" s="1493"/>
      <c r="L131" s="616"/>
      <c r="M131" s="616"/>
      <c r="S131" s="432"/>
    </row>
    <row r="132" spans="3:19" ht="13.15" customHeight="1">
      <c r="C132" s="1494"/>
      <c r="F132" s="616"/>
      <c r="G132" s="616"/>
      <c r="H132" s="616"/>
      <c r="I132" s="616"/>
      <c r="J132" s="616"/>
      <c r="K132" s="1493"/>
      <c r="L132" s="616"/>
      <c r="M132" s="616"/>
      <c r="S132" s="432"/>
    </row>
    <row r="133" spans="3:19" ht="13.15" customHeight="1">
      <c r="C133" s="1494"/>
      <c r="F133" s="616"/>
      <c r="G133" s="616"/>
      <c r="H133" s="616"/>
      <c r="I133" s="616"/>
      <c r="J133" s="616"/>
      <c r="K133" s="1493"/>
      <c r="L133" s="616"/>
      <c r="M133" s="616"/>
      <c r="S133" s="432"/>
    </row>
    <row r="134" spans="3:19" ht="13.15" customHeight="1">
      <c r="C134" s="1494"/>
      <c r="F134" s="616"/>
      <c r="G134" s="616"/>
      <c r="H134" s="616"/>
      <c r="I134" s="616"/>
      <c r="J134" s="616"/>
      <c r="K134" s="1493"/>
      <c r="L134" s="616"/>
      <c r="M134" s="616"/>
      <c r="S134" s="432"/>
    </row>
    <row r="135" spans="3:19" ht="13.15" customHeight="1">
      <c r="C135" s="1494"/>
      <c r="F135" s="616"/>
      <c r="G135" s="616"/>
      <c r="H135" s="616"/>
      <c r="I135" s="616"/>
      <c r="J135" s="616"/>
      <c r="K135" s="1493"/>
      <c r="L135" s="616"/>
      <c r="M135" s="616"/>
      <c r="S135" s="432"/>
    </row>
    <row r="136" spans="3:19" ht="13.15" customHeight="1">
      <c r="C136" s="1494"/>
      <c r="F136" s="616"/>
      <c r="G136" s="616"/>
      <c r="H136" s="616"/>
      <c r="I136" s="616"/>
      <c r="J136" s="616"/>
      <c r="K136" s="1493"/>
      <c r="L136" s="616"/>
      <c r="M136" s="616"/>
      <c r="S136" s="432"/>
    </row>
    <row r="137" spans="3:19" ht="13.15" customHeight="1">
      <c r="C137" s="1494"/>
      <c r="F137" s="616"/>
      <c r="G137" s="616"/>
      <c r="H137" s="616"/>
      <c r="I137" s="616"/>
      <c r="J137" s="616"/>
      <c r="K137" s="1493"/>
      <c r="L137" s="616"/>
      <c r="M137" s="616"/>
      <c r="S137" s="432"/>
    </row>
    <row r="138" spans="3:19" ht="13.15" customHeight="1">
      <c r="C138" s="1494"/>
      <c r="F138" s="616"/>
      <c r="G138" s="616"/>
      <c r="H138" s="616"/>
      <c r="I138" s="616"/>
      <c r="J138" s="616"/>
      <c r="K138" s="1493"/>
      <c r="L138" s="616"/>
      <c r="M138" s="616"/>
      <c r="S138" s="432"/>
    </row>
    <row r="139" spans="3:19" ht="13.15" customHeight="1">
      <c r="C139" s="1494"/>
      <c r="F139" s="616"/>
      <c r="G139" s="616"/>
      <c r="H139" s="616"/>
      <c r="I139" s="616"/>
      <c r="J139" s="616"/>
      <c r="K139" s="1493"/>
      <c r="L139" s="616"/>
      <c r="M139" s="616"/>
      <c r="S139" s="432"/>
    </row>
    <row r="140" spans="3:19" ht="13.15" customHeight="1">
      <c r="C140" s="1494"/>
      <c r="F140" s="616"/>
      <c r="G140" s="616"/>
      <c r="H140" s="616"/>
      <c r="I140" s="616"/>
      <c r="J140" s="616"/>
      <c r="K140" s="1493"/>
      <c r="L140" s="616"/>
      <c r="M140" s="616"/>
      <c r="S140" s="432"/>
    </row>
    <row r="141" spans="3:19" ht="13.15" customHeight="1">
      <c r="C141" s="1494"/>
      <c r="F141" s="616"/>
      <c r="G141" s="616"/>
      <c r="H141" s="616"/>
      <c r="I141" s="616"/>
      <c r="J141" s="616"/>
      <c r="K141" s="1493"/>
      <c r="L141" s="616"/>
      <c r="M141" s="616"/>
      <c r="S141" s="432"/>
    </row>
    <row r="142" spans="3:19" ht="13.15" customHeight="1">
      <c r="C142" s="1494"/>
      <c r="F142" s="616"/>
      <c r="G142" s="616"/>
      <c r="H142" s="616"/>
      <c r="I142" s="616"/>
      <c r="J142" s="616"/>
      <c r="K142" s="1493"/>
      <c r="L142" s="616"/>
      <c r="M142" s="616"/>
      <c r="S142" s="432"/>
    </row>
    <row r="143" spans="3:19" ht="13.15" customHeight="1">
      <c r="C143" s="1494"/>
      <c r="F143" s="616"/>
      <c r="G143" s="616"/>
      <c r="H143" s="616"/>
      <c r="I143" s="616"/>
      <c r="J143" s="616"/>
      <c r="K143" s="1493"/>
      <c r="L143" s="616"/>
      <c r="M143" s="616"/>
      <c r="S143" s="432"/>
    </row>
    <row r="144" spans="3:19" ht="13.15" customHeight="1">
      <c r="C144" s="1494"/>
      <c r="F144" s="616"/>
      <c r="G144" s="616"/>
      <c r="H144" s="616"/>
      <c r="I144" s="616"/>
      <c r="J144" s="616"/>
      <c r="K144" s="1493"/>
      <c r="L144" s="616"/>
      <c r="M144" s="616"/>
      <c r="S144" s="432"/>
    </row>
    <row r="145" spans="3:19" ht="13.15" customHeight="1">
      <c r="C145" s="1494"/>
      <c r="F145" s="616"/>
      <c r="G145" s="616"/>
      <c r="H145" s="616"/>
      <c r="I145" s="616"/>
      <c r="J145" s="616"/>
      <c r="K145" s="1493"/>
      <c r="L145" s="616"/>
      <c r="M145" s="616"/>
      <c r="S145" s="432"/>
    </row>
    <row r="146" spans="3:19" ht="13.15" customHeight="1">
      <c r="C146" s="1494"/>
      <c r="F146" s="616"/>
      <c r="G146" s="616"/>
      <c r="H146" s="616"/>
      <c r="I146" s="616"/>
      <c r="J146" s="616"/>
      <c r="K146" s="1493"/>
      <c r="L146" s="616"/>
      <c r="M146" s="616"/>
      <c r="S146" s="432"/>
    </row>
    <row r="147" spans="3:19" ht="13.15" customHeight="1">
      <c r="C147" s="1494"/>
      <c r="F147" s="616"/>
      <c r="G147" s="616"/>
      <c r="H147" s="616"/>
      <c r="I147" s="616"/>
      <c r="J147" s="616"/>
      <c r="K147" s="1493"/>
      <c r="L147" s="616"/>
      <c r="M147" s="616"/>
      <c r="S147" s="432"/>
    </row>
    <row r="148" spans="3:19" ht="13.15" customHeight="1">
      <c r="C148" s="1494"/>
      <c r="F148" s="616"/>
      <c r="G148" s="616"/>
      <c r="H148" s="616"/>
      <c r="I148" s="616"/>
      <c r="J148" s="616"/>
      <c r="K148" s="1493"/>
      <c r="L148" s="616"/>
      <c r="M148" s="616"/>
      <c r="S148" s="432"/>
    </row>
    <row r="149" spans="3:19" ht="13.15" customHeight="1">
      <c r="C149" s="1494"/>
      <c r="F149" s="616"/>
      <c r="G149" s="616"/>
      <c r="H149" s="616"/>
      <c r="I149" s="616"/>
      <c r="J149" s="616"/>
      <c r="K149" s="1493"/>
      <c r="L149" s="616"/>
      <c r="M149" s="616"/>
      <c r="S149" s="432"/>
    </row>
    <row r="150" spans="3:19" ht="13.15" customHeight="1">
      <c r="C150" s="1494"/>
      <c r="F150" s="616"/>
      <c r="G150" s="616"/>
      <c r="H150" s="616"/>
      <c r="I150" s="616"/>
      <c r="J150" s="616"/>
      <c r="K150" s="1493"/>
      <c r="L150" s="616"/>
      <c r="M150" s="616"/>
      <c r="S150" s="432"/>
    </row>
    <row r="151" spans="3:19" ht="13.15" customHeight="1">
      <c r="C151" s="1494"/>
      <c r="F151" s="616"/>
      <c r="G151" s="616"/>
      <c r="H151" s="616"/>
      <c r="I151" s="616"/>
      <c r="J151" s="616"/>
      <c r="K151" s="1493"/>
      <c r="L151" s="616"/>
      <c r="M151" s="616"/>
      <c r="S151" s="432"/>
    </row>
    <row r="152" spans="3:19" ht="13.15" customHeight="1">
      <c r="C152" s="1494"/>
      <c r="F152" s="616"/>
      <c r="G152" s="616"/>
      <c r="H152" s="616"/>
      <c r="I152" s="616"/>
      <c r="J152" s="616"/>
      <c r="K152" s="1493"/>
      <c r="L152" s="616"/>
      <c r="M152" s="616"/>
      <c r="S152" s="432"/>
    </row>
    <row r="153" spans="3:19" ht="13.15" customHeight="1">
      <c r="C153" s="1494"/>
      <c r="F153" s="616"/>
      <c r="G153" s="616"/>
      <c r="H153" s="616"/>
      <c r="I153" s="616"/>
      <c r="J153" s="616"/>
      <c r="K153" s="1493"/>
      <c r="L153" s="616"/>
      <c r="M153" s="616"/>
      <c r="S153" s="432"/>
    </row>
    <row r="154" spans="3:19" ht="13.15" customHeight="1">
      <c r="C154" s="1494"/>
      <c r="F154" s="616"/>
      <c r="G154" s="616"/>
      <c r="H154" s="616"/>
      <c r="I154" s="616"/>
      <c r="J154" s="616"/>
      <c r="K154" s="1493"/>
      <c r="L154" s="616"/>
      <c r="M154" s="616"/>
      <c r="S154" s="432"/>
    </row>
    <row r="155" spans="3:19" ht="13.15" customHeight="1">
      <c r="C155" s="1494"/>
      <c r="F155" s="616"/>
      <c r="G155" s="616"/>
      <c r="H155" s="616"/>
      <c r="I155" s="616"/>
      <c r="J155" s="616"/>
      <c r="K155" s="1493"/>
      <c r="L155" s="616"/>
      <c r="M155" s="616"/>
      <c r="S155" s="432"/>
    </row>
    <row r="156" spans="3:19" ht="13.15" customHeight="1">
      <c r="C156" s="1494"/>
      <c r="F156" s="616"/>
      <c r="G156" s="616"/>
      <c r="H156" s="616"/>
      <c r="I156" s="616"/>
      <c r="J156" s="616"/>
      <c r="K156" s="1493"/>
      <c r="L156" s="616"/>
      <c r="M156" s="616"/>
      <c r="S156" s="432"/>
    </row>
    <row r="157" spans="3:19" ht="13.15" customHeight="1">
      <c r="C157" s="1494"/>
      <c r="F157" s="616"/>
      <c r="G157" s="616"/>
      <c r="H157" s="616"/>
      <c r="I157" s="616"/>
      <c r="J157" s="616"/>
      <c r="K157" s="1493"/>
      <c r="L157" s="616"/>
      <c r="M157" s="616"/>
      <c r="S157" s="432"/>
    </row>
    <row r="158" spans="3:19" ht="13.15" customHeight="1">
      <c r="C158" s="1494"/>
      <c r="F158" s="616"/>
      <c r="G158" s="616"/>
      <c r="H158" s="616"/>
      <c r="I158" s="616"/>
      <c r="J158" s="616"/>
      <c r="K158" s="1493"/>
      <c r="L158" s="616"/>
      <c r="M158" s="616"/>
      <c r="S158" s="432"/>
    </row>
    <row r="159" spans="3:19" ht="13.15" customHeight="1">
      <c r="C159" s="1494"/>
      <c r="F159" s="616"/>
      <c r="G159" s="616"/>
      <c r="H159" s="616"/>
      <c r="I159" s="616"/>
      <c r="J159" s="616"/>
      <c r="K159" s="1493"/>
      <c r="L159" s="616"/>
      <c r="M159" s="616"/>
      <c r="S159" s="432"/>
    </row>
    <row r="160" spans="3:19" ht="13.15" customHeight="1">
      <c r="C160" s="1494"/>
      <c r="F160" s="616"/>
      <c r="G160" s="616"/>
      <c r="H160" s="616"/>
      <c r="I160" s="616"/>
      <c r="J160" s="616"/>
      <c r="K160" s="1493"/>
      <c r="L160" s="616"/>
      <c r="M160" s="616"/>
      <c r="S160" s="432"/>
    </row>
    <row r="161" spans="3:19" ht="13.15" customHeight="1">
      <c r="C161" s="1494"/>
      <c r="F161" s="616"/>
      <c r="G161" s="616"/>
      <c r="H161" s="616"/>
      <c r="I161" s="616"/>
      <c r="J161" s="616"/>
      <c r="K161" s="1493"/>
      <c r="L161" s="616"/>
      <c r="M161" s="616"/>
      <c r="S161" s="432"/>
    </row>
    <row r="162" spans="3:19" ht="13.15" customHeight="1">
      <c r="C162" s="1494"/>
      <c r="F162" s="616"/>
      <c r="G162" s="616"/>
      <c r="H162" s="616"/>
      <c r="I162" s="616"/>
      <c r="J162" s="616"/>
      <c r="K162" s="1493"/>
      <c r="L162" s="616"/>
      <c r="M162" s="616"/>
      <c r="S162" s="432"/>
    </row>
    <row r="163" spans="3:19" ht="13.15" customHeight="1">
      <c r="C163" s="1494"/>
      <c r="F163" s="616"/>
      <c r="G163" s="616"/>
      <c r="H163" s="616"/>
      <c r="I163" s="616"/>
      <c r="J163" s="616"/>
      <c r="K163" s="1493"/>
      <c r="L163" s="616"/>
      <c r="M163" s="616"/>
      <c r="S163" s="432"/>
    </row>
    <row r="164" spans="3:19" ht="13.15" customHeight="1">
      <c r="C164" s="1494"/>
      <c r="F164" s="616"/>
      <c r="G164" s="616"/>
      <c r="H164" s="616"/>
      <c r="I164" s="616"/>
      <c r="J164" s="616"/>
      <c r="K164" s="1493"/>
      <c r="L164" s="616"/>
      <c r="M164" s="616"/>
      <c r="S164" s="432"/>
    </row>
    <row r="165" spans="3:19" ht="13.15" customHeight="1">
      <c r="C165" s="1494"/>
      <c r="F165" s="616"/>
      <c r="G165" s="616"/>
      <c r="H165" s="616"/>
      <c r="I165" s="616"/>
      <c r="J165" s="616"/>
      <c r="K165" s="1493"/>
      <c r="L165" s="616"/>
      <c r="M165" s="616"/>
      <c r="S165" s="432"/>
    </row>
    <row r="166" spans="3:19" ht="13.15" customHeight="1">
      <c r="C166" s="1494"/>
      <c r="F166" s="616"/>
      <c r="G166" s="616"/>
      <c r="H166" s="616"/>
      <c r="I166" s="616"/>
      <c r="J166" s="616"/>
      <c r="K166" s="1493"/>
      <c r="L166" s="616"/>
      <c r="M166" s="616"/>
      <c r="S166" s="432"/>
    </row>
    <row r="167" spans="3:19" ht="13.15" customHeight="1">
      <c r="C167" s="1494"/>
      <c r="F167" s="616"/>
      <c r="G167" s="616"/>
      <c r="H167" s="616"/>
      <c r="I167" s="616"/>
      <c r="J167" s="616"/>
      <c r="K167" s="1493"/>
      <c r="L167" s="616"/>
      <c r="M167" s="616"/>
      <c r="S167" s="432"/>
    </row>
    <row r="168" spans="3:19" ht="13.15" customHeight="1">
      <c r="C168" s="1494"/>
      <c r="F168" s="616"/>
      <c r="G168" s="616"/>
      <c r="H168" s="616"/>
      <c r="I168" s="616"/>
      <c r="J168" s="616"/>
      <c r="K168" s="1493"/>
      <c r="L168" s="616"/>
      <c r="M168" s="616"/>
      <c r="S168" s="432"/>
    </row>
    <row r="169" spans="3:19" ht="13.15" customHeight="1">
      <c r="C169" s="1494"/>
      <c r="F169" s="616"/>
      <c r="G169" s="616"/>
      <c r="H169" s="616"/>
      <c r="I169" s="616"/>
      <c r="J169" s="616"/>
      <c r="K169" s="1493"/>
      <c r="L169" s="616"/>
      <c r="M169" s="616"/>
      <c r="S169" s="432"/>
    </row>
    <row r="170" spans="3:19" ht="13.15" customHeight="1">
      <c r="C170" s="1494"/>
      <c r="F170" s="616"/>
      <c r="G170" s="616"/>
      <c r="H170" s="616"/>
      <c r="I170" s="616"/>
      <c r="J170" s="616"/>
      <c r="K170" s="1493"/>
      <c r="L170" s="616"/>
      <c r="M170" s="616"/>
      <c r="S170" s="432"/>
    </row>
    <row r="171" spans="3:19" ht="13.15" customHeight="1">
      <c r="C171" s="1494"/>
      <c r="F171" s="616"/>
      <c r="G171" s="616"/>
      <c r="H171" s="616"/>
      <c r="I171" s="616"/>
      <c r="J171" s="616"/>
      <c r="K171" s="1493"/>
      <c r="L171" s="616"/>
      <c r="M171" s="616"/>
      <c r="S171" s="432"/>
    </row>
    <row r="172" spans="3:19" ht="13.15" customHeight="1">
      <c r="C172" s="1494"/>
      <c r="F172" s="616"/>
      <c r="G172" s="616"/>
      <c r="H172" s="616"/>
      <c r="I172" s="616"/>
      <c r="J172" s="616"/>
      <c r="K172" s="1493"/>
      <c r="L172" s="616"/>
      <c r="M172" s="616"/>
      <c r="S172" s="432"/>
    </row>
    <row r="173" spans="3:19" ht="13.15" customHeight="1">
      <c r="C173" s="1494"/>
      <c r="F173" s="616"/>
      <c r="G173" s="616"/>
      <c r="H173" s="616"/>
      <c r="I173" s="616"/>
      <c r="J173" s="616"/>
      <c r="K173" s="1493"/>
      <c r="L173" s="616"/>
      <c r="M173" s="616"/>
      <c r="S173" s="432"/>
    </row>
    <row r="174" spans="3:19" ht="13.15" customHeight="1">
      <c r="C174" s="1494"/>
      <c r="F174" s="616"/>
      <c r="G174" s="616"/>
      <c r="H174" s="616"/>
      <c r="I174" s="616"/>
      <c r="J174" s="616"/>
      <c r="K174" s="1493"/>
      <c r="L174" s="616"/>
      <c r="M174" s="616"/>
      <c r="S174" s="432"/>
    </row>
    <row r="175" spans="3:19" ht="13.15" customHeight="1">
      <c r="C175" s="1494"/>
      <c r="F175" s="616"/>
      <c r="G175" s="616"/>
      <c r="H175" s="616"/>
      <c r="I175" s="616"/>
      <c r="J175" s="616"/>
      <c r="K175" s="1493"/>
      <c r="L175" s="616"/>
      <c r="M175" s="616"/>
      <c r="S175" s="432"/>
    </row>
    <row r="176" spans="3:19" ht="13.15" customHeight="1">
      <c r="C176" s="1494"/>
      <c r="F176" s="616"/>
      <c r="G176" s="616"/>
      <c r="H176" s="616"/>
      <c r="I176" s="616"/>
      <c r="J176" s="616"/>
      <c r="K176" s="1493"/>
      <c r="L176" s="616"/>
      <c r="M176" s="616"/>
      <c r="S176" s="432"/>
    </row>
    <row r="177" spans="3:19" ht="13.15" customHeight="1">
      <c r="C177" s="1494"/>
      <c r="F177" s="616"/>
      <c r="G177" s="616"/>
      <c r="H177" s="616"/>
      <c r="I177" s="616"/>
      <c r="J177" s="616"/>
      <c r="K177" s="1493"/>
      <c r="L177" s="616"/>
      <c r="M177" s="616"/>
      <c r="S177" s="432"/>
    </row>
    <row r="178" spans="3:19" ht="13.15" customHeight="1">
      <c r="C178" s="1494"/>
      <c r="F178" s="616"/>
      <c r="G178" s="616"/>
      <c r="H178" s="616"/>
      <c r="I178" s="616"/>
      <c r="J178" s="616"/>
      <c r="K178" s="1493"/>
      <c r="L178" s="616"/>
      <c r="M178" s="616"/>
      <c r="S178" s="432"/>
    </row>
    <row r="179" spans="3:19" ht="13.15" customHeight="1">
      <c r="C179" s="1494"/>
      <c r="F179" s="616"/>
      <c r="G179" s="616"/>
      <c r="H179" s="616"/>
      <c r="I179" s="616"/>
      <c r="J179" s="616"/>
      <c r="K179" s="1493"/>
      <c r="L179" s="616"/>
      <c r="M179" s="616"/>
      <c r="S179" s="432"/>
    </row>
    <row r="180" spans="3:19" ht="13.15" customHeight="1">
      <c r="C180" s="1494"/>
      <c r="F180" s="616"/>
      <c r="G180" s="616"/>
      <c r="H180" s="616"/>
      <c r="I180" s="616"/>
      <c r="J180" s="616"/>
      <c r="K180" s="1493"/>
      <c r="L180" s="616"/>
      <c r="M180" s="616"/>
      <c r="S180" s="432"/>
    </row>
    <row r="181" spans="3:19" ht="13.15" customHeight="1">
      <c r="C181" s="1494"/>
      <c r="F181" s="616"/>
      <c r="G181" s="616"/>
      <c r="H181" s="616"/>
      <c r="I181" s="616"/>
      <c r="J181" s="616"/>
      <c r="K181" s="1493"/>
      <c r="L181" s="616"/>
      <c r="M181" s="616"/>
      <c r="S181" s="432"/>
    </row>
    <row r="182" spans="3:19" ht="13.15" customHeight="1">
      <c r="C182" s="1494"/>
      <c r="F182" s="616"/>
      <c r="G182" s="616"/>
      <c r="H182" s="616"/>
      <c r="I182" s="616"/>
      <c r="J182" s="616"/>
      <c r="K182" s="1493"/>
      <c r="L182" s="616"/>
      <c r="M182" s="616"/>
      <c r="S182" s="432"/>
    </row>
    <row r="183" spans="3:19" ht="13.15" customHeight="1">
      <c r="C183" s="1494"/>
      <c r="F183" s="616"/>
      <c r="G183" s="616"/>
      <c r="H183" s="616"/>
      <c r="I183" s="616"/>
      <c r="J183" s="616"/>
      <c r="K183" s="1493"/>
      <c r="L183" s="616"/>
      <c r="M183" s="616"/>
      <c r="S183" s="432"/>
    </row>
    <row r="184" spans="3:19" ht="13.15" customHeight="1">
      <c r="C184" s="1494"/>
      <c r="F184" s="616"/>
      <c r="G184" s="616"/>
      <c r="H184" s="616"/>
      <c r="I184" s="616"/>
      <c r="J184" s="616"/>
      <c r="K184" s="1493"/>
      <c r="L184" s="616"/>
      <c r="M184" s="616"/>
      <c r="S184" s="432"/>
    </row>
    <row r="185" spans="3:19" ht="13.15" customHeight="1">
      <c r="C185" s="1494"/>
      <c r="F185" s="616"/>
      <c r="G185" s="616"/>
      <c r="H185" s="616"/>
      <c r="I185" s="616"/>
      <c r="J185" s="616"/>
      <c r="K185" s="1493"/>
      <c r="L185" s="616"/>
      <c r="M185" s="616"/>
      <c r="S185" s="432"/>
    </row>
    <row r="186" spans="3:19" ht="13.15" customHeight="1">
      <c r="C186" s="1494"/>
      <c r="F186" s="616"/>
      <c r="G186" s="616"/>
      <c r="H186" s="616"/>
      <c r="I186" s="616"/>
      <c r="J186" s="616"/>
      <c r="K186" s="1493"/>
      <c r="L186" s="616"/>
      <c r="M186" s="616"/>
      <c r="S186" s="432"/>
    </row>
    <row r="187" spans="3:19" ht="13.15" customHeight="1">
      <c r="C187" s="1494" t="s">
        <v>233</v>
      </c>
      <c r="F187" s="616"/>
      <c r="G187" s="616"/>
      <c r="H187" s="616"/>
      <c r="I187" s="616"/>
      <c r="J187" s="616"/>
      <c r="K187" s="1493"/>
      <c r="L187" s="616"/>
      <c r="M187" s="616"/>
      <c r="S187" s="432"/>
    </row>
    <row r="188" spans="3:19" ht="13.15" customHeight="1">
      <c r="C188" s="1494"/>
      <c r="F188" s="616"/>
      <c r="G188" s="616"/>
      <c r="H188" s="616"/>
      <c r="I188" s="616"/>
      <c r="J188" s="616"/>
      <c r="K188" s="1493"/>
      <c r="L188" s="616"/>
      <c r="M188" s="616"/>
      <c r="S188" s="432"/>
    </row>
    <row r="189" spans="3:19" ht="13.15" customHeight="1">
      <c r="C189" s="1494"/>
      <c r="F189" s="616"/>
      <c r="G189" s="616"/>
      <c r="H189" s="616"/>
      <c r="I189" s="616"/>
      <c r="J189" s="616"/>
      <c r="K189" s="1493"/>
      <c r="L189" s="616"/>
      <c r="M189" s="616"/>
      <c r="S189" s="432"/>
    </row>
    <row r="190" spans="3:19" ht="13.15" customHeight="1">
      <c r="C190" s="1494"/>
      <c r="F190" s="616"/>
      <c r="G190" s="616"/>
      <c r="H190" s="616"/>
      <c r="I190" s="616"/>
      <c r="J190" s="616"/>
      <c r="K190" s="1493"/>
      <c r="L190" s="616"/>
      <c r="M190" s="616"/>
      <c r="S190" s="432"/>
    </row>
    <row r="191" spans="3:19" ht="13.15" customHeight="1">
      <c r="C191" s="1494"/>
      <c r="F191" s="616"/>
      <c r="G191" s="616"/>
      <c r="H191" s="616"/>
      <c r="I191" s="616"/>
      <c r="J191" s="616"/>
      <c r="K191" s="1493"/>
      <c r="L191" s="616"/>
      <c r="M191" s="616"/>
      <c r="S191" s="432"/>
    </row>
    <row r="192" spans="3:19" ht="13.15" customHeight="1">
      <c r="C192" s="1494"/>
      <c r="F192" s="616"/>
      <c r="G192" s="616"/>
      <c r="H192" s="616"/>
      <c r="I192" s="616"/>
      <c r="J192" s="616"/>
      <c r="K192" s="1493"/>
      <c r="L192" s="616"/>
      <c r="M192" s="616"/>
      <c r="S192" s="432"/>
    </row>
    <row r="193" spans="3:19" ht="13.15" customHeight="1">
      <c r="C193" s="1494"/>
      <c r="F193" s="560"/>
      <c r="G193" s="560"/>
      <c r="H193" s="560"/>
      <c r="I193" s="560"/>
      <c r="J193" s="560"/>
      <c r="K193" s="1493"/>
      <c r="L193" s="560"/>
      <c r="M193" s="560"/>
      <c r="S193" s="432"/>
    </row>
    <row r="194" spans="3:19" ht="13.15" customHeight="1">
      <c r="C194" s="1494"/>
      <c r="F194" s="560"/>
      <c r="G194" s="560"/>
      <c r="H194" s="560"/>
      <c r="I194" s="560"/>
      <c r="J194" s="560"/>
      <c r="K194" s="1493"/>
      <c r="L194" s="560"/>
      <c r="M194" s="560"/>
      <c r="S194" s="432"/>
    </row>
    <row r="195" spans="3:19" ht="13.15" customHeight="1">
      <c r="C195" s="1494"/>
      <c r="F195" s="560"/>
      <c r="G195" s="560"/>
      <c r="H195" s="560"/>
      <c r="I195" s="560"/>
      <c r="J195" s="560"/>
      <c r="K195" s="1493"/>
      <c r="L195" s="560"/>
      <c r="M195" s="560"/>
      <c r="S195" s="432"/>
    </row>
    <row r="196" spans="3:19" ht="13.15" customHeight="1">
      <c r="C196" s="1494"/>
      <c r="F196" s="560"/>
      <c r="G196" s="560"/>
      <c r="H196" s="560"/>
      <c r="I196" s="560"/>
      <c r="J196" s="560"/>
      <c r="K196" s="1493"/>
      <c r="L196" s="560"/>
      <c r="M196" s="560"/>
      <c r="S196" s="432"/>
    </row>
    <row r="197" spans="3:19" ht="13.15" customHeight="1">
      <c r="C197" s="1494"/>
      <c r="F197" s="560"/>
      <c r="G197" s="560"/>
      <c r="H197" s="560"/>
      <c r="I197" s="560"/>
      <c r="J197" s="560"/>
      <c r="K197" s="1493"/>
      <c r="L197" s="560"/>
      <c r="M197" s="560"/>
      <c r="S197" s="432"/>
    </row>
    <row r="198" spans="3:19" ht="13.15" customHeight="1">
      <c r="C198" s="1494"/>
      <c r="F198" s="560"/>
      <c r="G198" s="560"/>
      <c r="H198" s="560"/>
      <c r="I198" s="560"/>
      <c r="J198" s="560"/>
      <c r="K198" s="1493"/>
      <c r="L198" s="560"/>
      <c r="M198" s="560"/>
      <c r="S198" s="432"/>
    </row>
    <row r="199" spans="3:19" ht="13.15" customHeight="1">
      <c r="C199" s="1494"/>
      <c r="F199" s="560"/>
      <c r="G199" s="560"/>
      <c r="H199" s="560"/>
      <c r="I199" s="560"/>
      <c r="J199" s="560"/>
      <c r="K199" s="1493"/>
      <c r="L199" s="560"/>
      <c r="M199" s="560"/>
      <c r="S199" s="432"/>
    </row>
    <row r="200" spans="3:19" ht="13.15" customHeight="1">
      <c r="C200" s="1494"/>
      <c r="F200" s="560"/>
      <c r="G200" s="560"/>
      <c r="H200" s="560"/>
      <c r="I200" s="560"/>
      <c r="J200" s="560"/>
      <c r="K200" s="1493"/>
      <c r="L200" s="560"/>
      <c r="M200" s="560"/>
      <c r="S200" s="432"/>
    </row>
    <row r="201" spans="3:19" ht="13.15" customHeight="1">
      <c r="C201" s="1494"/>
      <c r="F201" s="560"/>
      <c r="G201" s="560"/>
      <c r="H201" s="560"/>
      <c r="I201" s="560"/>
      <c r="J201" s="560"/>
      <c r="K201" s="1493"/>
      <c r="L201" s="560"/>
      <c r="M201" s="560"/>
      <c r="S201" s="432"/>
    </row>
    <row r="202" spans="3:19" ht="13.15" customHeight="1">
      <c r="C202" s="1494"/>
      <c r="F202" s="560"/>
      <c r="G202" s="560"/>
      <c r="H202" s="560"/>
      <c r="I202" s="560"/>
      <c r="J202" s="560"/>
      <c r="K202" s="1493"/>
      <c r="L202" s="560"/>
      <c r="M202" s="560"/>
      <c r="S202" s="432"/>
    </row>
    <row r="203" spans="3:19" ht="13.15" customHeight="1">
      <c r="C203" s="1494"/>
      <c r="F203" s="560"/>
      <c r="G203" s="560"/>
      <c r="H203" s="560"/>
      <c r="I203" s="560"/>
      <c r="J203" s="560"/>
      <c r="K203" s="1493"/>
      <c r="L203" s="560"/>
      <c r="M203" s="560"/>
      <c r="S203" s="432"/>
    </row>
    <row r="204" spans="3:19" ht="13.15" customHeight="1">
      <c r="C204" s="1494"/>
      <c r="F204" s="560"/>
      <c r="G204" s="560"/>
      <c r="H204" s="560"/>
      <c r="I204" s="560"/>
      <c r="J204" s="560"/>
      <c r="K204" s="1493"/>
      <c r="L204" s="560"/>
      <c r="M204" s="560"/>
      <c r="S204" s="432"/>
    </row>
    <row r="205" spans="3:19" ht="13.15" customHeight="1">
      <c r="C205" s="1494"/>
      <c r="F205" s="560"/>
      <c r="G205" s="560"/>
      <c r="H205" s="560"/>
      <c r="I205" s="560"/>
      <c r="J205" s="560"/>
      <c r="K205" s="1493"/>
      <c r="L205" s="560"/>
      <c r="M205" s="560"/>
      <c r="S205" s="432"/>
    </row>
    <row r="206" spans="3:19" ht="13.15" customHeight="1">
      <c r="C206" s="1494"/>
      <c r="F206" s="560"/>
      <c r="G206" s="560"/>
      <c r="H206" s="560"/>
      <c r="I206" s="560"/>
      <c r="J206" s="560"/>
      <c r="K206" s="1493"/>
      <c r="L206" s="560"/>
      <c r="M206" s="560"/>
      <c r="S206" s="432"/>
    </row>
    <row r="207" spans="3:19" ht="13.15" customHeight="1">
      <c r="C207" s="1494"/>
      <c r="F207" s="560"/>
      <c r="G207" s="560"/>
      <c r="H207" s="560"/>
      <c r="I207" s="560"/>
      <c r="J207" s="560"/>
      <c r="K207" s="1493"/>
      <c r="L207" s="560"/>
      <c r="M207" s="560"/>
      <c r="S207" s="432"/>
    </row>
    <row r="208" spans="3:19" ht="13.15" customHeight="1">
      <c r="C208" s="1494"/>
      <c r="F208" s="560"/>
      <c r="G208" s="560"/>
      <c r="H208" s="560"/>
      <c r="I208" s="560"/>
      <c r="J208" s="560"/>
      <c r="K208" s="1493"/>
      <c r="L208" s="560"/>
      <c r="M208" s="560"/>
      <c r="S208" s="432"/>
    </row>
    <row r="209" spans="3:19" ht="13.15" customHeight="1">
      <c r="C209" s="1494"/>
      <c r="F209" s="560"/>
      <c r="G209" s="560"/>
      <c r="H209" s="560"/>
      <c r="I209" s="560"/>
      <c r="J209" s="560"/>
      <c r="K209" s="1493"/>
      <c r="L209" s="560"/>
      <c r="M209" s="560"/>
      <c r="S209" s="432"/>
    </row>
    <row r="210" spans="3:19" ht="13.15" customHeight="1">
      <c r="C210" s="1494"/>
      <c r="F210" s="560"/>
      <c r="G210" s="560"/>
      <c r="H210" s="560"/>
      <c r="I210" s="560"/>
      <c r="J210" s="560"/>
      <c r="K210" s="1493"/>
      <c r="L210" s="560"/>
      <c r="M210" s="560"/>
      <c r="S210" s="432"/>
    </row>
    <row r="211" spans="3:19" ht="13.15" customHeight="1">
      <c r="C211" s="1494"/>
      <c r="F211" s="560"/>
      <c r="G211" s="560"/>
      <c r="H211" s="560"/>
      <c r="I211" s="560"/>
      <c r="J211" s="560"/>
      <c r="K211" s="1493"/>
      <c r="L211" s="560"/>
      <c r="M211" s="560"/>
      <c r="S211" s="432"/>
    </row>
    <row r="212" spans="3:19" ht="13.15" customHeight="1">
      <c r="C212" s="1494"/>
      <c r="F212" s="560"/>
      <c r="G212" s="560"/>
      <c r="H212" s="560"/>
      <c r="I212" s="560"/>
      <c r="J212" s="560"/>
      <c r="K212" s="1493"/>
      <c r="L212" s="560"/>
      <c r="M212" s="560"/>
      <c r="S212" s="432"/>
    </row>
    <row r="213" spans="3:19" ht="13.15" customHeight="1">
      <c r="C213" s="1494"/>
      <c r="F213" s="560"/>
      <c r="G213" s="560"/>
      <c r="H213" s="560"/>
      <c r="I213" s="560"/>
      <c r="J213" s="560"/>
      <c r="K213" s="1493"/>
      <c r="L213" s="560"/>
      <c r="M213" s="560"/>
      <c r="S213" s="432"/>
    </row>
    <row r="214" spans="3:19" ht="13.15" customHeight="1">
      <c r="C214" s="1494"/>
      <c r="F214" s="560"/>
      <c r="G214" s="560"/>
      <c r="H214" s="560"/>
      <c r="I214" s="560"/>
      <c r="J214" s="560"/>
      <c r="K214" s="1493"/>
      <c r="L214" s="560"/>
      <c r="M214" s="560"/>
      <c r="S214" s="432"/>
    </row>
    <row r="215" spans="3:19" ht="13.15" customHeight="1">
      <c r="C215" s="1494"/>
      <c r="F215" s="560"/>
      <c r="G215" s="560"/>
      <c r="H215" s="560"/>
      <c r="I215" s="560"/>
      <c r="J215" s="560"/>
      <c r="K215" s="1493"/>
      <c r="L215" s="560"/>
      <c r="M215" s="560"/>
      <c r="S215" s="432"/>
    </row>
    <row r="216" spans="3:19" ht="13.15" customHeight="1">
      <c r="C216" s="1494"/>
      <c r="F216" s="560"/>
      <c r="G216" s="560"/>
      <c r="H216" s="560"/>
      <c r="I216" s="560"/>
      <c r="J216" s="560"/>
      <c r="K216" s="1493"/>
      <c r="L216" s="560"/>
      <c r="M216" s="560"/>
      <c r="S216" s="432"/>
    </row>
    <row r="217" spans="3:19" ht="13.15" customHeight="1">
      <c r="C217" s="1494"/>
      <c r="F217" s="560"/>
      <c r="G217" s="560"/>
      <c r="H217" s="560"/>
      <c r="I217" s="560"/>
      <c r="J217" s="560"/>
      <c r="K217" s="1493"/>
      <c r="L217" s="560"/>
      <c r="M217" s="560"/>
      <c r="S217" s="432"/>
    </row>
    <row r="218" spans="3:19" ht="13.15" customHeight="1">
      <c r="C218" s="1494"/>
      <c r="F218" s="560"/>
      <c r="G218" s="560"/>
      <c r="H218" s="560"/>
      <c r="I218" s="560"/>
      <c r="J218" s="560"/>
      <c r="K218" s="1493"/>
      <c r="L218" s="560"/>
      <c r="M218" s="560"/>
      <c r="S218" s="432"/>
    </row>
    <row r="219" spans="3:19" ht="13.15" customHeight="1">
      <c r="C219" s="1494"/>
      <c r="F219" s="560"/>
      <c r="G219" s="560"/>
      <c r="H219" s="560"/>
      <c r="I219" s="560"/>
      <c r="J219" s="560"/>
      <c r="K219" s="1493"/>
      <c r="L219" s="560"/>
      <c r="M219" s="560"/>
      <c r="S219" s="432"/>
    </row>
    <row r="220" spans="3:19" ht="13.15" customHeight="1">
      <c r="C220" s="1494"/>
      <c r="F220" s="560"/>
      <c r="G220" s="560"/>
      <c r="H220" s="560"/>
      <c r="I220" s="560"/>
      <c r="J220" s="560"/>
      <c r="K220" s="1493"/>
      <c r="L220" s="560"/>
      <c r="M220" s="560"/>
      <c r="S220" s="432"/>
    </row>
    <row r="221" spans="3:19" ht="13.15" customHeight="1">
      <c r="C221" s="1494"/>
      <c r="F221" s="560"/>
      <c r="G221" s="560"/>
      <c r="H221" s="560"/>
      <c r="I221" s="560"/>
      <c r="J221" s="560"/>
      <c r="K221" s="1493"/>
      <c r="L221" s="560"/>
      <c r="M221" s="560"/>
      <c r="S221" s="432"/>
    </row>
    <row r="222" spans="3:19" ht="13.15" customHeight="1">
      <c r="C222" s="1494"/>
      <c r="F222" s="560"/>
      <c r="G222" s="560"/>
      <c r="H222" s="560"/>
      <c r="I222" s="560"/>
      <c r="J222" s="560"/>
      <c r="K222" s="1493"/>
      <c r="L222" s="560"/>
      <c r="M222" s="560"/>
      <c r="S222" s="432"/>
    </row>
    <row r="223" spans="3:19" ht="13.15" customHeight="1">
      <c r="C223" s="1494"/>
      <c r="F223" s="560"/>
      <c r="G223" s="560"/>
      <c r="H223" s="560"/>
      <c r="I223" s="560"/>
      <c r="J223" s="560"/>
      <c r="K223" s="1493"/>
      <c r="L223" s="560"/>
      <c r="M223" s="560"/>
      <c r="S223" s="432"/>
    </row>
    <row r="224" spans="3:19" ht="13.15" customHeight="1">
      <c r="C224" s="1494"/>
      <c r="F224" s="560"/>
      <c r="G224" s="560"/>
      <c r="H224" s="560"/>
      <c r="I224" s="560"/>
      <c r="J224" s="560"/>
      <c r="K224" s="1493"/>
      <c r="L224" s="560"/>
      <c r="M224" s="560"/>
      <c r="S224" s="432"/>
    </row>
    <row r="225" spans="3:19" ht="13.15" customHeight="1">
      <c r="C225" s="1494"/>
      <c r="F225" s="560"/>
      <c r="G225" s="560"/>
      <c r="H225" s="560"/>
      <c r="I225" s="560"/>
      <c r="J225" s="560"/>
      <c r="K225" s="1493"/>
      <c r="L225" s="560"/>
      <c r="M225" s="560"/>
      <c r="S225" s="432"/>
    </row>
    <row r="226" spans="3:19" ht="13.15" customHeight="1">
      <c r="C226" s="1494"/>
      <c r="F226" s="560"/>
      <c r="G226" s="560"/>
      <c r="H226" s="560"/>
      <c r="I226" s="560"/>
      <c r="J226" s="560"/>
      <c r="K226" s="1493"/>
      <c r="L226" s="560"/>
      <c r="M226" s="560"/>
      <c r="S226" s="432"/>
    </row>
    <row r="227" spans="3:19" ht="13.15" customHeight="1">
      <c r="C227" s="1494"/>
      <c r="F227" s="560"/>
      <c r="G227" s="560"/>
      <c r="H227" s="560"/>
      <c r="I227" s="560"/>
      <c r="J227" s="560"/>
      <c r="K227" s="1493"/>
      <c r="L227" s="560"/>
      <c r="M227" s="560"/>
      <c r="S227" s="432"/>
    </row>
    <row r="228" spans="3:19" ht="13.15" customHeight="1">
      <c r="C228" s="1494"/>
      <c r="F228" s="560"/>
      <c r="G228" s="560"/>
      <c r="H228" s="560"/>
      <c r="I228" s="560"/>
      <c r="J228" s="560"/>
      <c r="K228" s="1493"/>
      <c r="L228" s="560"/>
      <c r="M228" s="560"/>
      <c r="S228" s="432"/>
    </row>
    <row r="229" spans="3:19" ht="13.15" customHeight="1">
      <c r="C229" s="1494"/>
      <c r="F229" s="560"/>
      <c r="G229" s="560"/>
      <c r="H229" s="560"/>
      <c r="I229" s="560"/>
      <c r="J229" s="560"/>
      <c r="K229" s="1493"/>
      <c r="L229" s="560"/>
      <c r="M229" s="560"/>
      <c r="S229" s="432"/>
    </row>
    <row r="230" spans="3:19" ht="13.15" customHeight="1">
      <c r="C230" s="1494"/>
      <c r="F230" s="560"/>
      <c r="G230" s="560"/>
      <c r="H230" s="560"/>
      <c r="I230" s="560"/>
      <c r="J230" s="560"/>
      <c r="K230" s="1493"/>
      <c r="L230" s="560"/>
      <c r="M230" s="560"/>
      <c r="S230" s="432"/>
    </row>
    <row r="231" spans="3:19" ht="13.15" customHeight="1">
      <c r="C231" s="1494"/>
      <c r="F231" s="560"/>
      <c r="G231" s="560"/>
      <c r="H231" s="560"/>
      <c r="I231" s="560"/>
      <c r="J231" s="560"/>
      <c r="K231" s="1493"/>
      <c r="L231" s="560"/>
      <c r="M231" s="560"/>
      <c r="S231" s="432"/>
    </row>
    <row r="232" spans="3:19" ht="13.15" customHeight="1">
      <c r="C232" s="1494"/>
      <c r="F232" s="560"/>
      <c r="G232" s="560"/>
      <c r="H232" s="560"/>
      <c r="I232" s="560"/>
      <c r="J232" s="560"/>
      <c r="K232" s="1493"/>
      <c r="L232" s="560"/>
      <c r="M232" s="560"/>
      <c r="S232" s="432"/>
    </row>
    <row r="233" spans="3:19" ht="13.15" customHeight="1">
      <c r="C233" s="1494"/>
      <c r="F233" s="560"/>
      <c r="G233" s="560"/>
      <c r="H233" s="560"/>
      <c r="I233" s="560"/>
      <c r="J233" s="560"/>
      <c r="K233" s="1493"/>
      <c r="L233" s="560"/>
      <c r="M233" s="560"/>
      <c r="S233" s="432"/>
    </row>
    <row r="234" spans="3:19" ht="13.15" customHeight="1">
      <c r="C234" s="1494"/>
      <c r="F234" s="560"/>
      <c r="G234" s="560"/>
      <c r="H234" s="560"/>
      <c r="I234" s="560"/>
      <c r="J234" s="560"/>
      <c r="K234" s="1493"/>
      <c r="L234" s="560"/>
      <c r="M234" s="560"/>
      <c r="S234" s="432"/>
    </row>
    <row r="235" spans="3:19" ht="13.15" customHeight="1">
      <c r="C235" s="1494"/>
      <c r="F235" s="560"/>
      <c r="G235" s="560"/>
      <c r="H235" s="560"/>
      <c r="I235" s="560"/>
      <c r="J235" s="560"/>
      <c r="K235" s="1493"/>
      <c r="L235" s="560"/>
      <c r="M235" s="560"/>
      <c r="S235" s="432"/>
    </row>
    <row r="236" spans="3:19" ht="13.15" customHeight="1">
      <c r="C236" s="1494"/>
      <c r="F236" s="560"/>
      <c r="G236" s="560"/>
      <c r="H236" s="560"/>
      <c r="I236" s="560"/>
      <c r="J236" s="560"/>
      <c r="K236" s="1493"/>
      <c r="L236" s="560"/>
      <c r="M236" s="560"/>
      <c r="S236" s="432"/>
    </row>
    <row r="237" spans="3:19" ht="13.15" customHeight="1">
      <c r="C237" s="1494"/>
      <c r="F237" s="560"/>
      <c r="G237" s="560"/>
      <c r="H237" s="560"/>
      <c r="I237" s="560"/>
      <c r="J237" s="560"/>
      <c r="K237" s="1493"/>
      <c r="L237" s="560"/>
      <c r="M237" s="560"/>
      <c r="S237" s="432"/>
    </row>
    <row r="238" spans="3:19" ht="13.15" customHeight="1">
      <c r="C238" s="1494"/>
      <c r="F238" s="560"/>
      <c r="G238" s="560"/>
      <c r="H238" s="560"/>
      <c r="I238" s="560"/>
      <c r="J238" s="560"/>
      <c r="K238" s="1493"/>
      <c r="L238" s="560"/>
      <c r="M238" s="560"/>
      <c r="S238" s="432"/>
    </row>
    <row r="239" spans="3:19" ht="13.15" customHeight="1">
      <c r="C239" s="1494"/>
      <c r="F239" s="560"/>
      <c r="G239" s="560"/>
      <c r="H239" s="560"/>
      <c r="I239" s="560"/>
      <c r="J239" s="560"/>
      <c r="K239" s="1493"/>
      <c r="L239" s="560"/>
      <c r="M239" s="560"/>
      <c r="S239" s="432"/>
    </row>
    <row r="240" spans="3:19" ht="13.15" customHeight="1">
      <c r="C240" s="1494"/>
      <c r="F240" s="560"/>
      <c r="G240" s="560"/>
      <c r="H240" s="560"/>
      <c r="I240" s="560"/>
      <c r="J240" s="560"/>
      <c r="K240" s="1493"/>
      <c r="L240" s="560"/>
      <c r="M240" s="560"/>
      <c r="S240" s="432"/>
    </row>
    <row r="241" spans="3:19" ht="13.15" customHeight="1">
      <c r="C241" s="1494"/>
      <c r="F241" s="560"/>
      <c r="G241" s="560"/>
      <c r="H241" s="560"/>
      <c r="I241" s="560"/>
      <c r="J241" s="560"/>
      <c r="K241" s="1493"/>
      <c r="L241" s="560"/>
      <c r="M241" s="560"/>
      <c r="S241" s="432"/>
    </row>
    <row r="242" spans="3:19" ht="13.15" customHeight="1">
      <c r="C242" s="1494"/>
      <c r="F242" s="560"/>
      <c r="G242" s="560"/>
      <c r="H242" s="560"/>
      <c r="I242" s="560"/>
      <c r="J242" s="560"/>
      <c r="K242" s="1493"/>
      <c r="L242" s="560"/>
      <c r="M242" s="560"/>
      <c r="S242" s="432"/>
    </row>
    <row r="243" spans="3:19" ht="13.15" customHeight="1">
      <c r="C243" s="1494"/>
      <c r="F243" s="560"/>
      <c r="G243" s="560"/>
      <c r="H243" s="560"/>
      <c r="I243" s="560"/>
      <c r="J243" s="560"/>
      <c r="K243" s="1493"/>
      <c r="L243" s="560"/>
      <c r="M243" s="560"/>
      <c r="S243" s="432"/>
    </row>
    <row r="244" spans="3:19" ht="13.15" customHeight="1">
      <c r="C244" s="1494"/>
      <c r="F244" s="560"/>
      <c r="G244" s="560"/>
      <c r="H244" s="560"/>
      <c r="I244" s="560"/>
      <c r="J244" s="560"/>
      <c r="K244" s="1493"/>
      <c r="L244" s="560"/>
      <c r="M244" s="560"/>
      <c r="S244" s="432"/>
    </row>
    <row r="245" spans="3:19" ht="13.15" customHeight="1">
      <c r="C245" s="1494"/>
      <c r="F245" s="560"/>
      <c r="G245" s="560"/>
      <c r="H245" s="560"/>
      <c r="I245" s="560"/>
      <c r="J245" s="560"/>
      <c r="K245" s="1493"/>
      <c r="L245" s="560"/>
      <c r="M245" s="560"/>
      <c r="S245" s="432"/>
    </row>
    <row r="246" spans="3:19" ht="13.15" customHeight="1">
      <c r="C246" s="1494"/>
      <c r="K246" s="609"/>
      <c r="S246" s="432"/>
    </row>
    <row r="247" spans="3:19" ht="13.15" customHeight="1">
      <c r="C247" s="1494"/>
      <c r="K247" s="609"/>
      <c r="S247" s="432"/>
    </row>
    <row r="248" spans="3:19" ht="13.15" customHeight="1">
      <c r="C248" s="1494"/>
      <c r="K248" s="609"/>
      <c r="S248" s="432"/>
    </row>
    <row r="249" spans="3:19" ht="13.15" customHeight="1">
      <c r="C249" s="1494"/>
      <c r="K249" s="609"/>
      <c r="S249" s="432"/>
    </row>
    <row r="250" spans="3:19" ht="13.15" customHeight="1">
      <c r="C250" s="1494"/>
      <c r="K250" s="609"/>
      <c r="S250" s="432"/>
    </row>
    <row r="251" spans="3:19" ht="13.15" customHeight="1">
      <c r="C251" s="1494"/>
      <c r="K251" s="609"/>
      <c r="S251" s="432"/>
    </row>
    <row r="252" spans="3:19" ht="13.15" customHeight="1">
      <c r="C252" s="1494"/>
      <c r="K252" s="609"/>
      <c r="S252" s="432"/>
    </row>
    <row r="253" spans="3:19" ht="13.15" customHeight="1">
      <c r="C253" s="1494"/>
      <c r="K253" s="609"/>
      <c r="S253" s="432"/>
    </row>
    <row r="254" spans="3:19" ht="13.15" customHeight="1">
      <c r="C254" s="1494"/>
      <c r="K254" s="609"/>
      <c r="S254" s="432"/>
    </row>
    <row r="255" spans="3:19" ht="13.15" customHeight="1">
      <c r="C255" s="1494"/>
      <c r="K255" s="609"/>
      <c r="S255" s="432"/>
    </row>
    <row r="256" spans="3:19" ht="13.15" customHeight="1">
      <c r="C256" s="1494"/>
      <c r="K256" s="609"/>
      <c r="S256" s="432"/>
    </row>
    <row r="257" spans="3:19" ht="13.15" customHeight="1">
      <c r="C257" s="1494"/>
      <c r="K257" s="609"/>
      <c r="S257" s="432"/>
    </row>
    <row r="258" spans="3:19" ht="13.15" customHeight="1">
      <c r="C258" s="1494"/>
      <c r="K258" s="609"/>
      <c r="S258" s="432"/>
    </row>
    <row r="259" spans="3:19" ht="13.15" customHeight="1">
      <c r="C259" s="1494"/>
      <c r="K259" s="609"/>
      <c r="S259" s="432"/>
    </row>
    <row r="260" spans="3:19" ht="13.15" customHeight="1">
      <c r="C260" s="1494"/>
      <c r="K260" s="609"/>
      <c r="S260" s="432"/>
    </row>
    <row r="261" spans="3:19" ht="13.15" customHeight="1">
      <c r="C261" s="1494"/>
      <c r="K261" s="609"/>
      <c r="S261" s="432"/>
    </row>
    <row r="262" spans="3:19" ht="13.15" customHeight="1">
      <c r="C262" s="1494"/>
      <c r="K262" s="609"/>
      <c r="S262" s="432"/>
    </row>
    <row r="263" spans="3:19" ht="13.15" customHeight="1">
      <c r="C263" s="1494"/>
      <c r="K263" s="609"/>
      <c r="S263" s="432"/>
    </row>
    <row r="264" spans="3:19" ht="13.15" customHeight="1">
      <c r="C264" s="1494"/>
      <c r="K264" s="609"/>
      <c r="S264" s="432"/>
    </row>
    <row r="265" spans="3:19" ht="13.15" customHeight="1">
      <c r="C265" s="1494"/>
      <c r="K265" s="609"/>
      <c r="S265" s="432"/>
    </row>
    <row r="266" spans="3:19" ht="13.15" customHeight="1">
      <c r="C266" s="1494"/>
      <c r="K266" s="609"/>
      <c r="S266" s="432"/>
    </row>
    <row r="267" spans="3:19" ht="13.15" customHeight="1">
      <c r="C267" s="1494" t="s">
        <v>233</v>
      </c>
      <c r="K267" s="609"/>
      <c r="S267" s="432"/>
    </row>
    <row r="268" spans="3:19" ht="13.15" customHeight="1">
      <c r="C268" s="1494"/>
      <c r="K268" s="609"/>
      <c r="S268" s="432"/>
    </row>
    <row r="269" spans="3:19" ht="13.15" customHeight="1">
      <c r="C269" s="1494"/>
      <c r="K269" s="609"/>
      <c r="S269" s="432"/>
    </row>
    <row r="270" spans="3:19" ht="13.15" customHeight="1">
      <c r="C270" s="1494"/>
      <c r="K270" s="609"/>
      <c r="S270" s="432"/>
    </row>
    <row r="271" spans="3:19" ht="13.15" customHeight="1">
      <c r="C271" s="1494"/>
      <c r="K271" s="609"/>
      <c r="S271" s="432"/>
    </row>
    <row r="272" spans="3:19" ht="13.15" customHeight="1">
      <c r="C272" s="1494"/>
      <c r="K272" s="609"/>
      <c r="S272" s="432"/>
    </row>
    <row r="273" spans="3:19" ht="13.15" customHeight="1">
      <c r="C273" s="1494"/>
      <c r="K273" s="609"/>
      <c r="S273" s="432"/>
    </row>
    <row r="274" spans="3:19" ht="13.15" customHeight="1">
      <c r="C274" s="1494"/>
      <c r="K274" s="609"/>
      <c r="S274" s="432"/>
    </row>
    <row r="275" spans="3:19" ht="13.15" customHeight="1">
      <c r="C275" s="1494"/>
      <c r="K275" s="609"/>
      <c r="S275" s="432"/>
    </row>
    <row r="276" spans="3:19" ht="13.15" customHeight="1">
      <c r="C276" s="1494"/>
      <c r="K276" s="609"/>
      <c r="S276" s="432"/>
    </row>
    <row r="277" spans="3:19" ht="13.15" customHeight="1">
      <c r="C277" s="1494"/>
      <c r="K277" s="609"/>
      <c r="S277" s="432"/>
    </row>
    <row r="278" spans="3:19" ht="13.15" customHeight="1">
      <c r="C278" s="1494"/>
      <c r="K278" s="609"/>
      <c r="S278" s="432"/>
    </row>
    <row r="279" spans="3:19" ht="13.15" customHeight="1">
      <c r="C279" s="1494"/>
      <c r="K279" s="609"/>
      <c r="S279" s="432"/>
    </row>
    <row r="280" spans="3:19" ht="13.15" customHeight="1">
      <c r="C280" s="1494"/>
      <c r="K280" s="609"/>
      <c r="S280" s="432"/>
    </row>
    <row r="281" spans="3:19" ht="13.15" customHeight="1">
      <c r="C281" s="1494"/>
      <c r="K281" s="609"/>
      <c r="S281" s="432"/>
    </row>
    <row r="282" spans="3:19" ht="13.15" customHeight="1">
      <c r="C282" s="1494"/>
      <c r="K282" s="609"/>
      <c r="S282" s="432"/>
    </row>
    <row r="283" spans="3:19" ht="13.15" customHeight="1">
      <c r="C283" s="1494"/>
      <c r="K283" s="609"/>
      <c r="S283" s="432"/>
    </row>
    <row r="284" spans="3:19" ht="13.15" customHeight="1">
      <c r="C284" s="1494"/>
      <c r="K284" s="609"/>
      <c r="S284" s="432"/>
    </row>
    <row r="285" spans="3:19" ht="13.15" customHeight="1">
      <c r="C285" s="1494"/>
      <c r="K285" s="609"/>
      <c r="S285" s="432"/>
    </row>
    <row r="286" spans="3:19" ht="13.15" customHeight="1">
      <c r="C286" s="1494"/>
      <c r="K286" s="609"/>
      <c r="S286" s="432"/>
    </row>
    <row r="287" spans="3:19" ht="13.15" customHeight="1">
      <c r="C287" s="1494"/>
      <c r="K287" s="609"/>
      <c r="S287" s="432"/>
    </row>
    <row r="288" spans="3:19" ht="13.15" customHeight="1">
      <c r="C288" s="1494"/>
      <c r="K288" s="609"/>
      <c r="S288" s="432"/>
    </row>
    <row r="289" spans="3:19" ht="13.15" customHeight="1">
      <c r="C289" s="1494"/>
      <c r="K289" s="609"/>
      <c r="S289" s="432"/>
    </row>
    <row r="290" spans="3:19" ht="13.15" customHeight="1">
      <c r="C290" s="1494"/>
      <c r="K290" s="609"/>
      <c r="S290" s="432"/>
    </row>
    <row r="291" spans="3:19" ht="13.15" customHeight="1">
      <c r="C291" s="1494"/>
      <c r="K291" s="609"/>
      <c r="S291" s="432"/>
    </row>
    <row r="292" spans="3:19" ht="13.15" customHeight="1">
      <c r="C292" s="1494"/>
      <c r="K292" s="609"/>
      <c r="S292" s="432"/>
    </row>
    <row r="293" spans="3:19" ht="13.15" customHeight="1">
      <c r="C293" s="1494"/>
      <c r="K293" s="609"/>
      <c r="S293" s="432"/>
    </row>
    <row r="294" spans="3:19" ht="13.15" customHeight="1">
      <c r="C294" s="1494"/>
      <c r="K294" s="609"/>
      <c r="S294" s="432"/>
    </row>
    <row r="295" spans="3:19" ht="13.15" customHeight="1">
      <c r="C295" s="1494"/>
      <c r="K295" s="609"/>
      <c r="S295" s="432"/>
    </row>
    <row r="296" spans="3:19" ht="13.15" customHeight="1">
      <c r="C296" s="1494"/>
      <c r="K296" s="609"/>
      <c r="S296" s="432"/>
    </row>
    <row r="297" spans="3:19" ht="13.15" customHeight="1">
      <c r="C297" s="1494"/>
      <c r="K297" s="609"/>
      <c r="S297" s="432"/>
    </row>
    <row r="298" spans="3:19" ht="13.15" customHeight="1">
      <c r="C298" s="1494"/>
      <c r="K298" s="609"/>
      <c r="S298" s="432"/>
    </row>
    <row r="299" spans="3:19" ht="13.15" customHeight="1">
      <c r="C299" s="1494"/>
      <c r="K299" s="609"/>
      <c r="S299" s="432"/>
    </row>
    <row r="300" spans="3:19" ht="13.15" customHeight="1">
      <c r="C300" s="1494"/>
      <c r="K300" s="609"/>
      <c r="S300" s="432"/>
    </row>
    <row r="301" spans="3:19" ht="13.15" customHeight="1">
      <c r="C301" s="1494"/>
      <c r="K301" s="609"/>
      <c r="S301" s="432"/>
    </row>
    <row r="302" spans="3:19" ht="13.15" customHeight="1">
      <c r="C302" s="1494"/>
      <c r="K302" s="609"/>
      <c r="S302" s="432"/>
    </row>
    <row r="303" spans="3:19" ht="13.15" customHeight="1">
      <c r="C303" s="1494"/>
      <c r="K303" s="609"/>
      <c r="S303" s="432"/>
    </row>
    <row r="304" spans="3:19" ht="13.15" customHeight="1">
      <c r="C304" s="1494"/>
      <c r="K304" s="609"/>
      <c r="S304" s="432"/>
    </row>
    <row r="305" spans="3:19" ht="13.15" customHeight="1">
      <c r="C305" s="1494"/>
      <c r="K305" s="609"/>
      <c r="S305" s="432"/>
    </row>
    <row r="306" spans="3:19" ht="13.15" customHeight="1">
      <c r="C306" s="1494"/>
      <c r="K306" s="609"/>
      <c r="S306" s="432"/>
    </row>
    <row r="307" spans="3:19" ht="13.15" customHeight="1">
      <c r="C307" s="1494"/>
      <c r="K307" s="609"/>
      <c r="S307" s="432"/>
    </row>
    <row r="308" spans="3:19" ht="13.15" customHeight="1">
      <c r="C308" s="1494"/>
      <c r="K308" s="609"/>
      <c r="S308" s="432"/>
    </row>
    <row r="309" spans="3:19" ht="13.15" customHeight="1">
      <c r="C309" s="1494"/>
      <c r="K309" s="609"/>
      <c r="S309" s="432"/>
    </row>
    <row r="310" spans="3:19" ht="13.15" customHeight="1">
      <c r="C310" s="1494"/>
      <c r="K310" s="609"/>
      <c r="S310" s="432"/>
    </row>
    <row r="311" spans="3:19" ht="13.15" customHeight="1">
      <c r="C311" s="1494"/>
      <c r="K311" s="609"/>
      <c r="S311" s="432"/>
    </row>
    <row r="312" spans="3:19" ht="13.15" customHeight="1">
      <c r="C312" s="1494"/>
      <c r="K312" s="609"/>
      <c r="S312" s="432"/>
    </row>
    <row r="313" spans="3:19" ht="13.15" customHeight="1">
      <c r="C313" s="1494"/>
      <c r="K313" s="609"/>
      <c r="S313" s="432"/>
    </row>
    <row r="314" spans="3:19" ht="13.15" customHeight="1">
      <c r="C314" s="1494"/>
      <c r="K314" s="609"/>
      <c r="S314" s="432"/>
    </row>
    <row r="315" spans="3:19" ht="13.15" customHeight="1">
      <c r="C315" s="1494"/>
      <c r="K315" s="609"/>
      <c r="S315" s="432"/>
    </row>
    <row r="316" spans="3:19" ht="13.15" customHeight="1">
      <c r="C316" s="1494"/>
      <c r="K316" s="609"/>
      <c r="S316" s="432"/>
    </row>
    <row r="317" spans="3:19" ht="13.15" customHeight="1">
      <c r="C317" s="1494"/>
      <c r="K317" s="609"/>
      <c r="S317" s="432"/>
    </row>
    <row r="318" spans="3:19" ht="13.15" customHeight="1">
      <c r="C318" s="1494"/>
      <c r="K318" s="609"/>
      <c r="S318" s="432"/>
    </row>
    <row r="319" spans="3:19" ht="13.15" customHeight="1">
      <c r="C319" s="1494"/>
      <c r="K319" s="609"/>
      <c r="S319" s="432"/>
    </row>
    <row r="320" spans="3:19" ht="13.15" customHeight="1">
      <c r="C320" s="1494"/>
      <c r="K320" s="609"/>
      <c r="S320" s="432"/>
    </row>
    <row r="321" spans="3:19" ht="13.15" customHeight="1">
      <c r="C321" s="1494"/>
      <c r="K321" s="609"/>
      <c r="S321" s="432"/>
    </row>
    <row r="322" spans="3:19" ht="13.15" customHeight="1">
      <c r="C322" s="1494"/>
      <c r="K322" s="609"/>
      <c r="S322" s="432"/>
    </row>
    <row r="323" spans="3:19" ht="13.15" customHeight="1">
      <c r="C323" s="1494"/>
      <c r="K323" s="609"/>
      <c r="S323" s="432"/>
    </row>
    <row r="324" spans="3:19" ht="13.15" customHeight="1">
      <c r="C324" s="1494"/>
      <c r="K324" s="609"/>
      <c r="S324" s="432"/>
    </row>
    <row r="325" spans="3:19" ht="13.15" customHeight="1">
      <c r="C325" s="1494"/>
      <c r="K325" s="609"/>
      <c r="S325" s="432"/>
    </row>
    <row r="326" spans="3:19" ht="13.15" customHeight="1">
      <c r="C326" s="1494"/>
      <c r="K326" s="609"/>
      <c r="S326" s="432"/>
    </row>
    <row r="327" spans="3:19" ht="13.15" customHeight="1">
      <c r="C327" s="1494"/>
      <c r="K327" s="609"/>
      <c r="S327" s="432"/>
    </row>
    <row r="328" spans="3:19" ht="13.15" customHeight="1">
      <c r="C328" s="1494"/>
      <c r="K328" s="609"/>
      <c r="S328" s="432"/>
    </row>
    <row r="329" spans="3:19" ht="13.15" customHeight="1">
      <c r="C329" s="1494"/>
      <c r="K329" s="609"/>
      <c r="S329" s="432"/>
    </row>
    <row r="330" spans="3:19" ht="13.15" customHeight="1">
      <c r="C330" s="1494"/>
      <c r="K330" s="609"/>
      <c r="S330" s="432"/>
    </row>
    <row r="331" spans="3:19" ht="13.15" customHeight="1">
      <c r="C331" s="1494"/>
      <c r="K331" s="609"/>
      <c r="S331" s="432"/>
    </row>
    <row r="332" spans="3:19" ht="13.15" customHeight="1">
      <c r="C332" s="1494"/>
      <c r="K332" s="609"/>
      <c r="S332" s="432"/>
    </row>
    <row r="333" spans="3:19" ht="13.15" customHeight="1">
      <c r="C333" s="1494"/>
      <c r="K333" s="609"/>
      <c r="S333" s="432"/>
    </row>
    <row r="334" spans="3:19" ht="13.15" customHeight="1">
      <c r="C334" s="1494"/>
      <c r="K334" s="609"/>
      <c r="S334" s="432"/>
    </row>
    <row r="335" spans="3:19" ht="13.15" customHeight="1">
      <c r="C335" s="1494"/>
      <c r="K335" s="609"/>
      <c r="S335" s="432"/>
    </row>
    <row r="336" spans="3:19" ht="13.15" customHeight="1">
      <c r="C336" s="1494"/>
      <c r="K336" s="609"/>
      <c r="S336" s="432"/>
    </row>
    <row r="337" spans="3:19" ht="13.15" customHeight="1">
      <c r="C337" s="1494"/>
      <c r="K337" s="609"/>
      <c r="S337" s="432"/>
    </row>
    <row r="338" spans="3:19" ht="13.15" customHeight="1">
      <c r="C338" s="1494"/>
      <c r="K338" s="609"/>
      <c r="S338" s="432"/>
    </row>
    <row r="339" spans="3:19" ht="13.15" customHeight="1">
      <c r="C339" s="1494"/>
      <c r="K339" s="609"/>
      <c r="S339" s="432"/>
    </row>
    <row r="340" spans="3:19" ht="13.15" customHeight="1">
      <c r="C340" s="1494"/>
      <c r="K340" s="609"/>
      <c r="S340" s="432"/>
    </row>
    <row r="341" spans="3:19" ht="13.15" customHeight="1">
      <c r="C341" s="1494"/>
      <c r="K341" s="609"/>
      <c r="S341" s="432"/>
    </row>
    <row r="342" spans="3:19" ht="13.15" customHeight="1">
      <c r="C342" s="1494"/>
      <c r="K342" s="609"/>
      <c r="S342" s="432"/>
    </row>
    <row r="343" spans="3:19" ht="13.15" customHeight="1">
      <c r="C343" s="1494"/>
      <c r="K343" s="609"/>
      <c r="S343" s="432"/>
    </row>
    <row r="344" spans="3:19" ht="13.15" customHeight="1">
      <c r="C344" s="1494"/>
      <c r="K344" s="609"/>
      <c r="S344" s="432"/>
    </row>
    <row r="345" spans="3:19" ht="13.15" customHeight="1">
      <c r="C345" s="1494"/>
      <c r="K345" s="609"/>
      <c r="S345" s="432"/>
    </row>
    <row r="346" spans="3:19" ht="13.15" customHeight="1">
      <c r="C346" s="1494" t="s">
        <v>233</v>
      </c>
      <c r="K346" s="609"/>
      <c r="S346" s="432"/>
    </row>
    <row r="347" spans="3:19" ht="13.15" customHeight="1">
      <c r="C347" s="1494"/>
      <c r="K347" s="609"/>
      <c r="S347" s="432"/>
    </row>
    <row r="348" spans="3:19" ht="13.15" customHeight="1">
      <c r="C348" s="1494"/>
      <c r="K348" s="609"/>
      <c r="S348" s="432"/>
    </row>
    <row r="349" spans="3:19" ht="13.15" customHeight="1">
      <c r="C349" s="1494"/>
      <c r="K349" s="609"/>
      <c r="S349" s="432"/>
    </row>
    <row r="350" spans="3:19" ht="13.15" customHeight="1">
      <c r="C350" s="1494"/>
      <c r="K350" s="609"/>
      <c r="S350" s="432"/>
    </row>
    <row r="351" spans="3:19" ht="13.15" customHeight="1">
      <c r="C351" s="1494"/>
      <c r="K351" s="609"/>
      <c r="S351" s="432"/>
    </row>
    <row r="352" spans="3:19" ht="13.15" customHeight="1">
      <c r="C352" s="1494"/>
      <c r="K352" s="609"/>
      <c r="S352" s="432"/>
    </row>
    <row r="353" spans="3:19" ht="13.15" customHeight="1">
      <c r="C353" s="1494"/>
      <c r="K353" s="609"/>
      <c r="S353" s="432"/>
    </row>
    <row r="354" spans="3:19" ht="13.15" customHeight="1">
      <c r="C354" s="1494"/>
      <c r="K354" s="609"/>
      <c r="S354" s="432"/>
    </row>
    <row r="355" spans="3:19" ht="13.15" customHeight="1">
      <c r="C355" s="1494"/>
      <c r="K355" s="609"/>
      <c r="S355" s="432"/>
    </row>
    <row r="356" spans="3:19" ht="13.15" customHeight="1">
      <c r="C356" s="1494"/>
      <c r="K356" s="609"/>
      <c r="S356" s="432"/>
    </row>
    <row r="357" spans="3:19" ht="13.15" customHeight="1">
      <c r="C357" s="1494"/>
      <c r="K357" s="609"/>
      <c r="S357" s="432"/>
    </row>
    <row r="358" spans="3:19" ht="13.15" customHeight="1">
      <c r="C358" s="1494"/>
      <c r="K358" s="609"/>
      <c r="S358" s="432"/>
    </row>
    <row r="359" spans="3:19" ht="13.15" customHeight="1">
      <c r="C359" s="1494"/>
      <c r="K359" s="609"/>
      <c r="S359" s="432"/>
    </row>
    <row r="360" spans="3:19" ht="13.15" customHeight="1">
      <c r="C360" s="1494"/>
      <c r="K360" s="609"/>
      <c r="S360" s="432"/>
    </row>
    <row r="361" spans="3:19" ht="13.15" customHeight="1">
      <c r="C361" s="1494"/>
      <c r="K361" s="609"/>
      <c r="S361" s="432"/>
    </row>
    <row r="362" spans="3:19" ht="13.15" customHeight="1">
      <c r="C362" s="1494"/>
      <c r="K362" s="609"/>
      <c r="S362" s="432"/>
    </row>
    <row r="363" spans="3:19" ht="13.15" customHeight="1">
      <c r="C363" s="1494"/>
      <c r="K363" s="609"/>
      <c r="S363" s="432"/>
    </row>
    <row r="364" spans="3:19" ht="13.15" customHeight="1">
      <c r="C364" s="1494"/>
      <c r="K364" s="609"/>
      <c r="S364" s="432"/>
    </row>
    <row r="365" spans="3:19" ht="13.15" customHeight="1">
      <c r="C365" s="1494"/>
      <c r="K365" s="609"/>
      <c r="S365" s="432"/>
    </row>
    <row r="366" spans="3:19" ht="13.15" customHeight="1">
      <c r="C366" s="1494"/>
      <c r="K366" s="609"/>
      <c r="S366" s="432"/>
    </row>
    <row r="367" spans="3:19" ht="13.15" customHeight="1">
      <c r="C367" s="1494"/>
      <c r="K367" s="609"/>
      <c r="S367" s="432"/>
    </row>
    <row r="368" spans="3:19" ht="13.15" customHeight="1">
      <c r="C368" s="1494"/>
      <c r="K368" s="609"/>
      <c r="S368" s="432"/>
    </row>
    <row r="369" spans="3:19" ht="13.15" customHeight="1">
      <c r="C369" s="1494"/>
      <c r="K369" s="609"/>
      <c r="S369" s="432"/>
    </row>
    <row r="370" spans="3:19" ht="13.15" customHeight="1">
      <c r="C370" s="1494"/>
      <c r="K370" s="609"/>
      <c r="S370" s="432"/>
    </row>
    <row r="371" spans="3:19" ht="13.15" customHeight="1">
      <c r="C371" s="1494"/>
      <c r="K371" s="609"/>
      <c r="S371" s="432"/>
    </row>
    <row r="372" spans="3:19" ht="13.15" customHeight="1">
      <c r="C372" s="1494"/>
      <c r="K372" s="609"/>
      <c r="S372" s="432"/>
    </row>
    <row r="373" spans="3:19" ht="13.15" customHeight="1">
      <c r="C373" s="1494"/>
      <c r="K373" s="609"/>
      <c r="S373" s="432"/>
    </row>
    <row r="374" spans="3:19" ht="13.15" customHeight="1">
      <c r="C374" s="1494"/>
      <c r="K374" s="609"/>
      <c r="S374" s="432"/>
    </row>
    <row r="375" spans="3:19" ht="13.15" customHeight="1">
      <c r="C375" s="1494"/>
      <c r="K375" s="609"/>
      <c r="S375" s="432"/>
    </row>
    <row r="376" spans="3:19" ht="13.15" customHeight="1">
      <c r="C376" s="1494"/>
      <c r="K376" s="609"/>
      <c r="S376" s="432"/>
    </row>
    <row r="377" spans="3:19" ht="13.15" customHeight="1">
      <c r="C377" s="1494"/>
      <c r="K377" s="609"/>
      <c r="S377" s="432"/>
    </row>
    <row r="378" spans="3:19" ht="13.15" customHeight="1">
      <c r="C378" s="1494"/>
      <c r="K378" s="609"/>
      <c r="S378" s="432"/>
    </row>
    <row r="379" spans="3:19" ht="13.15" customHeight="1">
      <c r="C379" s="1494"/>
      <c r="K379" s="609"/>
      <c r="S379" s="432"/>
    </row>
    <row r="380" spans="3:19" ht="13.15" customHeight="1">
      <c r="C380" s="1494"/>
      <c r="K380" s="609"/>
      <c r="S380" s="432"/>
    </row>
    <row r="381" spans="3:19" ht="13.15" customHeight="1">
      <c r="C381" s="1494"/>
      <c r="K381" s="609"/>
      <c r="S381" s="432"/>
    </row>
    <row r="382" spans="3:19" ht="13.15" customHeight="1">
      <c r="C382" s="1494"/>
      <c r="K382" s="609"/>
      <c r="S382" s="432"/>
    </row>
    <row r="383" spans="3:19" ht="13.15" customHeight="1">
      <c r="C383" s="1494"/>
      <c r="K383" s="609"/>
      <c r="S383" s="432"/>
    </row>
    <row r="384" spans="3:19" ht="13.15" customHeight="1">
      <c r="C384" s="1494"/>
      <c r="K384" s="609"/>
      <c r="S384" s="432"/>
    </row>
    <row r="385" spans="3:19" ht="13.15" customHeight="1">
      <c r="C385" s="1494"/>
      <c r="K385" s="609"/>
      <c r="S385" s="432"/>
    </row>
    <row r="386" spans="3:19" ht="13.15" customHeight="1">
      <c r="C386" s="1494"/>
      <c r="K386" s="609"/>
      <c r="S386" s="432"/>
    </row>
    <row r="387" spans="3:19" ht="13.15" customHeight="1">
      <c r="C387" s="1494"/>
      <c r="K387" s="609"/>
      <c r="S387" s="432"/>
    </row>
    <row r="388" spans="3:19" ht="13.15" customHeight="1">
      <c r="C388" s="1494"/>
      <c r="K388" s="609"/>
      <c r="S388" s="432"/>
    </row>
    <row r="389" spans="3:19" ht="13.15" customHeight="1">
      <c r="C389" s="1494"/>
      <c r="K389" s="609"/>
      <c r="S389" s="432"/>
    </row>
    <row r="390" spans="3:19" ht="13.15" customHeight="1">
      <c r="C390" s="1494"/>
      <c r="K390" s="609"/>
      <c r="S390" s="432"/>
    </row>
    <row r="391" spans="3:19" ht="13.15" customHeight="1">
      <c r="C391" s="1494"/>
      <c r="K391" s="609"/>
      <c r="S391" s="432"/>
    </row>
    <row r="392" spans="3:19" ht="13.15" customHeight="1">
      <c r="C392" s="1494"/>
      <c r="K392" s="609"/>
      <c r="S392" s="432"/>
    </row>
    <row r="393" spans="3:19" ht="13.15" customHeight="1">
      <c r="C393" s="1494"/>
      <c r="K393" s="609"/>
      <c r="S393" s="432"/>
    </row>
    <row r="394" spans="3:19" ht="13.15" customHeight="1">
      <c r="C394" s="1494"/>
      <c r="K394" s="609"/>
      <c r="S394" s="432"/>
    </row>
    <row r="395" spans="3:19" ht="13.15" customHeight="1">
      <c r="C395" s="1494"/>
      <c r="K395" s="609"/>
      <c r="S395" s="432"/>
    </row>
    <row r="396" spans="3:19" ht="13.15" customHeight="1">
      <c r="C396" s="1494"/>
      <c r="K396" s="609"/>
      <c r="S396" s="432"/>
    </row>
    <row r="397" spans="3:19" ht="13.15" customHeight="1">
      <c r="C397" s="1494"/>
      <c r="K397" s="609"/>
      <c r="S397" s="432"/>
    </row>
    <row r="398" spans="3:19" ht="13.15" customHeight="1">
      <c r="C398" s="1494"/>
      <c r="K398" s="609"/>
      <c r="S398" s="432"/>
    </row>
    <row r="399" spans="3:19" ht="13.15" customHeight="1">
      <c r="C399" s="1494"/>
      <c r="K399" s="609"/>
      <c r="S399" s="432"/>
    </row>
    <row r="400" spans="3:19" ht="13.15" customHeight="1">
      <c r="C400" s="1494"/>
      <c r="K400" s="609"/>
      <c r="S400" s="432"/>
    </row>
    <row r="401" spans="3:19" ht="13.15" customHeight="1">
      <c r="C401" s="1494"/>
      <c r="K401" s="609"/>
      <c r="S401" s="432"/>
    </row>
    <row r="402" spans="3:19" ht="13.15" customHeight="1">
      <c r="C402" s="1494"/>
      <c r="K402" s="609"/>
      <c r="S402" s="432"/>
    </row>
    <row r="403" spans="3:19" ht="13.15" customHeight="1">
      <c r="C403" s="1494"/>
      <c r="K403" s="609"/>
      <c r="S403" s="432"/>
    </row>
    <row r="404" spans="3:19" ht="13.15" customHeight="1">
      <c r="C404" s="1494"/>
      <c r="K404" s="609"/>
      <c r="S404" s="432"/>
    </row>
    <row r="405" spans="3:19" ht="13.15" customHeight="1">
      <c r="C405" s="1494"/>
      <c r="K405" s="609"/>
      <c r="S405" s="432"/>
    </row>
    <row r="406" spans="3:19" ht="13.15" customHeight="1">
      <c r="C406" s="1494"/>
      <c r="K406" s="609"/>
      <c r="S406" s="432"/>
    </row>
    <row r="407" spans="3:19" ht="13.15" customHeight="1">
      <c r="C407" s="1494"/>
      <c r="K407" s="609"/>
      <c r="S407" s="432"/>
    </row>
    <row r="408" spans="3:19" ht="13.15" customHeight="1">
      <c r="C408" s="1494"/>
      <c r="K408" s="609"/>
      <c r="S408" s="432"/>
    </row>
    <row r="409" spans="3:19" ht="13.15" customHeight="1">
      <c r="C409" s="1494"/>
      <c r="K409" s="609"/>
      <c r="S409" s="432"/>
    </row>
    <row r="410" spans="3:19" ht="13.15" customHeight="1">
      <c r="C410" s="1494"/>
      <c r="K410" s="609"/>
      <c r="S410" s="432"/>
    </row>
    <row r="411" spans="3:19" ht="13.15" customHeight="1">
      <c r="C411" s="1494"/>
      <c r="K411" s="609"/>
      <c r="S411" s="432"/>
    </row>
    <row r="412" spans="3:19" ht="13.15" customHeight="1">
      <c r="C412" s="1494"/>
      <c r="K412" s="609"/>
      <c r="S412" s="432"/>
    </row>
    <row r="413" spans="3:19" ht="13.15" customHeight="1">
      <c r="C413" s="1494"/>
      <c r="K413" s="609"/>
      <c r="S413" s="432"/>
    </row>
    <row r="414" spans="3:19" ht="13.15" customHeight="1">
      <c r="C414" s="1494"/>
      <c r="K414" s="609"/>
      <c r="S414" s="432"/>
    </row>
    <row r="415" spans="3:19" ht="13.15" customHeight="1">
      <c r="C415" s="1494"/>
      <c r="K415" s="609"/>
      <c r="S415" s="432"/>
    </row>
    <row r="416" spans="3:19" ht="13.15" customHeight="1">
      <c r="C416" s="1494"/>
      <c r="K416" s="609"/>
      <c r="S416" s="432"/>
    </row>
    <row r="417" spans="3:19" ht="13.15" customHeight="1">
      <c r="C417" s="1494"/>
      <c r="K417" s="609"/>
      <c r="S417" s="432"/>
    </row>
    <row r="418" spans="3:19" ht="13.15" customHeight="1">
      <c r="C418" s="1494"/>
      <c r="K418" s="609"/>
      <c r="S418" s="432"/>
    </row>
    <row r="419" spans="3:19" ht="13.15" customHeight="1">
      <c r="C419" s="1494"/>
      <c r="K419" s="609"/>
      <c r="S419" s="432"/>
    </row>
    <row r="420" spans="3:19" ht="13.15" customHeight="1">
      <c r="C420" s="1494"/>
      <c r="K420" s="609"/>
      <c r="S420" s="432"/>
    </row>
    <row r="421" spans="3:19" ht="13.15" customHeight="1">
      <c r="C421" s="1494"/>
      <c r="K421" s="609"/>
      <c r="S421" s="432"/>
    </row>
    <row r="422" spans="3:19" ht="13.15" customHeight="1">
      <c r="C422" s="1494"/>
      <c r="K422" s="609"/>
      <c r="S422" s="432"/>
    </row>
    <row r="423" spans="3:19" ht="13.15" customHeight="1">
      <c r="C423" s="1494"/>
      <c r="K423" s="609"/>
      <c r="S423" s="432"/>
    </row>
    <row r="424" spans="3:19" ht="13.15" customHeight="1">
      <c r="C424" s="1494"/>
      <c r="K424" s="609"/>
      <c r="S424" s="432"/>
    </row>
    <row r="425" spans="3:19" ht="13.15" customHeight="1">
      <c r="C425" s="1494" t="s">
        <v>233</v>
      </c>
      <c r="K425" s="609"/>
      <c r="S425" s="432"/>
    </row>
    <row r="426" spans="3:19" ht="13.15" customHeight="1">
      <c r="C426" s="1494"/>
      <c r="K426" s="609"/>
      <c r="S426" s="432"/>
    </row>
    <row r="427" spans="3:19" ht="13.15" customHeight="1">
      <c r="C427" s="1494"/>
      <c r="K427" s="609"/>
      <c r="S427" s="432"/>
    </row>
    <row r="428" spans="3:19" ht="13.15" customHeight="1">
      <c r="C428" s="1494"/>
      <c r="K428" s="609"/>
      <c r="S428" s="432"/>
    </row>
    <row r="429" spans="3:19" ht="9" customHeight="1">
      <c r="C429" s="1494"/>
      <c r="K429" s="609"/>
      <c r="S429" s="432"/>
    </row>
    <row r="430" spans="3:19" ht="7.5" customHeight="1">
      <c r="C430" s="1494"/>
      <c r="K430" s="609"/>
      <c r="S430" s="432"/>
    </row>
    <row r="431" spans="3:19">
      <c r="C431" s="1494"/>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432" customWidth="1"/>
    <col min="2" max="2" width="12.42578125" style="432" customWidth="1"/>
    <col min="3" max="3" width="12.140625" style="432" customWidth="1"/>
    <col min="4" max="4" width="9.85546875" style="432" customWidth="1"/>
    <col min="5" max="5" width="10.42578125" style="432" customWidth="1"/>
    <col min="6" max="6" width="9.140625" style="432"/>
    <col min="7" max="7" width="11" style="432" customWidth="1"/>
    <col min="8" max="8" width="14.42578125" style="432" customWidth="1"/>
    <col min="9" max="9" width="10.140625" style="432" customWidth="1"/>
    <col min="10" max="16384" width="9.140625" style="432"/>
  </cols>
  <sheetData>
    <row r="1" spans="2:13" ht="15.75">
      <c r="B1" s="3752" t="s">
        <v>3483</v>
      </c>
      <c r="C1" s="3752"/>
      <c r="D1" s="3752"/>
      <c r="E1" s="3752"/>
      <c r="F1" s="3752"/>
      <c r="G1" s="3752"/>
      <c r="H1" s="3752"/>
      <c r="I1" s="3752"/>
    </row>
    <row r="2" spans="2:13" ht="15">
      <c r="B2" s="1042" t="s">
        <v>3471</v>
      </c>
      <c r="C2" s="616"/>
      <c r="D2" s="616"/>
      <c r="E2" s="616"/>
      <c r="F2" s="616"/>
      <c r="G2" s="616"/>
      <c r="H2" s="616"/>
      <c r="I2" s="616"/>
    </row>
    <row r="3" spans="2:13" ht="14.25">
      <c r="B3" s="1043" t="s">
        <v>3478</v>
      </c>
      <c r="C3" s="616"/>
      <c r="D3" s="616"/>
      <c r="E3" s="616"/>
      <c r="F3" s="616"/>
      <c r="G3" s="616"/>
      <c r="H3" s="616"/>
      <c r="I3" s="616"/>
    </row>
    <row r="4" spans="2:13">
      <c r="B4" s="3975" t="s">
        <v>2892</v>
      </c>
      <c r="C4" s="3975"/>
      <c r="D4" s="3975"/>
      <c r="E4" s="3981" t="s">
        <v>2893</v>
      </c>
      <c r="F4" s="3983"/>
      <c r="G4" s="3981" t="s">
        <v>574</v>
      </c>
      <c r="H4" s="3982"/>
      <c r="I4" s="3983"/>
      <c r="J4" s="1038" t="s">
        <v>2741</v>
      </c>
      <c r="K4" s="1038"/>
      <c r="L4" s="1038"/>
      <c r="M4" s="1038"/>
    </row>
    <row r="5" spans="2:13">
      <c r="B5" s="3976">
        <f>'Closing term sheet'!C8</f>
        <v>0</v>
      </c>
      <c r="C5" s="3977"/>
      <c r="D5" s="3977"/>
      <c r="E5" s="3987"/>
      <c r="F5" s="3988"/>
      <c r="G5" s="3984" t="str">
        <f>'Closing term sheet'!C28</f>
        <v>Harrison Village Apartments</v>
      </c>
      <c r="H5" s="3985"/>
      <c r="I5" s="3986"/>
    </row>
    <row r="6" spans="2:13" ht="4.5" customHeight="1">
      <c r="D6" s="1044"/>
      <c r="E6" s="1044"/>
      <c r="F6" s="1044"/>
      <c r="G6" s="1044"/>
      <c r="H6" s="1044"/>
      <c r="I6" s="1044"/>
    </row>
    <row r="7" spans="2:13">
      <c r="B7" s="3978" t="s">
        <v>2894</v>
      </c>
      <c r="C7" s="3978"/>
      <c r="H7" s="3979">
        <f>'Preview term'!E9</f>
        <v>0</v>
      </c>
      <c r="I7" s="3980"/>
    </row>
    <row r="8" spans="2:13" ht="4.5" customHeight="1"/>
    <row r="9" spans="2:13">
      <c r="B9" s="432" t="s">
        <v>2895</v>
      </c>
      <c r="E9" s="560" t="s">
        <v>3473</v>
      </c>
      <c r="I9" s="1045" t="str">
        <f>'Closing term sheet'!D12</f>
        <v>&lt;&lt;Select&gt;&gt;</v>
      </c>
    </row>
    <row r="10" spans="2:13" ht="7.5" customHeight="1"/>
    <row r="11" spans="2:13" ht="14.25">
      <c r="B11" s="605" t="s">
        <v>3470</v>
      </c>
      <c r="D11" s="610"/>
    </row>
    <row r="12" spans="2:13">
      <c r="B12" s="1046" t="s">
        <v>2896</v>
      </c>
      <c r="C12" s="1047"/>
      <c r="D12" s="1047"/>
      <c r="E12" s="1047"/>
      <c r="F12" s="1047"/>
      <c r="G12" s="1047"/>
      <c r="H12" s="1047"/>
      <c r="I12" s="1048" t="s">
        <v>1647</v>
      </c>
    </row>
    <row r="13" spans="2:13">
      <c r="B13" s="1049"/>
      <c r="C13" s="1050"/>
      <c r="E13" s="560" t="s">
        <v>2897</v>
      </c>
      <c r="I13" s="1051"/>
    </row>
    <row r="14" spans="2:13" ht="7.5" customHeight="1">
      <c r="B14" s="1049"/>
      <c r="F14" s="610"/>
      <c r="I14" s="1051"/>
    </row>
    <row r="15" spans="2:13">
      <c r="B15" s="1049" t="s">
        <v>2990</v>
      </c>
      <c r="I15" s="1052"/>
    </row>
    <row r="16" spans="2:13">
      <c r="B16" s="1053" t="s">
        <v>3474</v>
      </c>
      <c r="E16" s="523" t="s">
        <v>3061</v>
      </c>
      <c r="I16" s="1052"/>
    </row>
    <row r="17" spans="2:9" ht="7.5" customHeight="1">
      <c r="B17" s="1049"/>
      <c r="I17" s="1051"/>
    </row>
    <row r="18" spans="2:9">
      <c r="B18" s="1049" t="s">
        <v>2898</v>
      </c>
      <c r="I18" s="1054" t="s">
        <v>1647</v>
      </c>
    </row>
    <row r="19" spans="2:9">
      <c r="B19" s="1053" t="s">
        <v>3475</v>
      </c>
      <c r="I19" s="1055"/>
    </row>
    <row r="20" spans="2:9" ht="7.5" customHeight="1">
      <c r="B20" s="1049"/>
      <c r="I20" s="1055"/>
    </row>
    <row r="21" spans="2:9">
      <c r="B21" s="1049" t="s">
        <v>3472</v>
      </c>
      <c r="I21" s="1052"/>
    </row>
    <row r="22" spans="2:9">
      <c r="B22" s="1053" t="s">
        <v>3476</v>
      </c>
      <c r="I22" s="1055"/>
    </row>
    <row r="23" spans="2:9" ht="3" customHeight="1">
      <c r="B23" s="1056"/>
      <c r="C23" s="1057"/>
      <c r="D23" s="1057"/>
      <c r="E23" s="1057"/>
      <c r="F23" s="1057"/>
      <c r="G23" s="1057"/>
      <c r="H23" s="1057"/>
      <c r="I23" s="1058"/>
    </row>
    <row r="24" spans="2:9" ht="7.5" customHeight="1"/>
    <row r="25" spans="2:9" ht="15" customHeight="1">
      <c r="B25" s="605" t="s">
        <v>3477</v>
      </c>
    </row>
    <row r="26" spans="2:9" ht="3" customHeight="1">
      <c r="B26" s="1046"/>
      <c r="C26" s="1047"/>
      <c r="D26" s="1047"/>
      <c r="E26" s="1047"/>
      <c r="F26" s="1047"/>
      <c r="G26" s="1047"/>
      <c r="H26" s="1047"/>
      <c r="I26" s="1059"/>
    </row>
    <row r="27" spans="2:9">
      <c r="B27" s="1049" t="s">
        <v>2899</v>
      </c>
      <c r="D27" s="1060">
        <v>2</v>
      </c>
      <c r="G27" s="432" t="s">
        <v>2900</v>
      </c>
      <c r="I27" s="1054">
        <v>2</v>
      </c>
    </row>
    <row r="28" spans="2:9">
      <c r="B28" s="1049"/>
      <c r="C28" s="523" t="s">
        <v>2901</v>
      </c>
      <c r="D28" s="523"/>
      <c r="E28" s="523"/>
      <c r="F28" s="523"/>
      <c r="H28" s="523" t="s">
        <v>2902</v>
      </c>
      <c r="I28" s="1051"/>
    </row>
    <row r="29" spans="2:9">
      <c r="B29" s="1049"/>
      <c r="C29" s="523" t="s">
        <v>2903</v>
      </c>
      <c r="D29" s="523"/>
      <c r="E29" s="523"/>
      <c r="F29" s="523"/>
      <c r="H29" s="523" t="s">
        <v>2904</v>
      </c>
      <c r="I29" s="1051"/>
    </row>
    <row r="30" spans="2:9">
      <c r="B30" s="1049"/>
      <c r="C30" s="523" t="s">
        <v>2905</v>
      </c>
      <c r="D30" s="523"/>
      <c r="E30" s="523"/>
      <c r="F30" s="523"/>
      <c r="H30" s="523" t="s">
        <v>2906</v>
      </c>
      <c r="I30" s="1051"/>
    </row>
    <row r="31" spans="2:9" ht="3" customHeight="1">
      <c r="B31" s="1056"/>
      <c r="C31" s="1057"/>
      <c r="D31" s="1057"/>
      <c r="E31" s="1057"/>
      <c r="F31" s="1057"/>
      <c r="G31" s="1057"/>
      <c r="H31" s="1057"/>
      <c r="I31" s="1058"/>
    </row>
    <row r="32" spans="2:9" ht="7.5" customHeight="1"/>
    <row r="33" spans="2:9" ht="15" customHeight="1">
      <c r="B33" s="605" t="s">
        <v>3479</v>
      </c>
    </row>
    <row r="34" spans="2:9" ht="3" customHeight="1">
      <c r="B34" s="1046"/>
      <c r="C34" s="1047"/>
      <c r="D34" s="1047"/>
      <c r="E34" s="1047"/>
      <c r="F34" s="1047"/>
      <c r="G34" s="1047"/>
      <c r="H34" s="1047"/>
      <c r="I34" s="1059"/>
    </row>
    <row r="35" spans="2:9">
      <c r="B35" s="1049" t="s">
        <v>3482</v>
      </c>
      <c r="F35" s="736"/>
      <c r="H35" s="3917" t="s">
        <v>3491</v>
      </c>
      <c r="I35" s="3962"/>
    </row>
    <row r="36" spans="2:9">
      <c r="B36" s="1061" t="s">
        <v>3490</v>
      </c>
      <c r="C36" s="523"/>
      <c r="D36" s="523"/>
      <c r="F36" s="1260"/>
      <c r="G36" s="617"/>
      <c r="H36" s="3917"/>
      <c r="I36" s="3962"/>
    </row>
    <row r="37" spans="2:9">
      <c r="B37" s="1061" t="s">
        <v>3488</v>
      </c>
      <c r="D37" s="523"/>
      <c r="F37" s="1261"/>
      <c r="G37" s="617"/>
      <c r="H37" s="3917"/>
      <c r="I37" s="3962"/>
    </row>
    <row r="38" spans="2:9">
      <c r="B38" s="1061" t="s">
        <v>3489</v>
      </c>
      <c r="F38" s="1261"/>
      <c r="G38" s="617"/>
      <c r="H38" s="617"/>
      <c r="I38" s="1062"/>
    </row>
    <row r="39" spans="2:9" ht="12.75" customHeight="1">
      <c r="B39" s="1061" t="s">
        <v>3487</v>
      </c>
      <c r="F39" s="1261"/>
      <c r="G39" s="617"/>
      <c r="H39" s="617"/>
      <c r="I39" s="1062"/>
    </row>
    <row r="40" spans="2:9">
      <c r="B40" s="1063" t="s">
        <v>3486</v>
      </c>
      <c r="E40" s="614"/>
      <c r="F40" s="1261"/>
      <c r="G40" s="614"/>
      <c r="H40" s="1259"/>
      <c r="I40" s="1051"/>
    </row>
    <row r="41" spans="2:9">
      <c r="B41" s="1063" t="s">
        <v>3485</v>
      </c>
      <c r="F41" s="1261"/>
      <c r="I41" s="1051"/>
    </row>
    <row r="42" spans="2:9">
      <c r="B42" s="1063" t="s">
        <v>3484</v>
      </c>
      <c r="C42" s="1064"/>
      <c r="D42" s="1064"/>
      <c r="F42" s="1262"/>
      <c r="I42" s="1051"/>
    </row>
    <row r="43" spans="2:9" ht="3" customHeight="1">
      <c r="B43" s="1056"/>
      <c r="C43" s="1057"/>
      <c r="D43" s="1057"/>
      <c r="E43" s="1057"/>
      <c r="F43" s="1057"/>
      <c r="G43" s="1057"/>
      <c r="H43" s="1057"/>
      <c r="I43" s="1058"/>
    </row>
    <row r="44" spans="2:9" ht="7.5" customHeight="1"/>
    <row r="45" spans="2:9" ht="15" customHeight="1">
      <c r="B45" s="605" t="s">
        <v>3481</v>
      </c>
    </row>
    <row r="46" spans="2:9" ht="3" customHeight="1">
      <c r="B46" s="1046"/>
      <c r="C46" s="1047"/>
      <c r="D46" s="1047"/>
      <c r="E46" s="1047"/>
      <c r="F46" s="1047"/>
      <c r="G46" s="1047"/>
      <c r="H46" s="1047"/>
      <c r="I46" s="1059"/>
    </row>
    <row r="47" spans="2:9">
      <c r="B47" s="1049" t="s">
        <v>3480</v>
      </c>
      <c r="D47" s="1065"/>
      <c r="E47" s="1066" t="e">
        <f>'Sensitivity Analysis Reversed'!H7</f>
        <v>#REF!</v>
      </c>
      <c r="F47" s="439" t="s">
        <v>3492</v>
      </c>
      <c r="I47" s="1051"/>
    </row>
    <row r="48" spans="2:9">
      <c r="B48" s="1053" t="s">
        <v>2907</v>
      </c>
      <c r="C48" s="523"/>
      <c r="D48" s="523" t="s">
        <v>2908</v>
      </c>
      <c r="F48" s="3969">
        <f>'Closing term sheet'!$C$30</f>
        <v>0</v>
      </c>
      <c r="G48" s="3970"/>
      <c r="H48" s="3970"/>
      <c r="I48" s="3971"/>
    </row>
    <row r="49" spans="2:9">
      <c r="B49" s="1053" t="s">
        <v>2909</v>
      </c>
      <c r="D49" s="523" t="s">
        <v>2910</v>
      </c>
      <c r="F49" s="3972"/>
      <c r="G49" s="3973"/>
      <c r="H49" s="3973"/>
      <c r="I49" s="3974"/>
    </row>
    <row r="50" spans="2:9">
      <c r="B50" s="1053" t="s">
        <v>2911</v>
      </c>
      <c r="F50" s="1044"/>
      <c r="G50" s="1044"/>
      <c r="H50" s="1044"/>
      <c r="I50" s="1067"/>
    </row>
    <row r="51" spans="2:9" ht="7.5" customHeight="1">
      <c r="B51" s="1049"/>
      <c r="I51" s="1051"/>
    </row>
    <row r="52" spans="2:9">
      <c r="B52" s="1068" t="s">
        <v>3493</v>
      </c>
      <c r="C52" s="3991" t="str">
        <f>'Part I-Project Identification'!F30</f>
        <v>Gainesville</v>
      </c>
      <c r="D52" s="3992"/>
      <c r="E52" s="610" t="s">
        <v>3494</v>
      </c>
      <c r="F52" s="1045" t="s">
        <v>791</v>
      </c>
      <c r="G52" s="610" t="s">
        <v>3495</v>
      </c>
      <c r="H52" s="1069" t="e">
        <f>'Part I-Project Identification'!#REF!</f>
        <v>#REF!</v>
      </c>
      <c r="I52" s="1051"/>
    </row>
    <row r="53" spans="2:9">
      <c r="B53" s="1068" t="s">
        <v>3657</v>
      </c>
      <c r="D53" s="1070" t="e">
        <f>VLOOKUP("='Part I-Project Information'!$J$39",'DCA Underwriting Assumptions'!$G$136:$O$295,9)</f>
        <v>#N/A</v>
      </c>
      <c r="I53" s="1051"/>
    </row>
    <row r="54" spans="2:9">
      <c r="B54" s="1068" t="s">
        <v>3658</v>
      </c>
      <c r="I54" s="1051"/>
    </row>
    <row r="55" spans="2:9">
      <c r="B55" s="1063" t="s">
        <v>3659</v>
      </c>
      <c r="D55" s="1060" t="e">
        <f>'Closing term sheet'!$D$33</f>
        <v>#VALUE!</v>
      </c>
      <c r="E55" s="1064"/>
      <c r="F55" s="560" t="s">
        <v>2912</v>
      </c>
      <c r="I55" s="1051"/>
    </row>
    <row r="56" spans="2:9">
      <c r="B56" s="1063" t="s">
        <v>3661</v>
      </c>
      <c r="D56" s="1071">
        <f>'Closing term sheet'!$D$63</f>
        <v>24830535</v>
      </c>
      <c r="E56" s="1072"/>
      <c r="F56" s="560" t="s">
        <v>2913</v>
      </c>
      <c r="I56" s="1051"/>
    </row>
    <row r="57" spans="2:9">
      <c r="B57" s="1061" t="s">
        <v>3660</v>
      </c>
      <c r="D57" s="1073"/>
      <c r="F57" s="560" t="s">
        <v>2914</v>
      </c>
      <c r="I57" s="1051"/>
    </row>
    <row r="58" spans="2:9" ht="7.5" customHeight="1">
      <c r="B58" s="1056"/>
      <c r="C58" s="1057"/>
      <c r="D58" s="1057"/>
      <c r="E58" s="1057"/>
      <c r="F58" s="1057"/>
      <c r="G58" s="1057"/>
      <c r="H58" s="1057"/>
      <c r="I58" s="1058"/>
    </row>
    <row r="59" spans="2:9" ht="15" customHeight="1"/>
    <row r="60" spans="2:9" ht="7.5" customHeight="1">
      <c r="B60" s="1046"/>
      <c r="C60" s="1047"/>
      <c r="D60" s="1047"/>
      <c r="E60" s="1047"/>
      <c r="F60" s="1047"/>
      <c r="G60" s="1047"/>
      <c r="H60" s="1047"/>
      <c r="I60" s="1059"/>
    </row>
    <row r="61" spans="2:9">
      <c r="B61" s="3995" t="s">
        <v>2915</v>
      </c>
      <c r="C61" s="3796"/>
      <c r="D61" s="3796"/>
      <c r="E61" s="3796"/>
      <c r="F61" s="3796"/>
      <c r="G61" s="3796"/>
      <c r="H61" s="3796"/>
      <c r="I61" s="3996"/>
    </row>
    <row r="62" spans="2:9" ht="7.5" customHeight="1">
      <c r="B62" s="3993"/>
      <c r="C62" s="3795"/>
      <c r="D62" s="3795"/>
      <c r="G62" s="1074"/>
      <c r="I62" s="1051"/>
    </row>
    <row r="63" spans="2:9">
      <c r="B63" s="1068" t="s">
        <v>2917</v>
      </c>
      <c r="D63" s="1060">
        <v>4</v>
      </c>
      <c r="G63" s="3978" t="s">
        <v>2916</v>
      </c>
      <c r="H63" s="3978"/>
      <c r="I63" s="3994"/>
    </row>
    <row r="64" spans="2:9">
      <c r="B64" s="1049"/>
      <c r="C64" s="523" t="s">
        <v>2920</v>
      </c>
      <c r="D64" s="523" t="s">
        <v>2921</v>
      </c>
      <c r="G64" s="620" t="s">
        <v>2918</v>
      </c>
      <c r="I64" s="1075" t="e">
        <f>'Closing term sheet'!$D$35</f>
        <v>#VALUE!</v>
      </c>
    </row>
    <row r="65" spans="2:9">
      <c r="B65" s="1049"/>
      <c r="C65" s="523" t="s">
        <v>2922</v>
      </c>
      <c r="D65" s="523" t="s">
        <v>2923</v>
      </c>
      <c r="G65" s="1076" t="s">
        <v>2919</v>
      </c>
      <c r="I65" s="1075">
        <f>C42</f>
        <v>0</v>
      </c>
    </row>
    <row r="66" spans="2:9">
      <c r="B66" s="1053"/>
      <c r="C66" s="523" t="s">
        <v>2924</v>
      </c>
      <c r="E66" s="523"/>
      <c r="I66" s="1077"/>
    </row>
    <row r="67" spans="2:9" ht="7.5" customHeight="1">
      <c r="B67" s="1056"/>
      <c r="C67" s="1057"/>
      <c r="D67" s="1057"/>
      <c r="E67" s="1057"/>
      <c r="F67" s="1057"/>
      <c r="G67" s="1057"/>
      <c r="H67" s="1057"/>
      <c r="I67" s="1058"/>
    </row>
    <row r="68" spans="2:9" ht="15" customHeight="1"/>
    <row r="69" spans="2:9" ht="7.5" customHeight="1">
      <c r="B69" s="1046"/>
      <c r="C69" s="1047"/>
      <c r="D69" s="1047"/>
      <c r="E69" s="1047"/>
      <c r="F69" s="1047"/>
      <c r="G69" s="1047"/>
      <c r="H69" s="1047"/>
      <c r="I69" s="1059"/>
    </row>
    <row r="70" spans="2:9">
      <c r="B70" s="1049" t="s">
        <v>2925</v>
      </c>
      <c r="I70" s="1051"/>
    </row>
    <row r="71" spans="2:9" ht="7.5" customHeight="1">
      <c r="B71" s="1049"/>
      <c r="I71" s="1051"/>
    </row>
    <row r="72" spans="2:9">
      <c r="B72" s="1049" t="s">
        <v>2926</v>
      </c>
      <c r="I72" s="1065"/>
    </row>
    <row r="73" spans="2:9" ht="7.5" customHeight="1">
      <c r="B73" s="1049"/>
      <c r="I73" s="1051"/>
    </row>
    <row r="74" spans="2:9">
      <c r="B74" s="1049" t="s">
        <v>2927</v>
      </c>
      <c r="F74" s="432" t="s">
        <v>2991</v>
      </c>
      <c r="I74" s="1065"/>
    </row>
    <row r="75" spans="2:9">
      <c r="B75" s="1049"/>
      <c r="F75" s="432" t="s">
        <v>2992</v>
      </c>
      <c r="I75" s="1065"/>
    </row>
    <row r="76" spans="2:9">
      <c r="B76" s="1049"/>
      <c r="F76" s="432" t="s">
        <v>2993</v>
      </c>
      <c r="I76" s="1065"/>
    </row>
    <row r="77" spans="2:9">
      <c r="B77" s="1049"/>
      <c r="F77" s="432" t="s">
        <v>2994</v>
      </c>
      <c r="I77" s="1065"/>
    </row>
    <row r="78" spans="2:9" ht="7.5" customHeight="1">
      <c r="B78" s="1056"/>
      <c r="C78" s="1057"/>
      <c r="D78" s="1057"/>
      <c r="E78" s="1057"/>
      <c r="F78" s="1057"/>
      <c r="G78" s="1057"/>
      <c r="H78" s="1057"/>
      <c r="I78" s="1058"/>
    </row>
    <row r="79" spans="2:9" ht="7.5" customHeight="1"/>
    <row r="80" spans="2:9">
      <c r="B80" s="1046"/>
      <c r="C80" s="1047"/>
      <c r="D80" s="1047"/>
      <c r="E80" s="1047"/>
      <c r="F80" s="1047"/>
      <c r="G80" s="1047"/>
      <c r="H80" s="1047"/>
      <c r="I80" s="1059"/>
    </row>
    <row r="81" spans="2:9">
      <c r="B81" s="3995" t="s">
        <v>2928</v>
      </c>
      <c r="C81" s="3796"/>
      <c r="D81" s="3796"/>
      <c r="E81" s="3796"/>
      <c r="F81" s="3796"/>
      <c r="G81" s="3796"/>
      <c r="H81" s="3796"/>
      <c r="I81" s="3996"/>
    </row>
    <row r="82" spans="2:9">
      <c r="B82" s="1049"/>
      <c r="I82" s="1051"/>
    </row>
    <row r="83" spans="2:9">
      <c r="B83" s="1049" t="s">
        <v>2929</v>
      </c>
      <c r="I83" s="1051"/>
    </row>
    <row r="84" spans="2:9">
      <c r="B84" s="1049"/>
      <c r="C84" s="432" t="s">
        <v>2930</v>
      </c>
      <c r="F84" s="3966">
        <f>'Closing term sheet'!D63</f>
        <v>24830535</v>
      </c>
      <c r="G84" s="3966"/>
      <c r="I84" s="1051"/>
    </row>
    <row r="85" spans="2:9">
      <c r="B85" s="1049"/>
      <c r="C85" s="432" t="s">
        <v>2931</v>
      </c>
      <c r="F85" s="3990" t="e">
        <f>'Part II-Sources of Funds'!I47+'Part II-Sources of Funds'!L47</f>
        <v>#VALUE!</v>
      </c>
      <c r="G85" s="3990"/>
      <c r="I85" s="1051"/>
    </row>
    <row r="86" spans="2:9">
      <c r="B86" s="1049"/>
      <c r="C86" s="432" t="s">
        <v>2932</v>
      </c>
      <c r="F86" s="3989"/>
      <c r="G86" s="3989"/>
      <c r="I86" s="1051"/>
    </row>
    <row r="87" spans="2:9">
      <c r="B87" s="1049"/>
      <c r="C87" s="523" t="s">
        <v>2933</v>
      </c>
      <c r="F87" s="3990">
        <v>11000</v>
      </c>
      <c r="G87" s="3990"/>
      <c r="I87" s="1051"/>
    </row>
    <row r="88" spans="2:9">
      <c r="B88" s="1049"/>
      <c r="C88" s="432" t="s">
        <v>2934</v>
      </c>
      <c r="F88" s="3968"/>
      <c r="G88" s="3968"/>
      <c r="I88" s="1051"/>
    </row>
    <row r="89" spans="2:9">
      <c r="B89" s="1049"/>
      <c r="C89" s="560" t="s">
        <v>2935</v>
      </c>
      <c r="F89" s="3964" t="e">
        <f>SUM(F84:G88)</f>
        <v>#VALUE!</v>
      </c>
      <c r="G89" s="3964"/>
      <c r="I89" s="1051"/>
    </row>
    <row r="90" spans="2:9">
      <c r="B90" s="1049"/>
      <c r="F90" s="3965"/>
      <c r="G90" s="3965"/>
      <c r="I90" s="1051"/>
    </row>
    <row r="91" spans="2:9">
      <c r="B91" s="1049" t="s">
        <v>2936</v>
      </c>
      <c r="I91" s="1051"/>
    </row>
    <row r="92" spans="2:9">
      <c r="B92" s="1049"/>
      <c r="C92" s="432" t="s">
        <v>2937</v>
      </c>
      <c r="F92" s="3966"/>
      <c r="G92" s="3966"/>
      <c r="I92" s="1051"/>
    </row>
    <row r="93" spans="2:9">
      <c r="B93" s="1049"/>
      <c r="C93" s="432" t="s">
        <v>2938</v>
      </c>
      <c r="F93" s="3967"/>
      <c r="G93" s="3967"/>
      <c r="I93" s="1051"/>
    </row>
    <row r="94" spans="2:9">
      <c r="B94" s="1049"/>
      <c r="C94" s="432" t="s">
        <v>2939</v>
      </c>
      <c r="F94" s="3963" t="s">
        <v>2816</v>
      </c>
      <c r="G94" s="3963"/>
      <c r="I94" s="1051"/>
    </row>
    <row r="95" spans="2:9">
      <c r="B95" s="1049"/>
      <c r="C95" s="560" t="s">
        <v>2940</v>
      </c>
      <c r="F95" s="3964">
        <f>+SUM(F92:G94)</f>
        <v>0</v>
      </c>
      <c r="G95" s="3964"/>
      <c r="I95" s="1051"/>
    </row>
    <row r="96" spans="2:9">
      <c r="B96" s="1049"/>
      <c r="I96" s="1051"/>
    </row>
    <row r="97" spans="2:9">
      <c r="B97" s="1049" t="s">
        <v>2941</v>
      </c>
      <c r="I97" s="1051"/>
    </row>
    <row r="98" spans="2:9">
      <c r="B98" s="1049"/>
      <c r="C98" s="432" t="s">
        <v>2942</v>
      </c>
      <c r="F98" s="3966"/>
      <c r="G98" s="3966"/>
      <c r="I98" s="1051"/>
    </row>
    <row r="99" spans="2:9">
      <c r="B99" s="1049"/>
      <c r="C99" s="432" t="s">
        <v>2943</v>
      </c>
      <c r="F99" s="3967"/>
      <c r="G99" s="3967"/>
      <c r="I99" s="1051"/>
    </row>
    <row r="100" spans="2:9">
      <c r="B100" s="1049"/>
      <c r="C100" s="432" t="s">
        <v>2944</v>
      </c>
      <c r="F100" s="3968"/>
      <c r="G100" s="3968"/>
      <c r="I100" s="1051"/>
    </row>
    <row r="101" spans="2:9">
      <c r="B101" s="1049"/>
      <c r="C101" s="560" t="s">
        <v>2945</v>
      </c>
      <c r="F101" s="3964">
        <f>+SUM(F98:G100)</f>
        <v>0</v>
      </c>
      <c r="G101" s="3964"/>
      <c r="I101" s="1051"/>
    </row>
    <row r="102" spans="2:9">
      <c r="B102" s="1049"/>
      <c r="I102" s="1051"/>
    </row>
    <row r="103" spans="2:9">
      <c r="B103" s="1068" t="s">
        <v>2946</v>
      </c>
      <c r="F103" s="3963">
        <f>'Part II-Sources of Funds'!I48+'Part II-Sources of Funds'!I49</f>
        <v>0</v>
      </c>
      <c r="G103" s="3963"/>
      <c r="I103" s="1051"/>
    </row>
    <row r="104" spans="2:9">
      <c r="B104" s="1049"/>
      <c r="I104" s="1078" t="s">
        <v>2947</v>
      </c>
    </row>
    <row r="105" spans="2:9">
      <c r="B105" s="1049" t="s">
        <v>2948</v>
      </c>
      <c r="F105" s="3963" t="e">
        <f>+F103+F101+F95+F89</f>
        <v>#VALUE!</v>
      </c>
      <c r="G105" s="3963"/>
      <c r="I105" s="1051"/>
    </row>
    <row r="106" spans="2:9">
      <c r="B106" s="1056"/>
      <c r="C106" s="1057"/>
      <c r="D106" s="1057"/>
      <c r="E106" s="1057"/>
      <c r="F106" s="1057"/>
      <c r="G106" s="1057"/>
      <c r="H106" s="1057"/>
      <c r="I106" s="1058"/>
    </row>
    <row r="108" spans="2:9">
      <c r="C108" s="1079" t="s">
        <v>2652</v>
      </c>
    </row>
    <row r="109" spans="2:9">
      <c r="C109" s="1079" t="s">
        <v>2655</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W15" sqref="W15"/>
    </sheetView>
  </sheetViews>
  <sheetFormatPr defaultColWidth="8.85546875" defaultRowHeight="15.75"/>
  <cols>
    <col min="1" max="1" width="2.140625" style="809" customWidth="1"/>
    <col min="2" max="13" width="7.85546875" style="809" customWidth="1"/>
    <col min="14" max="15" width="5.85546875" style="809" customWidth="1"/>
    <col min="16" max="16384" width="8.85546875" style="809"/>
  </cols>
  <sheetData>
    <row r="1" spans="1:26" ht="18">
      <c r="N1" s="810" t="s">
        <v>1403</v>
      </c>
      <c r="O1" s="810"/>
      <c r="P1" s="810"/>
      <c r="Q1" s="810"/>
      <c r="R1" s="810"/>
      <c r="S1" s="810"/>
      <c r="T1" s="810"/>
      <c r="U1" s="810"/>
      <c r="V1" s="810"/>
      <c r="W1" s="810"/>
      <c r="X1" s="810"/>
      <c r="Y1" s="810"/>
      <c r="Z1" s="810"/>
    </row>
    <row r="2" spans="1:26">
      <c r="N2" s="811" t="s">
        <v>1404</v>
      </c>
      <c r="O2" s="811"/>
      <c r="P2" s="811"/>
      <c r="Q2" s="811"/>
      <c r="R2" s="811"/>
      <c r="S2" s="811"/>
      <c r="T2" s="811"/>
      <c r="U2" s="811"/>
      <c r="V2" s="811"/>
      <c r="W2" s="811"/>
      <c r="X2" s="811"/>
      <c r="Y2" s="811"/>
      <c r="Z2" s="811"/>
    </row>
    <row r="3" spans="1:26">
      <c r="N3" s="812" t="s">
        <v>1405</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005" t="s">
        <v>2483</v>
      </c>
      <c r="B5" s="4005"/>
      <c r="C5" s="4005"/>
      <c r="D5" s="4005"/>
      <c r="E5" s="4005"/>
      <c r="F5" s="4005"/>
      <c r="G5" s="4005"/>
      <c r="H5" s="4005"/>
      <c r="I5" s="4005"/>
      <c r="J5" s="4005"/>
      <c r="K5" s="4005"/>
      <c r="L5" s="4005"/>
      <c r="M5" s="4005"/>
    </row>
    <row r="6" spans="1:26" ht="11.4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45" customHeight="1">
      <c r="A8" s="813"/>
      <c r="B8" s="813"/>
      <c r="C8" s="813"/>
      <c r="D8" s="813"/>
      <c r="E8" s="813"/>
      <c r="F8" s="813"/>
      <c r="G8" s="813"/>
      <c r="H8" s="813"/>
      <c r="I8" s="813"/>
      <c r="J8" s="813"/>
      <c r="K8" s="813"/>
      <c r="L8" s="813"/>
      <c r="M8" s="813"/>
    </row>
    <row r="9" spans="1:26" ht="16.5">
      <c r="A9" s="4001" t="s">
        <v>1767</v>
      </c>
      <c r="B9" s="4001"/>
      <c r="C9" s="4001"/>
      <c r="D9" s="4001"/>
      <c r="E9" s="4001"/>
      <c r="F9" s="4001"/>
      <c r="G9" s="4001"/>
      <c r="H9" s="4001"/>
      <c r="I9" s="4001"/>
      <c r="J9" s="4001"/>
      <c r="K9" s="4001"/>
      <c r="L9" s="4001"/>
      <c r="M9" s="4001"/>
    </row>
    <row r="10" spans="1:26" ht="6.75" customHeight="1">
      <c r="A10" s="4001"/>
      <c r="B10" s="4001"/>
      <c r="C10" s="4001"/>
      <c r="D10" s="4001"/>
      <c r="E10" s="4001"/>
      <c r="F10" s="4001"/>
      <c r="G10" s="4001"/>
      <c r="H10" s="4001"/>
      <c r="I10" s="4001"/>
      <c r="J10" s="4001"/>
      <c r="K10" s="4001"/>
      <c r="L10" s="4001"/>
      <c r="M10" s="4001"/>
    </row>
    <row r="11" spans="1:26" ht="44.25" customHeight="1">
      <c r="A11" s="4006" t="s">
        <v>6515</v>
      </c>
      <c r="B11" s="4006"/>
      <c r="C11" s="4006"/>
      <c r="D11" s="4006"/>
      <c r="E11" s="4006"/>
      <c r="F11" s="4006"/>
      <c r="G11" s="4006"/>
      <c r="H11" s="4006"/>
      <c r="I11" s="4006"/>
      <c r="J11" s="4006"/>
      <c r="K11" s="4006"/>
      <c r="L11" s="4006"/>
      <c r="M11" s="4006"/>
    </row>
    <row r="12" spans="1:26" ht="3" customHeight="1">
      <c r="A12" s="4001"/>
      <c r="B12" s="4001"/>
      <c r="C12" s="4001"/>
      <c r="D12" s="4001"/>
      <c r="E12" s="4001"/>
      <c r="F12" s="4001"/>
      <c r="G12" s="4001"/>
      <c r="H12" s="4001"/>
      <c r="I12" s="4001"/>
      <c r="J12" s="4001"/>
      <c r="K12" s="4001"/>
      <c r="L12" s="4001"/>
      <c r="M12" s="4001"/>
    </row>
    <row r="13" spans="1:26" ht="101.25" customHeight="1">
      <c r="A13" s="815" t="s">
        <v>1615</v>
      </c>
      <c r="B13" s="4003" t="s">
        <v>3192</v>
      </c>
      <c r="C13" s="4003"/>
      <c r="D13" s="4003"/>
      <c r="E13" s="4003"/>
      <c r="F13" s="4003"/>
      <c r="G13" s="4003"/>
      <c r="H13" s="4003"/>
      <c r="I13" s="4003"/>
      <c r="J13" s="4003"/>
      <c r="K13" s="4003"/>
      <c r="L13" s="4003"/>
      <c r="M13" s="4003"/>
      <c r="U13" s="809" t="s">
        <v>6279</v>
      </c>
    </row>
    <row r="14" spans="1:26" ht="47.25" customHeight="1">
      <c r="A14" s="815" t="s">
        <v>1616</v>
      </c>
      <c r="B14" s="4003" t="s">
        <v>3193</v>
      </c>
      <c r="C14" s="4003"/>
      <c r="D14" s="4003"/>
      <c r="E14" s="4003"/>
      <c r="F14" s="4003"/>
      <c r="G14" s="4003"/>
      <c r="H14" s="4003"/>
      <c r="I14" s="4003"/>
      <c r="J14" s="4003"/>
      <c r="K14" s="4003"/>
      <c r="L14" s="4003"/>
      <c r="M14" s="4003"/>
    </row>
    <row r="15" spans="1:26" ht="117" customHeight="1">
      <c r="A15" s="815" t="s">
        <v>1617</v>
      </c>
      <c r="B15" s="4003" t="s">
        <v>3194</v>
      </c>
      <c r="C15" s="4003"/>
      <c r="D15" s="4003"/>
      <c r="E15" s="4003"/>
      <c r="F15" s="4003"/>
      <c r="G15" s="4003"/>
      <c r="H15" s="4003"/>
      <c r="I15" s="4003"/>
      <c r="J15" s="4003"/>
      <c r="K15" s="4003"/>
      <c r="L15" s="4003"/>
      <c r="M15" s="4003"/>
    </row>
    <row r="16" spans="1:26" ht="147" customHeight="1">
      <c r="A16" s="815" t="s">
        <v>2183</v>
      </c>
      <c r="B16" s="4003" t="s">
        <v>3073</v>
      </c>
      <c r="C16" s="4003"/>
      <c r="D16" s="4003"/>
      <c r="E16" s="4003"/>
      <c r="F16" s="4003"/>
      <c r="G16" s="4003"/>
      <c r="H16" s="4003"/>
      <c r="I16" s="4003"/>
      <c r="J16" s="4003"/>
      <c r="K16" s="4003"/>
      <c r="L16" s="4003"/>
      <c r="M16" s="4003"/>
    </row>
    <row r="17" spans="1:13" ht="48.75" customHeight="1">
      <c r="A17" s="815" t="s">
        <v>1449</v>
      </c>
      <c r="B17" s="4003" t="s">
        <v>637</v>
      </c>
      <c r="C17" s="4003"/>
      <c r="D17" s="4003"/>
      <c r="E17" s="4003"/>
      <c r="F17" s="4003"/>
      <c r="G17" s="4003"/>
      <c r="H17" s="4003"/>
      <c r="I17" s="4003"/>
      <c r="J17" s="4003"/>
      <c r="K17" s="4003"/>
      <c r="L17" s="4003"/>
      <c r="M17" s="4003"/>
    </row>
    <row r="18" spans="1:13" ht="165" customHeight="1">
      <c r="A18" s="815" t="s">
        <v>1450</v>
      </c>
      <c r="B18" s="4003" t="s">
        <v>3072</v>
      </c>
      <c r="C18" s="4003"/>
      <c r="D18" s="4003"/>
      <c r="E18" s="4003"/>
      <c r="F18" s="4003"/>
      <c r="G18" s="4003"/>
      <c r="H18" s="4003"/>
      <c r="I18" s="4003"/>
      <c r="J18" s="4003"/>
      <c r="K18" s="4003"/>
      <c r="L18" s="4003"/>
      <c r="M18" s="4003"/>
    </row>
    <row r="19" spans="1:13" ht="48.75" customHeight="1">
      <c r="A19" s="815" t="s">
        <v>93</v>
      </c>
      <c r="B19" s="4004" t="s">
        <v>3195</v>
      </c>
      <c r="C19" s="4004"/>
      <c r="D19" s="4004"/>
      <c r="E19" s="4004"/>
      <c r="F19" s="4004"/>
      <c r="G19" s="4004"/>
      <c r="H19" s="4004"/>
      <c r="I19" s="4004"/>
      <c r="J19" s="4004"/>
      <c r="K19" s="4004"/>
      <c r="L19" s="4004"/>
      <c r="M19" s="4004"/>
    </row>
    <row r="20" spans="1:13" ht="50.25" customHeight="1">
      <c r="A20" s="815" t="s">
        <v>481</v>
      </c>
      <c r="B20" s="4003" t="s">
        <v>3074</v>
      </c>
      <c r="C20" s="4003"/>
      <c r="D20" s="4003"/>
      <c r="E20" s="4003"/>
      <c r="F20" s="4003"/>
      <c r="G20" s="4003"/>
      <c r="H20" s="4003"/>
      <c r="I20" s="4003"/>
      <c r="J20" s="4003"/>
      <c r="K20" s="4003"/>
      <c r="L20" s="4003"/>
      <c r="M20" s="4003"/>
    </row>
    <row r="21" spans="1:13" ht="31.5" customHeight="1">
      <c r="A21" s="815" t="s">
        <v>482</v>
      </c>
      <c r="B21" s="4003" t="s">
        <v>3091</v>
      </c>
      <c r="C21" s="4003"/>
      <c r="D21" s="4003"/>
      <c r="E21" s="4003"/>
      <c r="F21" s="4003"/>
      <c r="G21" s="4003"/>
      <c r="H21" s="4003"/>
      <c r="I21" s="4003"/>
      <c r="J21" s="4003"/>
      <c r="K21" s="4003"/>
      <c r="L21" s="4003"/>
      <c r="M21" s="4003"/>
    </row>
    <row r="22" spans="1:13" ht="1.5" customHeight="1">
      <c r="A22" s="4001"/>
      <c r="B22" s="4001"/>
      <c r="C22" s="4001"/>
      <c r="D22" s="4001"/>
      <c r="E22" s="4001"/>
      <c r="F22" s="4001"/>
      <c r="G22" s="4001"/>
      <c r="H22" s="4001"/>
      <c r="I22" s="4001"/>
      <c r="J22" s="4001"/>
      <c r="K22" s="4001"/>
      <c r="L22" s="4001"/>
      <c r="M22" s="4001"/>
    </row>
    <row r="23" spans="1:13" ht="3" customHeight="1">
      <c r="A23" s="4001"/>
      <c r="B23" s="4001"/>
      <c r="C23" s="4001"/>
      <c r="D23" s="4001"/>
      <c r="E23" s="4001"/>
      <c r="F23" s="4001"/>
      <c r="G23" s="4001"/>
      <c r="H23" s="4001"/>
      <c r="I23" s="4001"/>
      <c r="J23" s="4001"/>
      <c r="K23" s="4001"/>
      <c r="L23" s="4001"/>
      <c r="M23" s="4001"/>
    </row>
    <row r="24" spans="1:13" ht="13.5" customHeight="1">
      <c r="A24" s="4001" t="s">
        <v>1375</v>
      </c>
      <c r="B24" s="4001"/>
      <c r="C24" s="4001"/>
      <c r="D24" s="4001"/>
      <c r="E24" s="4001"/>
      <c r="F24" s="4001"/>
      <c r="G24" s="4001"/>
      <c r="H24" s="4001"/>
      <c r="I24" s="4001"/>
      <c r="J24" s="4001"/>
      <c r="K24" s="4001"/>
      <c r="L24" s="4001"/>
      <c r="M24" s="4001"/>
    </row>
    <row r="25" spans="1:13" ht="32.25" customHeight="1">
      <c r="A25" s="815" t="s">
        <v>1376</v>
      </c>
      <c r="B25" s="4003" t="s">
        <v>3092</v>
      </c>
      <c r="C25" s="4003"/>
      <c r="D25" s="4003"/>
      <c r="E25" s="4003"/>
      <c r="F25" s="4003"/>
      <c r="G25" s="4003"/>
      <c r="H25" s="4003"/>
      <c r="I25" s="4003"/>
      <c r="J25" s="4003"/>
      <c r="K25" s="4003"/>
      <c r="L25" s="4003"/>
      <c r="M25" s="4003"/>
    </row>
    <row r="26" spans="1:13" ht="31.5" customHeight="1">
      <c r="A26" s="815" t="s">
        <v>1376</v>
      </c>
      <c r="B26" s="4003" t="s">
        <v>3093</v>
      </c>
      <c r="C26" s="4003"/>
      <c r="D26" s="4003"/>
      <c r="E26" s="4003"/>
      <c r="F26" s="4003"/>
      <c r="G26" s="4003"/>
      <c r="H26" s="4003"/>
      <c r="I26" s="4003"/>
      <c r="J26" s="4003"/>
      <c r="K26" s="4003"/>
      <c r="L26" s="4003"/>
      <c r="M26" s="4003"/>
    </row>
    <row r="27" spans="1:13" ht="78.75" customHeight="1">
      <c r="A27" s="815" t="s">
        <v>1376</v>
      </c>
      <c r="B27" s="4003" t="s">
        <v>2484</v>
      </c>
      <c r="C27" s="4003"/>
      <c r="D27" s="4003"/>
      <c r="E27" s="4003"/>
      <c r="F27" s="4003"/>
      <c r="G27" s="4003"/>
      <c r="H27" s="4003"/>
      <c r="I27" s="4003"/>
      <c r="J27" s="4003"/>
      <c r="K27" s="4003"/>
      <c r="L27" s="4003"/>
      <c r="M27" s="4003"/>
    </row>
    <row r="28" spans="1:13" ht="7.5" customHeight="1">
      <c r="A28" s="4001"/>
      <c r="B28" s="4001"/>
      <c r="C28" s="4001"/>
      <c r="D28" s="4001"/>
      <c r="E28" s="4001"/>
      <c r="F28" s="4001"/>
      <c r="G28" s="4001"/>
      <c r="H28" s="4001"/>
      <c r="I28" s="4001"/>
      <c r="J28" s="4001"/>
      <c r="K28" s="4001"/>
      <c r="L28" s="4001"/>
      <c r="M28" s="4001"/>
    </row>
    <row r="29" spans="1:13" ht="43.5" customHeight="1">
      <c r="A29" s="4003" t="s">
        <v>887</v>
      </c>
      <c r="B29" s="4003"/>
      <c r="C29" s="4003"/>
      <c r="D29" s="4003"/>
      <c r="E29" s="4003"/>
      <c r="F29" s="4003"/>
      <c r="G29" s="4003"/>
      <c r="H29" s="4003"/>
      <c r="I29" s="4003"/>
      <c r="J29" s="4003"/>
      <c r="K29" s="4003"/>
      <c r="L29" s="4003"/>
      <c r="M29" s="4003"/>
    </row>
    <row r="30" spans="1:13" ht="3" customHeight="1">
      <c r="A30" s="4001"/>
      <c r="B30" s="4001"/>
      <c r="C30" s="4001"/>
      <c r="D30" s="4001"/>
      <c r="E30" s="4001"/>
      <c r="F30" s="4001"/>
      <c r="G30" s="4001"/>
      <c r="H30" s="4001"/>
      <c r="I30" s="4001"/>
      <c r="J30" s="4001"/>
      <c r="K30" s="4001"/>
      <c r="L30" s="4001"/>
      <c r="M30" s="4001"/>
    </row>
    <row r="31" spans="1:13" ht="32.25" customHeight="1">
      <c r="A31" s="4003" t="s">
        <v>2485</v>
      </c>
      <c r="B31" s="4003"/>
      <c r="C31" s="4003"/>
      <c r="D31" s="4003"/>
      <c r="E31" s="4003"/>
      <c r="F31" s="4003"/>
      <c r="G31" s="4003"/>
      <c r="H31" s="4003"/>
      <c r="I31" s="4003"/>
      <c r="J31" s="4003"/>
      <c r="K31" s="4003"/>
      <c r="L31" s="4003"/>
      <c r="M31" s="4003"/>
    </row>
    <row r="32" spans="1:13" ht="4.5" customHeight="1">
      <c r="A32" s="4001"/>
      <c r="B32" s="4001"/>
      <c r="C32" s="4001"/>
      <c r="D32" s="4001"/>
      <c r="E32" s="4001"/>
      <c r="F32" s="4001"/>
      <c r="G32" s="4001"/>
      <c r="H32" s="4001"/>
      <c r="I32" s="4001"/>
      <c r="J32" s="4001"/>
      <c r="K32" s="4001"/>
      <c r="L32" s="4001"/>
      <c r="M32" s="4001"/>
    </row>
    <row r="33" spans="1:13" ht="16.5">
      <c r="A33" s="4001" t="s">
        <v>864</v>
      </c>
      <c r="B33" s="4001"/>
      <c r="C33" s="4001"/>
      <c r="D33" s="4001"/>
      <c r="E33" s="4001"/>
      <c r="F33" s="4001"/>
      <c r="G33" s="4001"/>
      <c r="H33" s="4001"/>
      <c r="I33" s="4001"/>
      <c r="J33" s="4001"/>
      <c r="K33" s="4001"/>
      <c r="L33" s="4001"/>
      <c r="M33" s="4001"/>
    </row>
    <row r="34" spans="1:13" ht="6" customHeight="1">
      <c r="A34" s="835"/>
      <c r="B34" s="835"/>
      <c r="C34" s="835"/>
      <c r="D34" s="835"/>
      <c r="E34" s="835"/>
      <c r="F34" s="835"/>
      <c r="G34" s="835"/>
      <c r="H34" s="835"/>
      <c r="I34" s="835"/>
      <c r="J34" s="835"/>
      <c r="K34" s="835"/>
      <c r="L34" s="835"/>
      <c r="M34" s="835"/>
    </row>
    <row r="35" spans="1:13" ht="16.5">
      <c r="A35" s="4002"/>
      <c r="B35" s="4002"/>
      <c r="C35" s="4002"/>
      <c r="D35" s="4002"/>
      <c r="E35" s="4002"/>
      <c r="F35" s="4002"/>
      <c r="G35" s="813"/>
      <c r="H35" s="4002"/>
      <c r="I35" s="4002"/>
      <c r="J35" s="4002"/>
      <c r="K35" s="4002"/>
      <c r="L35" s="4002"/>
      <c r="M35" s="4002"/>
    </row>
    <row r="36" spans="1:13" ht="12" customHeight="1">
      <c r="A36" s="3999" t="s">
        <v>865</v>
      </c>
      <c r="B36" s="3999"/>
      <c r="C36" s="3999"/>
      <c r="D36" s="3999"/>
      <c r="E36" s="3999"/>
      <c r="F36" s="3999"/>
      <c r="G36" s="813"/>
      <c r="H36" s="3999" t="s">
        <v>1839</v>
      </c>
      <c r="I36" s="3999"/>
      <c r="J36" s="3999"/>
      <c r="K36" s="3999"/>
      <c r="L36" s="3999"/>
      <c r="M36" s="3999"/>
    </row>
    <row r="37" spans="1:13" ht="6" customHeight="1">
      <c r="A37" s="813"/>
      <c r="B37" s="813"/>
      <c r="C37" s="813"/>
      <c r="D37" s="813"/>
      <c r="E37" s="813"/>
      <c r="F37" s="813"/>
      <c r="G37" s="813"/>
      <c r="H37" s="813"/>
      <c r="I37" s="813"/>
      <c r="J37" s="813"/>
      <c r="K37" s="813"/>
      <c r="L37" s="813"/>
      <c r="M37" s="813"/>
    </row>
    <row r="38" spans="1:13" ht="16.5">
      <c r="A38" s="3997"/>
      <c r="B38" s="3997"/>
      <c r="C38" s="3997"/>
      <c r="D38" s="3997"/>
      <c r="E38" s="3997"/>
      <c r="F38" s="3997"/>
      <c r="G38" s="813"/>
      <c r="H38" s="3998"/>
      <c r="I38" s="3998"/>
      <c r="J38" s="3998"/>
      <c r="K38" s="3998"/>
      <c r="L38" s="3998"/>
      <c r="M38" s="3998"/>
    </row>
    <row r="39" spans="1:13" ht="12" customHeight="1">
      <c r="A39" s="3999" t="s">
        <v>866</v>
      </c>
      <c r="B39" s="3999"/>
      <c r="C39" s="3999"/>
      <c r="D39" s="3999"/>
      <c r="E39" s="3999"/>
      <c r="F39" s="3999"/>
      <c r="G39" s="813"/>
      <c r="H39" s="3999" t="s">
        <v>867</v>
      </c>
      <c r="I39" s="3999"/>
      <c r="J39" s="3999"/>
      <c r="K39" s="3999"/>
      <c r="L39" s="3999"/>
      <c r="M39" s="3999"/>
    </row>
    <row r="40" spans="1:13" ht="3" customHeight="1">
      <c r="A40" s="816"/>
      <c r="B40" s="816"/>
      <c r="C40" s="816"/>
      <c r="D40" s="816"/>
      <c r="E40" s="816"/>
      <c r="F40" s="816"/>
      <c r="G40" s="813"/>
      <c r="H40" s="816"/>
      <c r="I40" s="816"/>
      <c r="J40" s="816"/>
      <c r="K40" s="816"/>
      <c r="L40" s="816"/>
      <c r="M40" s="816"/>
    </row>
    <row r="41" spans="1:13" ht="11.45" customHeight="1">
      <c r="A41" s="813"/>
      <c r="B41" s="813"/>
      <c r="C41" s="813"/>
      <c r="D41" s="813"/>
      <c r="E41" s="813"/>
      <c r="F41" s="813"/>
      <c r="G41" s="813"/>
      <c r="H41" s="4000" t="s">
        <v>868</v>
      </c>
      <c r="I41" s="4000"/>
      <c r="J41" s="4000"/>
      <c r="K41" s="4000"/>
      <c r="L41" s="4000"/>
      <c r="M41" s="4000"/>
    </row>
    <row r="42" spans="1:13" ht="11.45" customHeight="1">
      <c r="A42" s="813"/>
      <c r="B42" s="813"/>
      <c r="C42" s="813"/>
      <c r="D42" s="813"/>
      <c r="E42" s="813"/>
      <c r="F42" s="813"/>
      <c r="G42" s="813"/>
    </row>
    <row r="43" spans="1:13" ht="11.45" customHeight="1">
      <c r="A43" s="813"/>
      <c r="B43" s="813"/>
      <c r="C43" s="813"/>
      <c r="D43" s="813"/>
      <c r="E43" s="813"/>
      <c r="F43" s="813"/>
      <c r="G43" s="813"/>
      <c r="H43" s="813"/>
      <c r="I43" s="813"/>
      <c r="J43" s="813"/>
      <c r="K43" s="813"/>
      <c r="L43" s="813"/>
      <c r="M43" s="813"/>
    </row>
    <row r="44" spans="1:13" ht="11.45" customHeight="1">
      <c r="A44" s="813"/>
      <c r="B44" s="813"/>
      <c r="C44" s="813"/>
      <c r="D44" s="813"/>
      <c r="E44" s="813"/>
      <c r="F44" s="813"/>
      <c r="G44" s="813"/>
      <c r="H44" s="813"/>
      <c r="I44" s="813"/>
      <c r="J44" s="813"/>
      <c r="K44" s="813"/>
      <c r="L44" s="813"/>
      <c r="M44" s="813"/>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140625" defaultRowHeight="12.75"/>
  <cols>
    <col min="1" max="1" width="2.85546875" style="145" customWidth="1"/>
    <col min="2" max="4" width="1.85546875" style="145" customWidth="1"/>
    <col min="5" max="5" width="14.85546875" style="145" customWidth="1"/>
    <col min="6" max="6" width="6.140625" style="145" customWidth="1"/>
    <col min="7" max="7" width="2.85546875" style="145" customWidth="1"/>
    <col min="8" max="8" width="8" style="145" customWidth="1"/>
    <col min="9" max="9" width="6.140625" style="145" customWidth="1"/>
    <col min="10" max="10" width="8.140625" style="145" customWidth="1"/>
    <col min="11" max="11" width="9.85546875" style="145" customWidth="1"/>
    <col min="12" max="13" width="8.85546875" style="145" customWidth="1"/>
    <col min="14" max="14" width="9.42578125" style="145" customWidth="1"/>
    <col min="15" max="15" width="9.85546875" style="145" customWidth="1"/>
    <col min="16" max="19" width="6.140625" style="145" customWidth="1"/>
    <col min="20" max="24" width="11.5703125" style="145" customWidth="1"/>
    <col min="25" max="25" width="9.140625" style="145"/>
    <col min="26" max="26" width="9.140625" style="1709"/>
    <col min="27" max="16384" width="9.140625" style="145"/>
  </cols>
  <sheetData>
    <row r="1" spans="1:26" s="1741" customFormat="1" ht="13.5" hidden="1" customHeight="1">
      <c r="A1" s="1706"/>
      <c r="D1" s="1741" t="s">
        <v>6325</v>
      </c>
      <c r="E1" s="1741" t="s">
        <v>6315</v>
      </c>
      <c r="F1" s="1741" t="s">
        <v>6326</v>
      </c>
      <c r="H1" s="1741" t="s">
        <v>6327</v>
      </c>
      <c r="J1" s="1741" t="s">
        <v>6328</v>
      </c>
      <c r="K1" s="1741" t="s">
        <v>6329</v>
      </c>
      <c r="L1" s="1741" t="s">
        <v>6330</v>
      </c>
      <c r="M1" s="1741" t="s">
        <v>6331</v>
      </c>
      <c r="O1" s="1741" t="s">
        <v>6332</v>
      </c>
      <c r="Q1" s="1741" t="s">
        <v>6333</v>
      </c>
      <c r="Z1" s="1708">
        <v>1</v>
      </c>
    </row>
    <row r="2" spans="1:26" s="144" customFormat="1" ht="14.1" customHeight="1">
      <c r="A2" s="2697" t="str">
        <f>CONCATENATE("PART TWO - DEVELOPMENT TEAM INFORMATION","  -  ",'Part I-Project Identification'!$O$7," ",'Part I-Project Identification'!$F$29,", ",'Part I-Project Identification'!F30,", ",'Part I-Project Identification'!J30," County")</f>
        <v>PART TWO - DEVELOPMENT TEAM INFORMATION  -  2022-522 Harrison Village Apartments, Gainesville, Hall County</v>
      </c>
      <c r="B2" s="2698"/>
      <c r="C2" s="2698"/>
      <c r="D2" s="2698"/>
      <c r="E2" s="2698"/>
      <c r="F2" s="2698"/>
      <c r="G2" s="2698"/>
      <c r="H2" s="2698"/>
      <c r="I2" s="2698"/>
      <c r="J2" s="2698"/>
      <c r="K2" s="2698"/>
      <c r="L2" s="2698"/>
      <c r="M2" s="2698"/>
      <c r="N2" s="2698"/>
      <c r="O2" s="2698"/>
      <c r="P2" s="2698"/>
      <c r="Q2" s="2698"/>
      <c r="R2" s="2698"/>
      <c r="S2" s="2699"/>
      <c r="Z2" s="1708">
        <v>2</v>
      </c>
    </row>
    <row r="3" spans="1:26" ht="12" customHeight="1" thickBot="1">
      <c r="A3" s="743" t="s">
        <v>3662</v>
      </c>
      <c r="B3" s="744"/>
      <c r="C3" s="744"/>
      <c r="D3" s="744"/>
      <c r="E3" s="744"/>
      <c r="F3" s="744"/>
      <c r="G3" s="744"/>
      <c r="H3" s="744"/>
      <c r="I3" s="744"/>
      <c r="J3" s="744"/>
      <c r="K3" s="744"/>
      <c r="L3" s="744"/>
      <c r="M3" s="744"/>
      <c r="N3" s="744"/>
      <c r="O3" s="744"/>
      <c r="P3" s="744"/>
      <c r="Q3" s="744"/>
      <c r="R3" s="744"/>
      <c r="S3" s="744"/>
      <c r="Z3" s="1708">
        <v>3</v>
      </c>
    </row>
    <row r="4" spans="1:26" s="144" customFormat="1" ht="13.35" customHeight="1" thickBot="1">
      <c r="A4" s="243" t="s">
        <v>573</v>
      </c>
      <c r="B4" s="222" t="s">
        <v>1722</v>
      </c>
      <c r="C4" s="222"/>
      <c r="E4" s="222"/>
      <c r="F4" s="222"/>
      <c r="G4" s="222"/>
      <c r="H4" s="947" t="s">
        <v>3464</v>
      </c>
      <c r="O4" s="2701" t="str">
        <f>'Part I-Project Identification'!$A$6</f>
        <v>Sept 20, 2022 Core Application - 4% Only</v>
      </c>
      <c r="P4" s="2702"/>
      <c r="Q4" s="2702"/>
      <c r="R4" s="2702"/>
      <c r="S4" s="2703"/>
      <c r="Z4" s="1708">
        <v>4</v>
      </c>
    </row>
    <row r="5" spans="1:26" s="144" customFormat="1" ht="8.4499999999999993" customHeight="1">
      <c r="A5" s="243"/>
      <c r="B5" s="243"/>
      <c r="C5" s="243"/>
      <c r="D5" s="222"/>
      <c r="E5" s="222"/>
      <c r="F5" s="222"/>
      <c r="G5" s="222"/>
      <c r="H5" s="222"/>
      <c r="I5" s="222"/>
      <c r="J5" s="222"/>
      <c r="Z5" s="1708">
        <v>5</v>
      </c>
    </row>
    <row r="6" spans="1:26" s="144" customFormat="1" ht="11.25" customHeight="1">
      <c r="B6" s="243" t="s">
        <v>1842</v>
      </c>
      <c r="C6" s="222" t="s">
        <v>1718</v>
      </c>
      <c r="H6" s="2577" t="s">
        <v>87</v>
      </c>
      <c r="I6" s="2622"/>
      <c r="J6" s="2622"/>
      <c r="K6" s="2622"/>
      <c r="L6" s="2622"/>
      <c r="M6" s="2622"/>
      <c r="N6" s="2623"/>
      <c r="O6" s="259" t="s">
        <v>1848</v>
      </c>
      <c r="P6" s="259"/>
      <c r="Q6" s="2577"/>
      <c r="R6" s="2622"/>
      <c r="S6" s="2623"/>
      <c r="Y6" s="839"/>
      <c r="Z6" s="1708">
        <v>6</v>
      </c>
    </row>
    <row r="7" spans="1:26" s="144" customFormat="1" ht="11.25" customHeight="1">
      <c r="D7" s="260"/>
      <c r="E7" s="246" t="s">
        <v>958</v>
      </c>
      <c r="F7" s="247"/>
      <c r="H7" s="2545"/>
      <c r="I7" s="2688"/>
      <c r="J7" s="2688"/>
      <c r="K7" s="2689"/>
      <c r="L7" s="2688"/>
      <c r="M7" s="2688"/>
      <c r="N7" s="2690"/>
      <c r="O7" s="259" t="s">
        <v>1625</v>
      </c>
      <c r="P7" s="261"/>
      <c r="Q7" s="2567"/>
      <c r="R7" s="2691"/>
      <c r="S7" s="2692"/>
      <c r="V7" s="839"/>
      <c r="W7" s="839"/>
      <c r="X7" s="839"/>
      <c r="Y7" s="839"/>
      <c r="Z7" s="1708">
        <v>7</v>
      </c>
    </row>
    <row r="8" spans="1:26" s="144" customFormat="1" ht="11.25" customHeight="1">
      <c r="D8" s="260"/>
      <c r="E8" s="246" t="s">
        <v>575</v>
      </c>
      <c r="H8" s="2545"/>
      <c r="I8" s="2689"/>
      <c r="J8" s="2621"/>
      <c r="K8" s="335" t="s">
        <v>710</v>
      </c>
      <c r="L8" s="2700"/>
      <c r="M8" s="2688"/>
      <c r="N8" s="2690"/>
      <c r="O8" s="259" t="s">
        <v>1601</v>
      </c>
      <c r="P8" s="261"/>
      <c r="Q8" s="2693"/>
      <c r="R8" s="2694"/>
      <c r="S8" s="2695"/>
      <c r="Z8" s="1708">
        <v>8</v>
      </c>
    </row>
    <row r="9" spans="1:26" s="144" customFormat="1" ht="11.25" customHeight="1">
      <c r="D9" s="260"/>
      <c r="E9" s="246" t="s">
        <v>1672</v>
      </c>
      <c r="H9" s="999"/>
      <c r="I9" s="676" t="s">
        <v>2062</v>
      </c>
      <c r="J9" s="2704"/>
      <c r="K9" s="2705"/>
      <c r="L9" s="261" t="s">
        <v>3198</v>
      </c>
      <c r="M9" s="2706"/>
      <c r="N9" s="2707"/>
      <c r="O9" s="259" t="s">
        <v>1838</v>
      </c>
      <c r="P9" s="261"/>
      <c r="Q9" s="2693"/>
      <c r="R9" s="2694"/>
      <c r="S9" s="2695"/>
      <c r="Z9" s="1708">
        <v>9</v>
      </c>
    </row>
    <row r="10" spans="1:26" s="144" customFormat="1" ht="11.25" customHeight="1">
      <c r="D10" s="260"/>
      <c r="E10" s="246" t="s">
        <v>3465</v>
      </c>
      <c r="H10" s="2686"/>
      <c r="I10" s="2708"/>
      <c r="J10" s="711"/>
      <c r="K10" s="262" t="s">
        <v>1843</v>
      </c>
      <c r="L10" s="2580"/>
      <c r="M10" s="2557"/>
      <c r="N10" s="2557"/>
      <c r="O10" s="2581"/>
      <c r="P10" s="2581"/>
      <c r="Q10" s="2557"/>
      <c r="R10" s="2557"/>
      <c r="S10" s="2558"/>
      <c r="Z10" s="1708">
        <v>10</v>
      </c>
    </row>
    <row r="11" spans="1:26" s="144" customFormat="1" ht="11.25" customHeight="1">
      <c r="D11" s="260"/>
      <c r="E11" s="947" t="s">
        <v>3464</v>
      </c>
      <c r="H11" s="263"/>
      <c r="I11" s="261"/>
      <c r="J11" s="261"/>
      <c r="K11" s="304"/>
      <c r="L11" s="261"/>
      <c r="M11" s="261"/>
      <c r="N11" s="336" t="s">
        <v>3140</v>
      </c>
      <c r="O11" s="261"/>
      <c r="P11" s="261"/>
      <c r="Q11" s="262"/>
      <c r="R11" s="261"/>
      <c r="S11" s="261"/>
      <c r="T11" s="261"/>
      <c r="Z11" s="170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8">
        <v>12</v>
      </c>
    </row>
    <row r="13" spans="1:26" s="144" customFormat="1" ht="11.25" customHeight="1">
      <c r="B13" s="253" t="s">
        <v>1844</v>
      </c>
      <c r="C13" s="222" t="s">
        <v>1719</v>
      </c>
      <c r="F13" s="222"/>
      <c r="G13" s="222"/>
      <c r="H13" s="264"/>
      <c r="I13" s="264"/>
      <c r="J13" s="261"/>
      <c r="K13" s="261"/>
      <c r="L13" s="261"/>
      <c r="M13" s="261"/>
      <c r="N13" s="386" t="s">
        <v>1208</v>
      </c>
      <c r="O13" s="261"/>
      <c r="P13" s="261"/>
      <c r="Q13" s="261"/>
      <c r="R13" s="261"/>
      <c r="S13" s="261"/>
      <c r="W13" s="386"/>
      <c r="X13" s="386"/>
      <c r="Y13" s="386"/>
      <c r="Z13" s="1708">
        <v>13</v>
      </c>
    </row>
    <row r="14" spans="1:26" s="144" customFormat="1" ht="11.25" customHeight="1">
      <c r="C14" s="266" t="s">
        <v>1845</v>
      </c>
      <c r="D14" s="253" t="s">
        <v>1846</v>
      </c>
      <c r="H14" s="261"/>
      <c r="I14" s="261"/>
      <c r="J14" s="261"/>
      <c r="K14" s="261"/>
      <c r="L14" s="261"/>
      <c r="M14" s="261"/>
      <c r="N14" s="304"/>
      <c r="O14" s="261"/>
      <c r="P14" s="261"/>
      <c r="Q14" s="261"/>
      <c r="R14" s="261"/>
      <c r="S14" s="261"/>
      <c r="W14" s="388"/>
      <c r="X14" s="388"/>
      <c r="Y14" s="388"/>
      <c r="Z14" s="1708">
        <v>14</v>
      </c>
    </row>
    <row r="15" spans="1:26" s="144" customFormat="1" ht="11.25" customHeight="1">
      <c r="D15" s="243" t="s">
        <v>1964</v>
      </c>
      <c r="E15" s="144" t="s">
        <v>1720</v>
      </c>
      <c r="H15" s="2577"/>
      <c r="I15" s="2622"/>
      <c r="J15" s="2622"/>
      <c r="K15" s="2622"/>
      <c r="L15" s="2622"/>
      <c r="M15" s="2622"/>
      <c r="N15" s="2623"/>
      <c r="O15" s="259" t="s">
        <v>1848</v>
      </c>
      <c r="P15" s="259"/>
      <c r="Q15" s="2577"/>
      <c r="R15" s="2622"/>
      <c r="S15" s="2623"/>
      <c r="Z15" s="1708">
        <v>15</v>
      </c>
    </row>
    <row r="16" spans="1:26" s="144" customFormat="1" ht="11.25" customHeight="1">
      <c r="D16" s="260"/>
      <c r="E16" s="246" t="s">
        <v>958</v>
      </c>
      <c r="F16" s="247"/>
      <c r="H16" s="2545"/>
      <c r="I16" s="2688"/>
      <c r="J16" s="2688"/>
      <c r="K16" s="2689"/>
      <c r="L16" s="2688"/>
      <c r="M16" s="2688"/>
      <c r="N16" s="2690"/>
      <c r="O16" s="259" t="s">
        <v>1625</v>
      </c>
      <c r="P16" s="261"/>
      <c r="Q16" s="2567"/>
      <c r="R16" s="2691"/>
      <c r="S16" s="2692"/>
      <c r="Z16" s="1708">
        <v>16</v>
      </c>
    </row>
    <row r="17" spans="4:26" s="144" customFormat="1" ht="11.25" customHeight="1">
      <c r="D17" s="260"/>
      <c r="E17" s="246" t="s">
        <v>575</v>
      </c>
      <c r="H17" s="2545"/>
      <c r="I17" s="2689"/>
      <c r="J17" s="2621"/>
      <c r="K17" s="262" t="s">
        <v>2460</v>
      </c>
      <c r="L17" s="2545"/>
      <c r="M17" s="2688"/>
      <c r="N17" s="2621"/>
      <c r="O17" s="259" t="s">
        <v>1601</v>
      </c>
      <c r="P17" s="261"/>
      <c r="Q17" s="2693"/>
      <c r="R17" s="2694"/>
      <c r="S17" s="2695"/>
      <c r="Z17" s="1708">
        <v>17</v>
      </c>
    </row>
    <row r="18" spans="4:26" s="144" customFormat="1" ht="11.25" customHeight="1">
      <c r="D18" s="243"/>
      <c r="E18" s="246" t="s">
        <v>1672</v>
      </c>
      <c r="H18" s="999"/>
      <c r="I18" s="261"/>
      <c r="J18" s="261"/>
      <c r="K18" s="676" t="s">
        <v>2062</v>
      </c>
      <c r="L18" s="2570"/>
      <c r="M18" s="2696"/>
      <c r="N18" s="261"/>
      <c r="O18" s="259" t="s">
        <v>1838</v>
      </c>
      <c r="P18" s="261"/>
      <c r="Q18" s="2693"/>
      <c r="R18" s="2694"/>
      <c r="S18" s="2695"/>
      <c r="Z18" s="1708">
        <v>18</v>
      </c>
    </row>
    <row r="19" spans="4:26" s="144" customFormat="1" ht="11.25" customHeight="1">
      <c r="D19" s="260"/>
      <c r="E19" s="246" t="s">
        <v>3465</v>
      </c>
      <c r="H19" s="2686"/>
      <c r="I19" s="2687"/>
      <c r="J19" s="255"/>
      <c r="K19" s="262" t="s">
        <v>1843</v>
      </c>
      <c r="L19" s="2556"/>
      <c r="M19" s="2557"/>
      <c r="N19" s="2581"/>
      <c r="O19" s="2581"/>
      <c r="P19" s="2581"/>
      <c r="Q19" s="2557"/>
      <c r="R19" s="2557"/>
      <c r="S19" s="2558"/>
      <c r="Z19" s="1708">
        <v>19</v>
      </c>
    </row>
    <row r="20" spans="4:26" ht="4.3499999999999996" customHeight="1">
      <c r="D20" s="253"/>
      <c r="H20" s="270"/>
      <c r="I20" s="270"/>
      <c r="J20" s="270"/>
      <c r="K20" s="262"/>
      <c r="L20" s="270"/>
      <c r="M20" s="270"/>
      <c r="N20" s="268"/>
      <c r="O20" s="269"/>
      <c r="P20" s="269"/>
      <c r="Q20" s="262"/>
      <c r="R20" s="269"/>
      <c r="S20" s="269"/>
      <c r="Z20" s="1708">
        <v>20</v>
      </c>
    </row>
    <row r="21" spans="4:26" s="144" customFormat="1" ht="11.25" customHeight="1">
      <c r="D21" s="243" t="s">
        <v>1965</v>
      </c>
      <c r="E21" s="144" t="s">
        <v>1721</v>
      </c>
      <c r="H21" s="2577"/>
      <c r="I21" s="2622"/>
      <c r="J21" s="2622"/>
      <c r="K21" s="2622"/>
      <c r="L21" s="2622"/>
      <c r="M21" s="2622"/>
      <c r="N21" s="2623"/>
      <c r="O21" s="259" t="s">
        <v>1848</v>
      </c>
      <c r="P21" s="259"/>
      <c r="Q21" s="2577"/>
      <c r="R21" s="2622"/>
      <c r="S21" s="2623"/>
      <c r="Z21" s="1708">
        <v>21</v>
      </c>
    </row>
    <row r="22" spans="4:26" s="144" customFormat="1" ht="11.25" customHeight="1">
      <c r="D22" s="260"/>
      <c r="E22" s="246" t="s">
        <v>958</v>
      </c>
      <c r="F22" s="247"/>
      <c r="H22" s="2545"/>
      <c r="I22" s="2688"/>
      <c r="J22" s="2688"/>
      <c r="K22" s="2689"/>
      <c r="L22" s="2688"/>
      <c r="M22" s="2688"/>
      <c r="N22" s="2690"/>
      <c r="O22" s="259" t="s">
        <v>1625</v>
      </c>
      <c r="P22" s="261"/>
      <c r="Q22" s="2567"/>
      <c r="R22" s="2691"/>
      <c r="S22" s="2692"/>
      <c r="Z22" s="1708">
        <v>22</v>
      </c>
    </row>
    <row r="23" spans="4:26" s="144" customFormat="1" ht="11.25" customHeight="1">
      <c r="D23" s="260"/>
      <c r="E23" s="246" t="s">
        <v>575</v>
      </c>
      <c r="H23" s="2545"/>
      <c r="I23" s="2689"/>
      <c r="J23" s="2621"/>
      <c r="K23" s="262" t="s">
        <v>2460</v>
      </c>
      <c r="L23" s="2545"/>
      <c r="M23" s="2688"/>
      <c r="N23" s="2621"/>
      <c r="O23" s="259" t="s">
        <v>1601</v>
      </c>
      <c r="P23" s="261"/>
      <c r="Q23" s="2693"/>
      <c r="R23" s="2694"/>
      <c r="S23" s="2695"/>
      <c r="Z23" s="1708">
        <v>23</v>
      </c>
    </row>
    <row r="24" spans="4:26" s="144" customFormat="1" ht="11.25" customHeight="1">
      <c r="E24" s="246" t="s">
        <v>1672</v>
      </c>
      <c r="H24" s="999"/>
      <c r="I24" s="261"/>
      <c r="J24" s="261"/>
      <c r="K24" s="676" t="s">
        <v>2062</v>
      </c>
      <c r="L24" s="2570"/>
      <c r="M24" s="2696"/>
      <c r="N24" s="261"/>
      <c r="O24" s="259" t="s">
        <v>1838</v>
      </c>
      <c r="P24" s="261"/>
      <c r="Q24" s="2693"/>
      <c r="R24" s="2694"/>
      <c r="S24" s="2695"/>
      <c r="Z24" s="1708">
        <v>24</v>
      </c>
    </row>
    <row r="25" spans="4:26" s="144" customFormat="1" ht="11.25" customHeight="1">
      <c r="D25" s="260"/>
      <c r="E25" s="246" t="s">
        <v>3465</v>
      </c>
      <c r="H25" s="2686"/>
      <c r="I25" s="2687"/>
      <c r="J25" s="255"/>
      <c r="K25" s="262" t="s">
        <v>1843</v>
      </c>
      <c r="L25" s="2556"/>
      <c r="M25" s="2557"/>
      <c r="N25" s="2581"/>
      <c r="O25" s="2581"/>
      <c r="P25" s="2581"/>
      <c r="Q25" s="2557"/>
      <c r="R25" s="2557"/>
      <c r="S25" s="2558"/>
      <c r="Z25" s="1708">
        <v>25</v>
      </c>
    </row>
    <row r="26" spans="4:26" s="144" customFormat="1" ht="4.3499999999999996" customHeight="1">
      <c r="D26" s="260"/>
      <c r="G26" s="246"/>
      <c r="H26" s="270"/>
      <c r="I26" s="270"/>
      <c r="J26" s="270"/>
      <c r="K26" s="262"/>
      <c r="L26" s="270"/>
      <c r="M26" s="270"/>
      <c r="N26" s="268"/>
      <c r="O26" s="269"/>
      <c r="P26" s="269"/>
      <c r="Q26" s="262"/>
      <c r="R26" s="269"/>
      <c r="S26" s="269"/>
      <c r="Z26" s="1708">
        <v>26</v>
      </c>
    </row>
    <row r="27" spans="4:26" s="144" customFormat="1" ht="11.25" customHeight="1">
      <c r="D27" s="243" t="s">
        <v>1612</v>
      </c>
      <c r="E27" s="144" t="s">
        <v>1721</v>
      </c>
      <c r="H27" s="2577"/>
      <c r="I27" s="2622"/>
      <c r="J27" s="2622"/>
      <c r="K27" s="2622"/>
      <c r="L27" s="2622"/>
      <c r="M27" s="2622"/>
      <c r="N27" s="2623"/>
      <c r="O27" s="259" t="s">
        <v>1848</v>
      </c>
      <c r="P27" s="259"/>
      <c r="Q27" s="2577"/>
      <c r="R27" s="2622"/>
      <c r="S27" s="2623"/>
      <c r="Z27" s="1708">
        <v>27</v>
      </c>
    </row>
    <row r="28" spans="4:26" s="144" customFormat="1" ht="11.25" customHeight="1">
      <c r="D28" s="260"/>
      <c r="E28" s="246" t="s">
        <v>958</v>
      </c>
      <c r="F28" s="247"/>
      <c r="H28" s="2545"/>
      <c r="I28" s="2688"/>
      <c r="J28" s="2688"/>
      <c r="K28" s="2689"/>
      <c r="L28" s="2688"/>
      <c r="M28" s="2688"/>
      <c r="N28" s="2690"/>
      <c r="O28" s="259" t="s">
        <v>1625</v>
      </c>
      <c r="P28" s="261"/>
      <c r="Q28" s="2567"/>
      <c r="R28" s="2691"/>
      <c r="S28" s="2692"/>
      <c r="Z28" s="1708">
        <v>28</v>
      </c>
    </row>
    <row r="29" spans="4:26" s="144" customFormat="1" ht="11.25" customHeight="1">
      <c r="D29" s="260"/>
      <c r="E29" s="246" t="s">
        <v>575</v>
      </c>
      <c r="H29" s="2545"/>
      <c r="I29" s="2689"/>
      <c r="J29" s="2621"/>
      <c r="K29" s="262" t="s">
        <v>2460</v>
      </c>
      <c r="L29" s="2545"/>
      <c r="M29" s="2688"/>
      <c r="N29" s="2621"/>
      <c r="O29" s="259" t="s">
        <v>1601</v>
      </c>
      <c r="P29" s="261"/>
      <c r="Q29" s="2693"/>
      <c r="R29" s="2694"/>
      <c r="S29" s="2695"/>
      <c r="Z29" s="1708">
        <v>29</v>
      </c>
    </row>
    <row r="30" spans="4:26" s="144" customFormat="1" ht="11.25" customHeight="1">
      <c r="E30" s="246" t="s">
        <v>1672</v>
      </c>
      <c r="H30" s="999"/>
      <c r="I30" s="261"/>
      <c r="J30" s="261"/>
      <c r="K30" s="676" t="s">
        <v>2062</v>
      </c>
      <c r="L30" s="2570"/>
      <c r="M30" s="2696"/>
      <c r="N30" s="261"/>
      <c r="O30" s="259" t="s">
        <v>1838</v>
      </c>
      <c r="P30" s="261"/>
      <c r="Q30" s="2693"/>
      <c r="R30" s="2694"/>
      <c r="S30" s="2695"/>
      <c r="Z30" s="1708">
        <v>30</v>
      </c>
    </row>
    <row r="31" spans="4:26" s="144" customFormat="1" ht="11.25" customHeight="1">
      <c r="D31" s="260"/>
      <c r="E31" s="246" t="s">
        <v>3465</v>
      </c>
      <c r="H31" s="2686"/>
      <c r="I31" s="2687"/>
      <c r="J31" s="255"/>
      <c r="K31" s="262" t="s">
        <v>1843</v>
      </c>
      <c r="L31" s="2556"/>
      <c r="M31" s="2557"/>
      <c r="N31" s="2581"/>
      <c r="O31" s="2581"/>
      <c r="P31" s="2581"/>
      <c r="Q31" s="2557"/>
      <c r="R31" s="2557"/>
      <c r="S31" s="2558"/>
      <c r="Z31" s="1708">
        <v>31</v>
      </c>
    </row>
    <row r="32" spans="4:26" ht="4.3499999999999996" customHeight="1">
      <c r="H32" s="271"/>
      <c r="I32" s="271"/>
      <c r="J32" s="271"/>
      <c r="K32" s="271"/>
      <c r="L32" s="271"/>
      <c r="M32" s="271"/>
      <c r="N32" s="271"/>
      <c r="O32" s="271"/>
      <c r="P32" s="271"/>
      <c r="Q32" s="271"/>
      <c r="R32" s="271"/>
      <c r="S32" s="271"/>
      <c r="Z32" s="1708">
        <v>32</v>
      </c>
    </row>
    <row r="33" spans="3:26" s="144" customFormat="1" ht="11.25" customHeight="1">
      <c r="C33" s="266" t="s">
        <v>1847</v>
      </c>
      <c r="D33" s="253" t="s">
        <v>1723</v>
      </c>
      <c r="H33" s="261"/>
      <c r="I33" s="261"/>
      <c r="J33" s="261"/>
      <c r="K33" s="1291" t="s">
        <v>3464</v>
      </c>
      <c r="L33" s="261"/>
      <c r="M33" s="261"/>
      <c r="N33" s="261"/>
      <c r="O33" s="261"/>
      <c r="P33" s="261"/>
      <c r="Q33" s="261"/>
      <c r="R33" s="261"/>
      <c r="S33" s="261"/>
      <c r="Z33" s="1708">
        <v>33</v>
      </c>
    </row>
    <row r="34" spans="3:26" s="144" customFormat="1" ht="11.25" customHeight="1">
      <c r="D34" s="243" t="s">
        <v>1964</v>
      </c>
      <c r="E34" s="144" t="s">
        <v>699</v>
      </c>
      <c r="H34" s="2577"/>
      <c r="I34" s="2622"/>
      <c r="J34" s="2622"/>
      <c r="K34" s="2622"/>
      <c r="L34" s="2622"/>
      <c r="M34" s="2622"/>
      <c r="N34" s="2623"/>
      <c r="O34" s="259" t="s">
        <v>1848</v>
      </c>
      <c r="P34" s="259"/>
      <c r="Q34" s="2577"/>
      <c r="R34" s="2622"/>
      <c r="S34" s="2623"/>
      <c r="Z34" s="1708">
        <v>34</v>
      </c>
    </row>
    <row r="35" spans="3:26" s="144" customFormat="1" ht="11.25" customHeight="1">
      <c r="D35" s="260"/>
      <c r="E35" s="246" t="s">
        <v>958</v>
      </c>
      <c r="F35" s="247"/>
      <c r="H35" s="2545"/>
      <c r="I35" s="2688"/>
      <c r="J35" s="2688"/>
      <c r="K35" s="2689"/>
      <c r="L35" s="2688"/>
      <c r="M35" s="2688"/>
      <c r="N35" s="2690"/>
      <c r="O35" s="259" t="s">
        <v>1625</v>
      </c>
      <c r="P35" s="261"/>
      <c r="Q35" s="2567"/>
      <c r="R35" s="2691"/>
      <c r="S35" s="2692"/>
      <c r="Z35" s="1708">
        <v>35</v>
      </c>
    </row>
    <row r="36" spans="3:26" s="144" customFormat="1" ht="11.25" customHeight="1">
      <c r="D36" s="260"/>
      <c r="E36" s="246" t="s">
        <v>575</v>
      </c>
      <c r="H36" s="2545"/>
      <c r="I36" s="2689"/>
      <c r="J36" s="2621"/>
      <c r="K36" s="262" t="s">
        <v>2460</v>
      </c>
      <c r="L36" s="2545"/>
      <c r="M36" s="2688"/>
      <c r="N36" s="2621"/>
      <c r="O36" s="259" t="s">
        <v>1601</v>
      </c>
      <c r="P36" s="261"/>
      <c r="Q36" s="2693"/>
      <c r="R36" s="2694"/>
      <c r="S36" s="2695"/>
      <c r="Z36" s="1708">
        <v>36</v>
      </c>
    </row>
    <row r="37" spans="3:26" s="144" customFormat="1" ht="11.25" customHeight="1">
      <c r="E37" s="246" t="s">
        <v>1672</v>
      </c>
      <c r="H37" s="999"/>
      <c r="I37" s="261"/>
      <c r="J37" s="261"/>
      <c r="K37" s="676" t="s">
        <v>2062</v>
      </c>
      <c r="L37" s="2570"/>
      <c r="M37" s="2696"/>
      <c r="N37" s="261"/>
      <c r="O37" s="259" t="s">
        <v>1838</v>
      </c>
      <c r="P37" s="261"/>
      <c r="Q37" s="2693"/>
      <c r="R37" s="2694"/>
      <c r="S37" s="2695"/>
      <c r="Z37" s="1708">
        <v>37</v>
      </c>
    </row>
    <row r="38" spans="3:26" s="144" customFormat="1" ht="11.25" customHeight="1">
      <c r="D38" s="260"/>
      <c r="E38" s="246" t="s">
        <v>3465</v>
      </c>
      <c r="H38" s="2686"/>
      <c r="I38" s="2687"/>
      <c r="J38" s="255"/>
      <c r="K38" s="262" t="s">
        <v>1843</v>
      </c>
      <c r="L38" s="2556"/>
      <c r="M38" s="2557"/>
      <c r="N38" s="2581"/>
      <c r="O38" s="2581"/>
      <c r="P38" s="2581"/>
      <c r="Q38" s="2557"/>
      <c r="R38" s="2557"/>
      <c r="S38" s="2558"/>
      <c r="Z38" s="1708">
        <v>38</v>
      </c>
    </row>
    <row r="39" spans="3:26" ht="4.3499999999999996" customHeight="1">
      <c r="H39" s="270"/>
      <c r="I39" s="270"/>
      <c r="J39" s="270"/>
      <c r="K39" s="262"/>
      <c r="L39" s="270"/>
      <c r="M39" s="270"/>
      <c r="N39" s="268"/>
      <c r="O39" s="269"/>
      <c r="P39" s="269"/>
      <c r="Q39" s="262"/>
      <c r="R39" s="269"/>
      <c r="S39" s="269"/>
      <c r="Z39" s="1708">
        <v>39</v>
      </c>
    </row>
    <row r="40" spans="3:26" s="144" customFormat="1" ht="11.25" customHeight="1">
      <c r="D40" s="243" t="s">
        <v>1965</v>
      </c>
      <c r="E40" s="144" t="s">
        <v>700</v>
      </c>
      <c r="F40" s="243"/>
      <c r="H40" s="2577"/>
      <c r="I40" s="2622"/>
      <c r="J40" s="2622"/>
      <c r="K40" s="2622"/>
      <c r="L40" s="2622"/>
      <c r="M40" s="2622"/>
      <c r="N40" s="2623"/>
      <c r="O40" s="259" t="s">
        <v>1848</v>
      </c>
      <c r="P40" s="259"/>
      <c r="Q40" s="2577"/>
      <c r="R40" s="2622"/>
      <c r="S40" s="2623"/>
      <c r="Z40" s="1708">
        <v>40</v>
      </c>
    </row>
    <row r="41" spans="3:26" s="144" customFormat="1" ht="11.25" customHeight="1">
      <c r="D41" s="260"/>
      <c r="E41" s="246" t="s">
        <v>958</v>
      </c>
      <c r="F41" s="247"/>
      <c r="H41" s="2545"/>
      <c r="I41" s="2688"/>
      <c r="J41" s="2688"/>
      <c r="K41" s="2689"/>
      <c r="L41" s="2688"/>
      <c r="M41" s="2688"/>
      <c r="N41" s="2690"/>
      <c r="O41" s="259" t="s">
        <v>1625</v>
      </c>
      <c r="P41" s="261"/>
      <c r="Q41" s="2567"/>
      <c r="R41" s="2691"/>
      <c r="S41" s="2692"/>
      <c r="Z41" s="1708">
        <v>41</v>
      </c>
    </row>
    <row r="42" spans="3:26" s="144" customFormat="1" ht="11.25" customHeight="1">
      <c r="D42" s="260"/>
      <c r="E42" s="246" t="s">
        <v>575</v>
      </c>
      <c r="H42" s="2545"/>
      <c r="I42" s="2689"/>
      <c r="J42" s="2621"/>
      <c r="K42" s="262" t="s">
        <v>2460</v>
      </c>
      <c r="L42" s="2545"/>
      <c r="M42" s="2688"/>
      <c r="N42" s="2621"/>
      <c r="O42" s="259" t="s">
        <v>1601</v>
      </c>
      <c r="P42" s="261"/>
      <c r="Q42" s="2693"/>
      <c r="R42" s="2694"/>
      <c r="S42" s="2695"/>
      <c r="Z42" s="1708">
        <v>42</v>
      </c>
    </row>
    <row r="43" spans="3:26" s="144" customFormat="1" ht="11.25" customHeight="1">
      <c r="D43" s="243"/>
      <c r="E43" s="246" t="s">
        <v>1672</v>
      </c>
      <c r="H43" s="999"/>
      <c r="I43" s="261"/>
      <c r="J43" s="261"/>
      <c r="K43" s="676" t="s">
        <v>2062</v>
      </c>
      <c r="L43" s="2570"/>
      <c r="M43" s="2696"/>
      <c r="N43" s="261"/>
      <c r="O43" s="259" t="s">
        <v>1838</v>
      </c>
      <c r="P43" s="261"/>
      <c r="Q43" s="2693"/>
      <c r="R43" s="2694"/>
      <c r="S43" s="2695"/>
      <c r="Z43" s="1708">
        <v>43</v>
      </c>
    </row>
    <row r="44" spans="3:26" s="144" customFormat="1" ht="11.25" customHeight="1">
      <c r="D44" s="260"/>
      <c r="E44" s="246" t="s">
        <v>3465</v>
      </c>
      <c r="H44" s="2686"/>
      <c r="I44" s="2687"/>
      <c r="J44" s="255"/>
      <c r="K44" s="262" t="s">
        <v>1843</v>
      </c>
      <c r="L44" s="2556"/>
      <c r="M44" s="2557"/>
      <c r="N44" s="2581"/>
      <c r="O44" s="2581"/>
      <c r="P44" s="2581"/>
      <c r="Q44" s="2557"/>
      <c r="R44" s="2557"/>
      <c r="S44" s="2558"/>
      <c r="Z44" s="1708">
        <v>44</v>
      </c>
    </row>
    <row r="45" spans="3:26" s="144" customFormat="1" ht="4.3499999999999996" customHeight="1">
      <c r="D45" s="260"/>
      <c r="E45" s="246"/>
      <c r="F45" s="243"/>
      <c r="H45" s="263"/>
      <c r="I45" s="263"/>
      <c r="J45" s="273"/>
      <c r="K45" s="262"/>
      <c r="L45" s="263"/>
      <c r="M45" s="263"/>
      <c r="N45" s="262"/>
      <c r="O45" s="263"/>
      <c r="P45" s="263"/>
      <c r="Q45" s="262"/>
      <c r="R45" s="263"/>
      <c r="S45" s="263"/>
      <c r="Z45" s="1708">
        <v>45</v>
      </c>
    </row>
    <row r="46" spans="3:26" s="144" customFormat="1" ht="11.25" customHeight="1">
      <c r="C46" s="272" t="s">
        <v>2333</v>
      </c>
      <c r="D46" s="253" t="s">
        <v>605</v>
      </c>
      <c r="H46" s="261"/>
      <c r="I46" s="261"/>
      <c r="J46" s="261"/>
      <c r="K46" s="1291" t="s">
        <v>3464</v>
      </c>
      <c r="L46" s="261"/>
      <c r="M46" s="261"/>
      <c r="N46" s="261"/>
      <c r="O46" s="261"/>
      <c r="P46" s="261"/>
      <c r="Q46" s="261"/>
      <c r="R46" s="261"/>
      <c r="S46" s="261"/>
      <c r="Z46" s="1708">
        <v>46</v>
      </c>
    </row>
    <row r="47" spans="3:26" s="144" customFormat="1" ht="11.25" customHeight="1">
      <c r="E47" s="144" t="s">
        <v>88</v>
      </c>
      <c r="H47" s="2577"/>
      <c r="I47" s="2622"/>
      <c r="J47" s="2622"/>
      <c r="K47" s="2622"/>
      <c r="L47" s="2622"/>
      <c r="M47" s="2622"/>
      <c r="N47" s="2623"/>
      <c r="O47" s="259" t="s">
        <v>1848</v>
      </c>
      <c r="P47" s="259"/>
      <c r="Q47" s="2577"/>
      <c r="R47" s="2622"/>
      <c r="S47" s="2623"/>
      <c r="Z47" s="1708">
        <v>47</v>
      </c>
    </row>
    <row r="48" spans="3:26" s="144" customFormat="1" ht="11.25" customHeight="1">
      <c r="D48" s="260"/>
      <c r="E48" s="246" t="s">
        <v>958</v>
      </c>
      <c r="F48" s="247"/>
      <c r="H48" s="2545"/>
      <c r="I48" s="2688"/>
      <c r="J48" s="2688"/>
      <c r="K48" s="2689"/>
      <c r="L48" s="2688"/>
      <c r="M48" s="2688"/>
      <c r="N48" s="2690"/>
      <c r="O48" s="259" t="s">
        <v>1625</v>
      </c>
      <c r="P48" s="261"/>
      <c r="Q48" s="2567"/>
      <c r="R48" s="2691"/>
      <c r="S48" s="2692"/>
      <c r="Z48" s="1708">
        <v>48</v>
      </c>
    </row>
    <row r="49" spans="1:26" s="144" customFormat="1" ht="11.25" customHeight="1">
      <c r="D49" s="260"/>
      <c r="E49" s="246" t="s">
        <v>575</v>
      </c>
      <c r="H49" s="2545"/>
      <c r="I49" s="2689"/>
      <c r="J49" s="2621"/>
      <c r="K49" s="262" t="s">
        <v>2460</v>
      </c>
      <c r="L49" s="2545"/>
      <c r="M49" s="2688"/>
      <c r="N49" s="2621"/>
      <c r="O49" s="259" t="s">
        <v>1601</v>
      </c>
      <c r="P49" s="261"/>
      <c r="Q49" s="2693"/>
      <c r="R49" s="2694"/>
      <c r="S49" s="2695"/>
      <c r="Z49" s="1708">
        <v>49</v>
      </c>
    </row>
    <row r="50" spans="1:26" s="144" customFormat="1" ht="11.25" customHeight="1">
      <c r="E50" s="246" t="s">
        <v>1672</v>
      </c>
      <c r="H50" s="999"/>
      <c r="I50" s="261"/>
      <c r="J50" s="261"/>
      <c r="K50" s="676" t="s">
        <v>2062</v>
      </c>
      <c r="L50" s="2570"/>
      <c r="M50" s="2696"/>
      <c r="N50" s="261"/>
      <c r="O50" s="259" t="s">
        <v>1838</v>
      </c>
      <c r="P50" s="261"/>
      <c r="Q50" s="2693"/>
      <c r="R50" s="2694"/>
      <c r="S50" s="2695"/>
      <c r="Z50" s="1708">
        <v>50</v>
      </c>
    </row>
    <row r="51" spans="1:26" s="144" customFormat="1" ht="11.25" customHeight="1">
      <c r="D51" s="260"/>
      <c r="E51" s="246" t="s">
        <v>3465</v>
      </c>
      <c r="H51" s="2686"/>
      <c r="I51" s="2687"/>
      <c r="J51" s="255"/>
      <c r="K51" s="262" t="s">
        <v>1843</v>
      </c>
      <c r="L51" s="2556"/>
      <c r="M51" s="2557"/>
      <c r="N51" s="2581"/>
      <c r="O51" s="2581"/>
      <c r="P51" s="2581"/>
      <c r="Q51" s="2557"/>
      <c r="R51" s="2557"/>
      <c r="S51" s="2558"/>
      <c r="Z51" s="1708">
        <v>51</v>
      </c>
    </row>
    <row r="52" spans="1:26" ht="6.75" customHeight="1">
      <c r="H52" s="271"/>
      <c r="I52" s="271"/>
      <c r="J52" s="271"/>
      <c r="K52" s="271"/>
      <c r="L52" s="271"/>
      <c r="M52" s="271"/>
      <c r="N52" s="271"/>
      <c r="O52" s="271"/>
      <c r="P52" s="271"/>
      <c r="Q52" s="271"/>
      <c r="R52" s="271"/>
      <c r="S52" s="271"/>
      <c r="Z52" s="1708">
        <v>52</v>
      </c>
    </row>
    <row r="53" spans="1:26" s="144" customFormat="1" ht="13.35" customHeight="1">
      <c r="A53" s="243" t="s">
        <v>689</v>
      </c>
      <c r="B53" s="243" t="s">
        <v>606</v>
      </c>
      <c r="F53" s="243"/>
      <c r="G53" s="248"/>
      <c r="H53" s="262"/>
      <c r="I53" s="262"/>
      <c r="J53" s="261"/>
      <c r="K53" s="1291" t="s">
        <v>3464</v>
      </c>
      <c r="L53" s="261"/>
      <c r="M53" s="261"/>
      <c r="N53" s="261"/>
      <c r="O53" s="261"/>
      <c r="P53" s="261"/>
      <c r="Q53" s="261"/>
      <c r="R53" s="261"/>
      <c r="S53" s="261"/>
      <c r="Z53" s="1708">
        <v>53</v>
      </c>
    </row>
    <row r="54" spans="1:26" s="144" customFormat="1" ht="3" customHeight="1">
      <c r="A54" s="243"/>
      <c r="B54" s="243"/>
      <c r="F54" s="243"/>
      <c r="G54" s="248"/>
      <c r="H54" s="267"/>
      <c r="I54" s="267"/>
      <c r="J54" s="267"/>
      <c r="K54" s="268"/>
      <c r="L54" s="267"/>
      <c r="M54" s="267"/>
      <c r="N54" s="268"/>
      <c r="O54" s="269"/>
      <c r="P54" s="269"/>
      <c r="Q54" s="262"/>
      <c r="R54" s="269"/>
      <c r="S54" s="269"/>
      <c r="Z54" s="1708">
        <v>54</v>
      </c>
    </row>
    <row r="55" spans="1:26" s="144" customFormat="1" ht="11.25" customHeight="1">
      <c r="B55" s="243" t="s">
        <v>1842</v>
      </c>
      <c r="C55" s="243" t="s">
        <v>270</v>
      </c>
      <c r="H55" s="2577"/>
      <c r="I55" s="2622"/>
      <c r="J55" s="2622"/>
      <c r="K55" s="2622"/>
      <c r="L55" s="2622"/>
      <c r="M55" s="2622"/>
      <c r="N55" s="2623"/>
      <c r="O55" s="259" t="s">
        <v>1848</v>
      </c>
      <c r="P55" s="259"/>
      <c r="Q55" s="2577"/>
      <c r="R55" s="2622"/>
      <c r="S55" s="2623"/>
      <c r="Z55" s="1708">
        <v>55</v>
      </c>
    </row>
    <row r="56" spans="1:26" s="144" customFormat="1" ht="11.25" customHeight="1">
      <c r="D56" s="260"/>
      <c r="E56" s="246" t="s">
        <v>958</v>
      </c>
      <c r="F56" s="247"/>
      <c r="H56" s="2545"/>
      <c r="I56" s="2688"/>
      <c r="J56" s="2688"/>
      <c r="K56" s="2689"/>
      <c r="L56" s="2688"/>
      <c r="M56" s="2688"/>
      <c r="N56" s="2690"/>
      <c r="O56" s="259" t="s">
        <v>1625</v>
      </c>
      <c r="P56" s="261"/>
      <c r="Q56" s="2567"/>
      <c r="R56" s="2691"/>
      <c r="S56" s="2692"/>
      <c r="Z56" s="1708">
        <v>56</v>
      </c>
    </row>
    <row r="57" spans="1:26" s="144" customFormat="1" ht="11.25" customHeight="1">
      <c r="D57" s="260"/>
      <c r="E57" s="246" t="s">
        <v>575</v>
      </c>
      <c r="H57" s="2545"/>
      <c r="I57" s="2689"/>
      <c r="J57" s="2621"/>
      <c r="K57" s="262" t="s">
        <v>2460</v>
      </c>
      <c r="L57" s="2545"/>
      <c r="M57" s="2688"/>
      <c r="N57" s="2621"/>
      <c r="O57" s="259" t="s">
        <v>1601</v>
      </c>
      <c r="P57" s="261"/>
      <c r="Q57" s="2693"/>
      <c r="R57" s="2694"/>
      <c r="S57" s="2695"/>
      <c r="Z57" s="1708">
        <v>57</v>
      </c>
    </row>
    <row r="58" spans="1:26" s="144" customFormat="1" ht="11.25" customHeight="1">
      <c r="E58" s="246" t="s">
        <v>1672</v>
      </c>
      <c r="H58" s="999"/>
      <c r="I58" s="261"/>
      <c r="J58" s="261"/>
      <c r="K58" s="676" t="s">
        <v>2062</v>
      </c>
      <c r="L58" s="2570"/>
      <c r="M58" s="2696"/>
      <c r="N58" s="261"/>
      <c r="O58" s="259" t="s">
        <v>1838</v>
      </c>
      <c r="P58" s="261"/>
      <c r="Q58" s="2693"/>
      <c r="R58" s="2694"/>
      <c r="S58" s="2695"/>
      <c r="Z58" s="1708">
        <v>58</v>
      </c>
    </row>
    <row r="59" spans="1:26" s="144" customFormat="1" ht="11.25" customHeight="1">
      <c r="D59" s="260"/>
      <c r="E59" s="246" t="s">
        <v>3465</v>
      </c>
      <c r="H59" s="2686"/>
      <c r="I59" s="2687"/>
      <c r="J59" s="255"/>
      <c r="K59" s="262" t="s">
        <v>1843</v>
      </c>
      <c r="L59" s="2556"/>
      <c r="M59" s="2557"/>
      <c r="N59" s="2581"/>
      <c r="O59" s="2581"/>
      <c r="P59" s="2581"/>
      <c r="Q59" s="2557"/>
      <c r="R59" s="2557"/>
      <c r="S59" s="2558"/>
      <c r="Z59" s="1708">
        <v>59</v>
      </c>
    </row>
    <row r="60" spans="1:26" s="144" customFormat="1" ht="6.6" customHeight="1">
      <c r="D60" s="260"/>
      <c r="G60" s="246"/>
      <c r="H60" s="270"/>
      <c r="I60" s="270"/>
      <c r="J60" s="270"/>
      <c r="K60" s="262"/>
      <c r="L60" s="270"/>
      <c r="M60" s="270"/>
      <c r="N60" s="268"/>
      <c r="O60" s="269"/>
      <c r="P60" s="269"/>
      <c r="Q60" s="262"/>
      <c r="R60" s="269"/>
      <c r="S60" s="269"/>
      <c r="Z60" s="1708">
        <v>60</v>
      </c>
    </row>
    <row r="61" spans="1:26" s="144" customFormat="1" ht="11.25" customHeight="1">
      <c r="B61" s="243" t="s">
        <v>1844</v>
      </c>
      <c r="C61" s="243" t="s">
        <v>271</v>
      </c>
      <c r="H61" s="2577"/>
      <c r="I61" s="2622"/>
      <c r="J61" s="2622"/>
      <c r="K61" s="2622"/>
      <c r="L61" s="2622"/>
      <c r="M61" s="2622"/>
      <c r="N61" s="2623"/>
      <c r="O61" s="259" t="s">
        <v>1848</v>
      </c>
      <c r="P61" s="259"/>
      <c r="Q61" s="2577"/>
      <c r="R61" s="2622"/>
      <c r="S61" s="2623"/>
      <c r="Z61" s="1708">
        <v>61</v>
      </c>
    </row>
    <row r="62" spans="1:26" s="144" customFormat="1" ht="11.25" customHeight="1">
      <c r="D62" s="260"/>
      <c r="E62" s="246" t="s">
        <v>958</v>
      </c>
      <c r="F62" s="247"/>
      <c r="H62" s="2545"/>
      <c r="I62" s="2688"/>
      <c r="J62" s="2688"/>
      <c r="K62" s="2689"/>
      <c r="L62" s="2688"/>
      <c r="M62" s="2688"/>
      <c r="N62" s="2690"/>
      <c r="O62" s="259" t="s">
        <v>1625</v>
      </c>
      <c r="P62" s="261"/>
      <c r="Q62" s="2567"/>
      <c r="R62" s="2691"/>
      <c r="S62" s="2692"/>
      <c r="Z62" s="1708">
        <v>62</v>
      </c>
    </row>
    <row r="63" spans="1:26" s="144" customFormat="1" ht="11.25" customHeight="1">
      <c r="D63" s="260"/>
      <c r="E63" s="246" t="s">
        <v>575</v>
      </c>
      <c r="H63" s="2545"/>
      <c r="I63" s="2689"/>
      <c r="J63" s="2621"/>
      <c r="K63" s="262" t="s">
        <v>2460</v>
      </c>
      <c r="L63" s="2545"/>
      <c r="M63" s="2688"/>
      <c r="N63" s="2621"/>
      <c r="O63" s="259" t="s">
        <v>1601</v>
      </c>
      <c r="P63" s="261"/>
      <c r="Q63" s="2693"/>
      <c r="R63" s="2694"/>
      <c r="S63" s="2695"/>
      <c r="Z63" s="1708">
        <v>63</v>
      </c>
    </row>
    <row r="64" spans="1:26" s="144" customFormat="1" ht="11.25" customHeight="1">
      <c r="E64" s="246" t="s">
        <v>1672</v>
      </c>
      <c r="H64" s="999"/>
      <c r="I64" s="261"/>
      <c r="J64" s="261"/>
      <c r="K64" s="676" t="s">
        <v>2062</v>
      </c>
      <c r="L64" s="2570"/>
      <c r="M64" s="2696"/>
      <c r="N64" s="261"/>
      <c r="O64" s="259" t="s">
        <v>1838</v>
      </c>
      <c r="P64" s="261"/>
      <c r="Q64" s="2693"/>
      <c r="R64" s="2694"/>
      <c r="S64" s="2695"/>
      <c r="Z64" s="1708">
        <v>64</v>
      </c>
    </row>
    <row r="65" spans="1:26" s="144" customFormat="1" ht="11.25" customHeight="1">
      <c r="D65" s="260"/>
      <c r="E65" s="246" t="s">
        <v>3465</v>
      </c>
      <c r="H65" s="2686"/>
      <c r="I65" s="2687"/>
      <c r="J65" s="255"/>
      <c r="K65" s="262" t="s">
        <v>1843</v>
      </c>
      <c r="L65" s="2556"/>
      <c r="M65" s="2557"/>
      <c r="N65" s="2581"/>
      <c r="O65" s="2581"/>
      <c r="P65" s="2581"/>
      <c r="Q65" s="2557"/>
      <c r="R65" s="2557"/>
      <c r="S65" s="2558"/>
      <c r="Z65" s="1708">
        <v>65</v>
      </c>
    </row>
    <row r="66" spans="1:26" s="144" customFormat="1" ht="6.6" customHeight="1">
      <c r="D66" s="260"/>
      <c r="G66" s="246"/>
      <c r="H66" s="270"/>
      <c r="I66" s="270"/>
      <c r="J66" s="270"/>
      <c r="K66" s="262"/>
      <c r="L66" s="270"/>
      <c r="M66" s="270"/>
      <c r="N66" s="268"/>
      <c r="O66" s="269"/>
      <c r="P66" s="269"/>
      <c r="Q66" s="262"/>
      <c r="R66" s="269"/>
      <c r="S66" s="269"/>
      <c r="Z66" s="1708">
        <v>66</v>
      </c>
    </row>
    <row r="67" spans="1:26" s="144" customFormat="1" ht="11.25" customHeight="1">
      <c r="B67" s="243" t="s">
        <v>698</v>
      </c>
      <c r="C67" s="243" t="s">
        <v>1431</v>
      </c>
      <c r="H67" s="2577"/>
      <c r="I67" s="2622"/>
      <c r="J67" s="2622"/>
      <c r="K67" s="2622"/>
      <c r="L67" s="2622"/>
      <c r="M67" s="2622"/>
      <c r="N67" s="2623"/>
      <c r="O67" s="259" t="s">
        <v>1848</v>
      </c>
      <c r="P67" s="259"/>
      <c r="Q67" s="2577"/>
      <c r="R67" s="2622"/>
      <c r="S67" s="2623"/>
      <c r="Z67" s="1708">
        <v>67</v>
      </c>
    </row>
    <row r="68" spans="1:26" s="144" customFormat="1" ht="11.25" customHeight="1">
      <c r="D68" s="260"/>
      <c r="E68" s="246" t="s">
        <v>958</v>
      </c>
      <c r="F68" s="247"/>
      <c r="H68" s="2545"/>
      <c r="I68" s="2688"/>
      <c r="J68" s="2688"/>
      <c r="K68" s="2689"/>
      <c r="L68" s="2688"/>
      <c r="M68" s="2688"/>
      <c r="N68" s="2690"/>
      <c r="O68" s="259" t="s">
        <v>1625</v>
      </c>
      <c r="P68" s="261"/>
      <c r="Q68" s="2567"/>
      <c r="R68" s="2691"/>
      <c r="S68" s="2692"/>
      <c r="Z68" s="1708">
        <v>68</v>
      </c>
    </row>
    <row r="69" spans="1:26" s="144" customFormat="1" ht="11.25" customHeight="1">
      <c r="D69" s="260"/>
      <c r="E69" s="246" t="s">
        <v>575</v>
      </c>
      <c r="H69" s="2545"/>
      <c r="I69" s="2689"/>
      <c r="J69" s="2621"/>
      <c r="K69" s="262" t="s">
        <v>2460</v>
      </c>
      <c r="L69" s="2545"/>
      <c r="M69" s="2688"/>
      <c r="N69" s="2621"/>
      <c r="O69" s="259" t="s">
        <v>1601</v>
      </c>
      <c r="P69" s="261"/>
      <c r="Q69" s="2693"/>
      <c r="R69" s="2694"/>
      <c r="S69" s="2695"/>
      <c r="Z69" s="1708">
        <v>69</v>
      </c>
    </row>
    <row r="70" spans="1:26" s="144" customFormat="1" ht="11.25" customHeight="1">
      <c r="E70" s="246" t="s">
        <v>1672</v>
      </c>
      <c r="H70" s="999"/>
      <c r="I70" s="261"/>
      <c r="J70" s="261"/>
      <c r="K70" s="676" t="s">
        <v>2062</v>
      </c>
      <c r="L70" s="2570"/>
      <c r="M70" s="2696"/>
      <c r="N70" s="261"/>
      <c r="O70" s="259" t="s">
        <v>1838</v>
      </c>
      <c r="P70" s="261"/>
      <c r="Q70" s="2693"/>
      <c r="R70" s="2694"/>
      <c r="S70" s="2695"/>
      <c r="Z70" s="1708">
        <v>70</v>
      </c>
    </row>
    <row r="71" spans="1:26" s="144" customFormat="1" ht="11.25" customHeight="1">
      <c r="D71" s="260"/>
      <c r="E71" s="246" t="s">
        <v>3465</v>
      </c>
      <c r="H71" s="2686"/>
      <c r="I71" s="2687"/>
      <c r="J71" s="255"/>
      <c r="K71" s="262" t="s">
        <v>1843</v>
      </c>
      <c r="L71" s="2556"/>
      <c r="M71" s="2557"/>
      <c r="N71" s="2581"/>
      <c r="O71" s="2581"/>
      <c r="P71" s="2581"/>
      <c r="Q71" s="2557"/>
      <c r="R71" s="2557"/>
      <c r="S71" s="2558"/>
      <c r="Z71" s="1708">
        <v>71</v>
      </c>
    </row>
    <row r="72" spans="1:26" ht="6.6" customHeight="1">
      <c r="H72" s="270"/>
      <c r="I72" s="270"/>
      <c r="J72" s="270"/>
      <c r="K72" s="262"/>
      <c r="L72" s="270"/>
      <c r="M72" s="270"/>
      <c r="N72" s="268"/>
      <c r="O72" s="269"/>
      <c r="P72" s="269"/>
      <c r="Q72" s="262"/>
      <c r="R72" s="269"/>
      <c r="S72" s="269"/>
      <c r="Z72" s="1708">
        <v>72</v>
      </c>
    </row>
    <row r="73" spans="1:26" s="144" customFormat="1" ht="11.25" customHeight="1">
      <c r="B73" s="243" t="s">
        <v>1963</v>
      </c>
      <c r="C73" s="243" t="s">
        <v>272</v>
      </c>
      <c r="H73" s="2577"/>
      <c r="I73" s="2622"/>
      <c r="J73" s="2622"/>
      <c r="K73" s="2622"/>
      <c r="L73" s="2622"/>
      <c r="M73" s="2622"/>
      <c r="N73" s="2623"/>
      <c r="O73" s="259" t="s">
        <v>1848</v>
      </c>
      <c r="P73" s="259"/>
      <c r="Q73" s="2577"/>
      <c r="R73" s="2622"/>
      <c r="S73" s="2623"/>
      <c r="Z73" s="1708">
        <v>73</v>
      </c>
    </row>
    <row r="74" spans="1:26" s="144" customFormat="1" ht="11.25" customHeight="1">
      <c r="D74" s="260"/>
      <c r="E74" s="246" t="s">
        <v>958</v>
      </c>
      <c r="F74" s="247"/>
      <c r="H74" s="2545"/>
      <c r="I74" s="2688"/>
      <c r="J74" s="2688"/>
      <c r="K74" s="2689"/>
      <c r="L74" s="2688"/>
      <c r="M74" s="2688"/>
      <c r="N74" s="2690"/>
      <c r="O74" s="259" t="s">
        <v>1625</v>
      </c>
      <c r="P74" s="261"/>
      <c r="Q74" s="2567"/>
      <c r="R74" s="2691"/>
      <c r="S74" s="2692"/>
      <c r="Z74" s="1708">
        <v>74</v>
      </c>
    </row>
    <row r="75" spans="1:26" s="144" customFormat="1" ht="11.25" customHeight="1">
      <c r="D75" s="260"/>
      <c r="E75" s="246" t="s">
        <v>575</v>
      </c>
      <c r="H75" s="2545"/>
      <c r="I75" s="2689"/>
      <c r="J75" s="2621"/>
      <c r="K75" s="262" t="s">
        <v>2460</v>
      </c>
      <c r="L75" s="2545"/>
      <c r="M75" s="2688"/>
      <c r="N75" s="2621"/>
      <c r="O75" s="259" t="s">
        <v>1601</v>
      </c>
      <c r="P75" s="261"/>
      <c r="Q75" s="2693"/>
      <c r="R75" s="2694"/>
      <c r="S75" s="2695"/>
      <c r="Z75" s="1708">
        <v>75</v>
      </c>
    </row>
    <row r="76" spans="1:26" s="144" customFormat="1" ht="11.25" customHeight="1">
      <c r="E76" s="246" t="s">
        <v>1672</v>
      </c>
      <c r="H76" s="999"/>
      <c r="I76" s="261"/>
      <c r="J76" s="261"/>
      <c r="K76" s="676" t="s">
        <v>2062</v>
      </c>
      <c r="L76" s="2570"/>
      <c r="M76" s="2696"/>
      <c r="N76" s="261"/>
      <c r="O76" s="259" t="s">
        <v>1838</v>
      </c>
      <c r="P76" s="261"/>
      <c r="Q76" s="2693"/>
      <c r="R76" s="2694"/>
      <c r="S76" s="2695"/>
      <c r="Z76" s="1708">
        <v>76</v>
      </c>
    </row>
    <row r="77" spans="1:26" s="144" customFormat="1" ht="11.25" customHeight="1">
      <c r="D77" s="260"/>
      <c r="E77" s="246" t="s">
        <v>3465</v>
      </c>
      <c r="H77" s="2686"/>
      <c r="I77" s="2687"/>
      <c r="J77" s="255"/>
      <c r="K77" s="262" t="s">
        <v>1843</v>
      </c>
      <c r="L77" s="2556"/>
      <c r="M77" s="2557"/>
      <c r="N77" s="2581"/>
      <c r="O77" s="2581"/>
      <c r="P77" s="2581"/>
      <c r="Q77" s="2557"/>
      <c r="R77" s="2557"/>
      <c r="S77" s="2558"/>
      <c r="Z77" s="1708">
        <v>77</v>
      </c>
    </row>
    <row r="78" spans="1:26" ht="6.75" customHeight="1">
      <c r="H78" s="271"/>
      <c r="I78" s="271"/>
      <c r="J78" s="271"/>
      <c r="K78" s="271"/>
      <c r="L78" s="271"/>
      <c r="M78" s="271"/>
      <c r="N78" s="271"/>
      <c r="O78" s="271"/>
      <c r="P78" s="271"/>
      <c r="Q78" s="271"/>
      <c r="R78" s="271"/>
      <c r="S78" s="271"/>
      <c r="Z78" s="1708">
        <v>78</v>
      </c>
    </row>
    <row r="79" spans="1:26" s="246" customFormat="1" ht="13.35" customHeight="1">
      <c r="A79" s="222" t="s">
        <v>691</v>
      </c>
      <c r="B79" s="222" t="s">
        <v>273</v>
      </c>
      <c r="D79" s="222"/>
      <c r="F79" s="222"/>
      <c r="G79" s="222"/>
      <c r="H79" s="264"/>
      <c r="I79" s="264"/>
      <c r="J79" s="264"/>
      <c r="K79" s="1291" t="s">
        <v>3464</v>
      </c>
      <c r="L79" s="264"/>
      <c r="M79" s="264"/>
      <c r="N79" s="259"/>
      <c r="O79" s="259"/>
      <c r="P79" s="259"/>
      <c r="Q79" s="259"/>
      <c r="R79" s="259"/>
      <c r="S79" s="259"/>
      <c r="Z79" s="170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8">
        <v>80</v>
      </c>
    </row>
    <row r="81" spans="2:26" s="144" customFormat="1" ht="11.25" customHeight="1">
      <c r="B81" s="243" t="s">
        <v>1842</v>
      </c>
      <c r="C81" s="243" t="s">
        <v>274</v>
      </c>
      <c r="H81" s="2577"/>
      <c r="I81" s="2622"/>
      <c r="J81" s="2622"/>
      <c r="K81" s="2622"/>
      <c r="L81" s="2622"/>
      <c r="M81" s="2622"/>
      <c r="N81" s="2623"/>
      <c r="O81" s="259" t="s">
        <v>1848</v>
      </c>
      <c r="P81" s="259"/>
      <c r="Q81" s="2577"/>
      <c r="R81" s="2622"/>
      <c r="S81" s="2623"/>
      <c r="Z81" s="1708">
        <v>81</v>
      </c>
    </row>
    <row r="82" spans="2:26" s="144" customFormat="1" ht="11.25" customHeight="1">
      <c r="D82" s="260"/>
      <c r="E82" s="246" t="s">
        <v>958</v>
      </c>
      <c r="F82" s="247"/>
      <c r="H82" s="2545"/>
      <c r="I82" s="2688"/>
      <c r="J82" s="2688"/>
      <c r="K82" s="2689"/>
      <c r="L82" s="2688"/>
      <c r="M82" s="2688"/>
      <c r="N82" s="2690"/>
      <c r="O82" s="259" t="s">
        <v>1625</v>
      </c>
      <c r="P82" s="261"/>
      <c r="Q82" s="2567"/>
      <c r="R82" s="2691"/>
      <c r="S82" s="2692"/>
      <c r="Z82" s="1708">
        <v>82</v>
      </c>
    </row>
    <row r="83" spans="2:26" s="144" customFormat="1" ht="11.25" customHeight="1">
      <c r="D83" s="260"/>
      <c r="E83" s="246" t="s">
        <v>575</v>
      </c>
      <c r="H83" s="2545"/>
      <c r="I83" s="2689"/>
      <c r="J83" s="2621"/>
      <c r="K83" s="262" t="s">
        <v>2460</v>
      </c>
      <c r="L83" s="2545"/>
      <c r="M83" s="2688"/>
      <c r="N83" s="2621"/>
      <c r="O83" s="259" t="s">
        <v>1601</v>
      </c>
      <c r="P83" s="261"/>
      <c r="Q83" s="2693"/>
      <c r="R83" s="2694"/>
      <c r="S83" s="2695"/>
      <c r="Z83" s="1708">
        <v>83</v>
      </c>
    </row>
    <row r="84" spans="2:26" s="144" customFormat="1" ht="11.25" customHeight="1">
      <c r="E84" s="246" t="s">
        <v>1672</v>
      </c>
      <c r="H84" s="999"/>
      <c r="I84" s="261"/>
      <c r="J84" s="261"/>
      <c r="K84" s="676" t="s">
        <v>2062</v>
      </c>
      <c r="L84" s="2570"/>
      <c r="M84" s="2696"/>
      <c r="N84" s="261"/>
      <c r="O84" s="259" t="s">
        <v>1838</v>
      </c>
      <c r="P84" s="261"/>
      <c r="Q84" s="2693"/>
      <c r="R84" s="2694"/>
      <c r="S84" s="2695"/>
      <c r="Z84" s="1708">
        <v>84</v>
      </c>
    </row>
    <row r="85" spans="2:26" s="144" customFormat="1" ht="11.25" customHeight="1">
      <c r="D85" s="260"/>
      <c r="E85" s="246" t="s">
        <v>3465</v>
      </c>
      <c r="H85" s="2686"/>
      <c r="I85" s="2687"/>
      <c r="J85" s="255"/>
      <c r="K85" s="262" t="s">
        <v>1843</v>
      </c>
      <c r="L85" s="2556"/>
      <c r="M85" s="2557"/>
      <c r="N85" s="2581"/>
      <c r="O85" s="2581"/>
      <c r="P85" s="2581"/>
      <c r="Q85" s="2557"/>
      <c r="R85" s="2557"/>
      <c r="S85" s="2558"/>
      <c r="Z85" s="1708">
        <v>85</v>
      </c>
    </row>
    <row r="86" spans="2:26" ht="6.6" customHeight="1">
      <c r="H86" s="270"/>
      <c r="I86" s="270"/>
      <c r="J86" s="270"/>
      <c r="K86" s="262"/>
      <c r="L86" s="270"/>
      <c r="M86" s="270"/>
      <c r="N86" s="268"/>
      <c r="O86" s="269"/>
      <c r="P86" s="269"/>
      <c r="Q86" s="262"/>
      <c r="R86" s="269"/>
      <c r="S86" s="269"/>
      <c r="Z86" s="1708">
        <v>86</v>
      </c>
    </row>
    <row r="87" spans="2:26" s="144" customFormat="1" ht="11.25" customHeight="1">
      <c r="B87" s="243" t="s">
        <v>1844</v>
      </c>
      <c r="C87" s="243" t="s">
        <v>275</v>
      </c>
      <c r="H87" s="2577"/>
      <c r="I87" s="2622"/>
      <c r="J87" s="2622"/>
      <c r="K87" s="2622"/>
      <c r="L87" s="2622"/>
      <c r="M87" s="2622"/>
      <c r="N87" s="2623"/>
      <c r="O87" s="259" t="s">
        <v>1848</v>
      </c>
      <c r="P87" s="259"/>
      <c r="Q87" s="2577"/>
      <c r="R87" s="2622"/>
      <c r="S87" s="2623"/>
      <c r="Z87" s="1708">
        <v>87</v>
      </c>
    </row>
    <row r="88" spans="2:26" s="144" customFormat="1" ht="11.25" customHeight="1">
      <c r="D88" s="260"/>
      <c r="E88" s="246" t="s">
        <v>958</v>
      </c>
      <c r="F88" s="247"/>
      <c r="H88" s="2545"/>
      <c r="I88" s="2688"/>
      <c r="J88" s="2688"/>
      <c r="K88" s="2689"/>
      <c r="L88" s="2688"/>
      <c r="M88" s="2688"/>
      <c r="N88" s="2690"/>
      <c r="O88" s="259" t="s">
        <v>1625</v>
      </c>
      <c r="P88" s="261"/>
      <c r="Q88" s="2567"/>
      <c r="R88" s="2691"/>
      <c r="S88" s="2692"/>
      <c r="Z88" s="1708">
        <v>88</v>
      </c>
    </row>
    <row r="89" spans="2:26" s="144" customFormat="1" ht="11.25" customHeight="1">
      <c r="D89" s="260"/>
      <c r="E89" s="246" t="s">
        <v>575</v>
      </c>
      <c r="H89" s="2545"/>
      <c r="I89" s="2689"/>
      <c r="J89" s="2621"/>
      <c r="K89" s="262" t="s">
        <v>2460</v>
      </c>
      <c r="L89" s="2545"/>
      <c r="M89" s="2688"/>
      <c r="N89" s="2621"/>
      <c r="O89" s="259" t="s">
        <v>1601</v>
      </c>
      <c r="P89" s="261"/>
      <c r="Q89" s="2693"/>
      <c r="R89" s="2694"/>
      <c r="S89" s="2695"/>
      <c r="Z89" s="1708">
        <v>89</v>
      </c>
    </row>
    <row r="90" spans="2:26" s="144" customFormat="1" ht="11.25" customHeight="1">
      <c r="E90" s="246" t="s">
        <v>1672</v>
      </c>
      <c r="H90" s="999"/>
      <c r="I90" s="261"/>
      <c r="J90" s="261"/>
      <c r="K90" s="676" t="s">
        <v>2062</v>
      </c>
      <c r="L90" s="2570"/>
      <c r="M90" s="2696"/>
      <c r="N90" s="261"/>
      <c r="O90" s="259" t="s">
        <v>1838</v>
      </c>
      <c r="P90" s="261"/>
      <c r="Q90" s="2693"/>
      <c r="R90" s="2694"/>
      <c r="S90" s="2695"/>
      <c r="Z90" s="1708">
        <v>90</v>
      </c>
    </row>
    <row r="91" spans="2:26" s="144" customFormat="1" ht="11.25" customHeight="1">
      <c r="D91" s="260"/>
      <c r="E91" s="246" t="s">
        <v>3465</v>
      </c>
      <c r="H91" s="2686"/>
      <c r="I91" s="2687"/>
      <c r="J91" s="255"/>
      <c r="K91" s="262" t="s">
        <v>1843</v>
      </c>
      <c r="L91" s="2556"/>
      <c r="M91" s="2557"/>
      <c r="N91" s="2581"/>
      <c r="O91" s="2581"/>
      <c r="P91" s="2581"/>
      <c r="Q91" s="2557"/>
      <c r="R91" s="2557"/>
      <c r="S91" s="2558"/>
      <c r="Z91" s="1708">
        <v>91</v>
      </c>
    </row>
    <row r="92" spans="2:26" ht="6.6" customHeight="1">
      <c r="H92" s="270"/>
      <c r="I92" s="270"/>
      <c r="J92" s="270"/>
      <c r="K92" s="262"/>
      <c r="L92" s="270"/>
      <c r="M92" s="270"/>
      <c r="N92" s="268"/>
      <c r="O92" s="269"/>
      <c r="P92" s="269"/>
      <c r="Q92" s="262"/>
      <c r="R92" s="269"/>
      <c r="S92" s="269"/>
      <c r="Z92" s="1708">
        <v>92</v>
      </c>
    </row>
    <row r="93" spans="2:26" s="144" customFormat="1" ht="11.25" customHeight="1">
      <c r="B93" s="243" t="s">
        <v>698</v>
      </c>
      <c r="C93" s="243" t="s">
        <v>276</v>
      </c>
      <c r="F93" s="145"/>
      <c r="H93" s="2577"/>
      <c r="I93" s="2622"/>
      <c r="J93" s="2622"/>
      <c r="K93" s="2622"/>
      <c r="L93" s="2622"/>
      <c r="M93" s="2622"/>
      <c r="N93" s="2623"/>
      <c r="O93" s="259" t="s">
        <v>1848</v>
      </c>
      <c r="P93" s="259"/>
      <c r="Q93" s="2577"/>
      <c r="R93" s="2622"/>
      <c r="S93" s="2623"/>
      <c r="Z93" s="1708">
        <v>93</v>
      </c>
    </row>
    <row r="94" spans="2:26" s="144" customFormat="1" ht="11.25" customHeight="1">
      <c r="D94" s="260"/>
      <c r="E94" s="246" t="s">
        <v>958</v>
      </c>
      <c r="F94" s="247"/>
      <c r="H94" s="2545"/>
      <c r="I94" s="2688"/>
      <c r="J94" s="2688"/>
      <c r="K94" s="2689"/>
      <c r="L94" s="2688"/>
      <c r="M94" s="2688"/>
      <c r="N94" s="2690"/>
      <c r="O94" s="259" t="s">
        <v>1625</v>
      </c>
      <c r="P94" s="261"/>
      <c r="Q94" s="2567"/>
      <c r="R94" s="2691"/>
      <c r="S94" s="2692"/>
      <c r="Z94" s="1708">
        <v>94</v>
      </c>
    </row>
    <row r="95" spans="2:26" s="144" customFormat="1" ht="11.25" customHeight="1">
      <c r="D95" s="260"/>
      <c r="E95" s="246" t="s">
        <v>575</v>
      </c>
      <c r="H95" s="2545"/>
      <c r="I95" s="2689"/>
      <c r="J95" s="2621"/>
      <c r="K95" s="262" t="s">
        <v>2460</v>
      </c>
      <c r="L95" s="2545"/>
      <c r="M95" s="2688"/>
      <c r="N95" s="2621"/>
      <c r="O95" s="259" t="s">
        <v>1601</v>
      </c>
      <c r="P95" s="261"/>
      <c r="Q95" s="2693"/>
      <c r="R95" s="2694"/>
      <c r="S95" s="2695"/>
      <c r="Z95" s="1708">
        <v>95</v>
      </c>
    </row>
    <row r="96" spans="2:26" s="144" customFormat="1" ht="11.25" customHeight="1">
      <c r="D96" s="260"/>
      <c r="E96" s="246" t="s">
        <v>1672</v>
      </c>
      <c r="H96" s="999"/>
      <c r="I96" s="261"/>
      <c r="J96" s="261"/>
      <c r="K96" s="676" t="s">
        <v>2062</v>
      </c>
      <c r="L96" s="2570"/>
      <c r="M96" s="2696"/>
      <c r="N96" s="261"/>
      <c r="O96" s="259" t="s">
        <v>1838</v>
      </c>
      <c r="P96" s="261"/>
      <c r="Q96" s="2693"/>
      <c r="R96" s="2694"/>
      <c r="S96" s="2695"/>
      <c r="Z96" s="1708">
        <v>96</v>
      </c>
    </row>
    <row r="97" spans="2:26" s="144" customFormat="1" ht="11.25" customHeight="1">
      <c r="D97" s="260"/>
      <c r="E97" s="246" t="s">
        <v>3465</v>
      </c>
      <c r="H97" s="2686"/>
      <c r="I97" s="2687"/>
      <c r="J97" s="255"/>
      <c r="K97" s="262" t="s">
        <v>1843</v>
      </c>
      <c r="L97" s="2556"/>
      <c r="M97" s="2557"/>
      <c r="N97" s="2581"/>
      <c r="O97" s="2581"/>
      <c r="P97" s="2581"/>
      <c r="Q97" s="2557"/>
      <c r="R97" s="2557"/>
      <c r="S97" s="2558"/>
      <c r="Z97" s="1708">
        <v>97</v>
      </c>
    </row>
    <row r="98" spans="2:26" ht="6.6" customHeight="1">
      <c r="H98" s="270"/>
      <c r="I98" s="270"/>
      <c r="J98" s="270"/>
      <c r="K98" s="262"/>
      <c r="L98" s="270"/>
      <c r="M98" s="270"/>
      <c r="N98" s="268"/>
      <c r="O98" s="269"/>
      <c r="P98" s="269"/>
      <c r="Q98" s="262"/>
      <c r="R98" s="269"/>
      <c r="S98" s="269"/>
      <c r="Z98" s="1708">
        <v>98</v>
      </c>
    </row>
    <row r="99" spans="2:26" s="144" customFormat="1" ht="11.25" customHeight="1">
      <c r="B99" s="243" t="s">
        <v>1963</v>
      </c>
      <c r="C99" s="243" t="s">
        <v>277</v>
      </c>
      <c r="H99" s="2577"/>
      <c r="I99" s="2622"/>
      <c r="J99" s="2622"/>
      <c r="K99" s="2622"/>
      <c r="L99" s="2622"/>
      <c r="M99" s="2622"/>
      <c r="N99" s="2623"/>
      <c r="O99" s="259" t="s">
        <v>1848</v>
      </c>
      <c r="P99" s="259"/>
      <c r="Q99" s="2577"/>
      <c r="R99" s="2622"/>
      <c r="S99" s="2623"/>
      <c r="Z99" s="1708">
        <v>99</v>
      </c>
    </row>
    <row r="100" spans="2:26" s="144" customFormat="1" ht="11.25" customHeight="1">
      <c r="D100" s="260"/>
      <c r="E100" s="246" t="s">
        <v>958</v>
      </c>
      <c r="F100" s="247"/>
      <c r="H100" s="2545"/>
      <c r="I100" s="2688"/>
      <c r="J100" s="2688"/>
      <c r="K100" s="2689"/>
      <c r="L100" s="2688"/>
      <c r="M100" s="2688"/>
      <c r="N100" s="2690"/>
      <c r="O100" s="259" t="s">
        <v>1625</v>
      </c>
      <c r="P100" s="261"/>
      <c r="Q100" s="2567"/>
      <c r="R100" s="2691"/>
      <c r="S100" s="2692"/>
      <c r="Z100" s="1708">
        <v>100</v>
      </c>
    </row>
    <row r="101" spans="2:26" s="144" customFormat="1" ht="11.25" customHeight="1">
      <c r="D101" s="260"/>
      <c r="E101" s="246" t="s">
        <v>575</v>
      </c>
      <c r="H101" s="2545"/>
      <c r="I101" s="2689"/>
      <c r="J101" s="2621"/>
      <c r="K101" s="262" t="s">
        <v>2460</v>
      </c>
      <c r="L101" s="2545"/>
      <c r="M101" s="2688"/>
      <c r="N101" s="2621"/>
      <c r="O101" s="259" t="s">
        <v>1601</v>
      </c>
      <c r="P101" s="261"/>
      <c r="Q101" s="2693"/>
      <c r="R101" s="2694"/>
      <c r="S101" s="2695"/>
      <c r="Z101" s="1708">
        <v>101</v>
      </c>
    </row>
    <row r="102" spans="2:26" s="144" customFormat="1" ht="11.25" customHeight="1">
      <c r="D102" s="260"/>
      <c r="E102" s="246" t="s">
        <v>1672</v>
      </c>
      <c r="H102" s="999"/>
      <c r="I102" s="261"/>
      <c r="J102" s="261"/>
      <c r="K102" s="676" t="s">
        <v>2062</v>
      </c>
      <c r="L102" s="2570"/>
      <c r="M102" s="2696"/>
      <c r="N102" s="261"/>
      <c r="O102" s="259" t="s">
        <v>1838</v>
      </c>
      <c r="P102" s="261"/>
      <c r="Q102" s="2693"/>
      <c r="R102" s="2694"/>
      <c r="S102" s="2695"/>
      <c r="Z102" s="1708">
        <v>102</v>
      </c>
    </row>
    <row r="103" spans="2:26" ht="11.25" customHeight="1">
      <c r="E103" s="246" t="s">
        <v>3465</v>
      </c>
      <c r="F103" s="144"/>
      <c r="G103" s="144"/>
      <c r="H103" s="2686"/>
      <c r="I103" s="2687"/>
      <c r="J103" s="255"/>
      <c r="K103" s="262" t="s">
        <v>1843</v>
      </c>
      <c r="L103" s="2556"/>
      <c r="M103" s="2557"/>
      <c r="N103" s="2581"/>
      <c r="O103" s="2581"/>
      <c r="P103" s="2581"/>
      <c r="Q103" s="2557"/>
      <c r="R103" s="2557"/>
      <c r="S103" s="2558"/>
      <c r="Z103" s="1708">
        <v>103</v>
      </c>
    </row>
    <row r="104" spans="2:26" ht="6" customHeight="1">
      <c r="E104" s="246"/>
      <c r="F104" s="144"/>
      <c r="G104" s="144"/>
      <c r="H104" s="270"/>
      <c r="I104" s="270"/>
      <c r="J104" s="270"/>
      <c r="K104" s="262"/>
      <c r="L104" s="270"/>
      <c r="M104" s="270"/>
      <c r="N104" s="268"/>
      <c r="O104" s="269"/>
      <c r="P104" s="269"/>
      <c r="Q104" s="262"/>
      <c r="R104" s="269"/>
      <c r="S104" s="269"/>
      <c r="Z104" s="1708">
        <v>104</v>
      </c>
    </row>
    <row r="105" spans="2:26" s="144" customFormat="1" ht="11.25" customHeight="1">
      <c r="B105" s="243" t="s">
        <v>1613</v>
      </c>
      <c r="C105" s="243" t="s">
        <v>278</v>
      </c>
      <c r="H105" s="2577"/>
      <c r="I105" s="2622"/>
      <c r="J105" s="2622"/>
      <c r="K105" s="2622"/>
      <c r="L105" s="2622"/>
      <c r="M105" s="2622"/>
      <c r="N105" s="2623"/>
      <c r="O105" s="259" t="s">
        <v>1848</v>
      </c>
      <c r="P105" s="259"/>
      <c r="Q105" s="2577"/>
      <c r="R105" s="2622"/>
      <c r="S105" s="2623"/>
      <c r="Z105" s="1708">
        <v>105</v>
      </c>
    </row>
    <row r="106" spans="2:26" s="144" customFormat="1" ht="11.25" customHeight="1">
      <c r="D106" s="260"/>
      <c r="E106" s="246" t="s">
        <v>958</v>
      </c>
      <c r="F106" s="247"/>
      <c r="H106" s="2545"/>
      <c r="I106" s="2688"/>
      <c r="J106" s="2688"/>
      <c r="K106" s="2689"/>
      <c r="L106" s="2688"/>
      <c r="M106" s="2688"/>
      <c r="N106" s="2690"/>
      <c r="O106" s="259" t="s">
        <v>1625</v>
      </c>
      <c r="P106" s="261"/>
      <c r="Q106" s="2567"/>
      <c r="R106" s="2691"/>
      <c r="S106" s="2692"/>
      <c r="Z106" s="1708">
        <v>106</v>
      </c>
    </row>
    <row r="107" spans="2:26" s="144" customFormat="1" ht="11.25" customHeight="1">
      <c r="D107" s="260"/>
      <c r="E107" s="246" t="s">
        <v>575</v>
      </c>
      <c r="H107" s="2545"/>
      <c r="I107" s="2689"/>
      <c r="J107" s="2621"/>
      <c r="K107" s="262" t="s">
        <v>2460</v>
      </c>
      <c r="L107" s="2545"/>
      <c r="M107" s="2688"/>
      <c r="N107" s="2621"/>
      <c r="O107" s="259" t="s">
        <v>1601</v>
      </c>
      <c r="P107" s="261"/>
      <c r="Q107" s="2693"/>
      <c r="R107" s="2694"/>
      <c r="S107" s="2695"/>
      <c r="Z107" s="1708">
        <v>107</v>
      </c>
    </row>
    <row r="108" spans="2:26" s="144" customFormat="1" ht="11.25" customHeight="1">
      <c r="D108" s="260"/>
      <c r="E108" s="246" t="s">
        <v>1672</v>
      </c>
      <c r="H108" s="999"/>
      <c r="I108" s="261"/>
      <c r="J108" s="261"/>
      <c r="K108" s="676" t="s">
        <v>2062</v>
      </c>
      <c r="L108" s="2570"/>
      <c r="M108" s="2696"/>
      <c r="N108" s="261"/>
      <c r="O108" s="259" t="s">
        <v>1838</v>
      </c>
      <c r="P108" s="261"/>
      <c r="Q108" s="2693"/>
      <c r="R108" s="2694"/>
      <c r="S108" s="2695"/>
      <c r="Z108" s="1708">
        <v>108</v>
      </c>
    </row>
    <row r="109" spans="2:26" ht="11.25" customHeight="1">
      <c r="E109" s="246" t="s">
        <v>3465</v>
      </c>
      <c r="F109" s="144"/>
      <c r="G109" s="144"/>
      <c r="H109" s="2686"/>
      <c r="I109" s="2687"/>
      <c r="J109" s="255"/>
      <c r="K109" s="262" t="s">
        <v>1843</v>
      </c>
      <c r="L109" s="2556"/>
      <c r="M109" s="2557"/>
      <c r="N109" s="2581"/>
      <c r="O109" s="2581"/>
      <c r="P109" s="2581"/>
      <c r="Q109" s="2557"/>
      <c r="R109" s="2557"/>
      <c r="S109" s="2558"/>
      <c r="Z109" s="1708">
        <v>109</v>
      </c>
    </row>
    <row r="110" spans="2:26" ht="6.6" customHeight="1">
      <c r="E110" s="246"/>
      <c r="F110" s="144"/>
      <c r="G110" s="144"/>
      <c r="H110" s="270"/>
      <c r="I110" s="270"/>
      <c r="J110" s="270"/>
      <c r="K110" s="262"/>
      <c r="L110" s="270"/>
      <c r="M110" s="270"/>
      <c r="N110" s="268"/>
      <c r="O110" s="269"/>
      <c r="P110" s="269"/>
      <c r="Q110" s="262"/>
      <c r="R110" s="269"/>
      <c r="S110" s="269"/>
      <c r="Z110" s="1708">
        <v>110</v>
      </c>
    </row>
    <row r="111" spans="2:26" s="144" customFormat="1" ht="11.25" customHeight="1">
      <c r="B111" s="243" t="s">
        <v>1614</v>
      </c>
      <c r="C111" s="243" t="s">
        <v>279</v>
      </c>
      <c r="H111" s="2577"/>
      <c r="I111" s="2622"/>
      <c r="J111" s="2622"/>
      <c r="K111" s="2622"/>
      <c r="L111" s="2622"/>
      <c r="M111" s="2622"/>
      <c r="N111" s="2623"/>
      <c r="O111" s="259" t="s">
        <v>1848</v>
      </c>
      <c r="P111" s="259"/>
      <c r="Q111" s="2577"/>
      <c r="R111" s="2622"/>
      <c r="S111" s="2623"/>
      <c r="Z111" s="1708">
        <v>111</v>
      </c>
    </row>
    <row r="112" spans="2:26" s="144" customFormat="1" ht="11.25" customHeight="1">
      <c r="D112" s="260"/>
      <c r="E112" s="246" t="s">
        <v>958</v>
      </c>
      <c r="F112" s="247"/>
      <c r="H112" s="2545"/>
      <c r="I112" s="2688"/>
      <c r="J112" s="2688"/>
      <c r="K112" s="2689"/>
      <c r="L112" s="2688"/>
      <c r="M112" s="2688"/>
      <c r="N112" s="2690"/>
      <c r="O112" s="259" t="s">
        <v>1625</v>
      </c>
      <c r="P112" s="261"/>
      <c r="Q112" s="2567"/>
      <c r="R112" s="2691"/>
      <c r="S112" s="2692"/>
      <c r="Z112" s="1708">
        <v>112</v>
      </c>
    </row>
    <row r="113" spans="1:26" s="144" customFormat="1" ht="11.25" customHeight="1">
      <c r="D113" s="260"/>
      <c r="E113" s="246" t="s">
        <v>575</v>
      </c>
      <c r="H113" s="2545"/>
      <c r="I113" s="2689"/>
      <c r="J113" s="2621"/>
      <c r="K113" s="262" t="s">
        <v>2460</v>
      </c>
      <c r="L113" s="2545"/>
      <c r="M113" s="2688"/>
      <c r="N113" s="2621"/>
      <c r="O113" s="259" t="s">
        <v>1601</v>
      </c>
      <c r="P113" s="261"/>
      <c r="Q113" s="2693"/>
      <c r="R113" s="2694"/>
      <c r="S113" s="2695"/>
      <c r="Z113" s="1708">
        <v>113</v>
      </c>
    </row>
    <row r="114" spans="1:26" s="144" customFormat="1" ht="11.25" customHeight="1">
      <c r="D114" s="260"/>
      <c r="E114" s="246" t="s">
        <v>1672</v>
      </c>
      <c r="H114" s="999"/>
      <c r="I114" s="261"/>
      <c r="J114" s="261"/>
      <c r="K114" s="676" t="s">
        <v>2062</v>
      </c>
      <c r="L114" s="2570"/>
      <c r="M114" s="2696"/>
      <c r="N114" s="261"/>
      <c r="O114" s="259" t="s">
        <v>1838</v>
      </c>
      <c r="P114" s="261"/>
      <c r="Q114" s="2693"/>
      <c r="R114" s="2694"/>
      <c r="S114" s="2695"/>
      <c r="Z114" s="1708">
        <v>114</v>
      </c>
    </row>
    <row r="115" spans="1:26" s="144" customFormat="1" ht="11.25" customHeight="1">
      <c r="D115" s="260"/>
      <c r="E115" s="246" t="s">
        <v>3465</v>
      </c>
      <c r="H115" s="2686"/>
      <c r="I115" s="2687"/>
      <c r="J115" s="255"/>
      <c r="K115" s="262" t="s">
        <v>1843</v>
      </c>
      <c r="L115" s="2556"/>
      <c r="M115" s="2557"/>
      <c r="N115" s="2581"/>
      <c r="O115" s="2581"/>
      <c r="P115" s="2581"/>
      <c r="Q115" s="2557"/>
      <c r="R115" s="2557"/>
      <c r="S115" s="2558"/>
      <c r="Z115" s="1708">
        <v>115</v>
      </c>
    </row>
    <row r="116" spans="1:26" ht="3" customHeight="1">
      <c r="H116" s="271"/>
      <c r="I116" s="271"/>
      <c r="J116" s="271"/>
      <c r="K116" s="271"/>
      <c r="L116" s="271"/>
      <c r="M116" s="271"/>
      <c r="N116" s="271"/>
      <c r="O116" s="271"/>
      <c r="P116" s="271"/>
      <c r="Q116" s="271"/>
      <c r="R116" s="271"/>
      <c r="S116" s="271"/>
      <c r="Z116" s="1708">
        <v>116</v>
      </c>
    </row>
    <row r="117" spans="1:26" s="144" customFormat="1" ht="12" customHeight="1">
      <c r="A117" s="243" t="s">
        <v>1667</v>
      </c>
      <c r="B117" s="243" t="s">
        <v>2397</v>
      </c>
      <c r="F117" s="243"/>
      <c r="G117" s="248"/>
      <c r="H117" s="262"/>
      <c r="I117" s="262"/>
      <c r="J117" s="262"/>
      <c r="K117" s="262"/>
      <c r="L117" s="262"/>
      <c r="M117" s="262"/>
      <c r="N117" s="262"/>
      <c r="O117" s="262"/>
      <c r="P117" s="262"/>
      <c r="Q117" s="262"/>
      <c r="R117" s="261"/>
      <c r="S117" s="261"/>
      <c r="Z117" s="1708">
        <v>117</v>
      </c>
    </row>
    <row r="118" spans="1:26" s="144" customFormat="1" ht="12" customHeight="1">
      <c r="A118" s="243"/>
      <c r="B118" s="243" t="s">
        <v>1842</v>
      </c>
      <c r="C118" s="243" t="s">
        <v>6230</v>
      </c>
      <c r="F118" s="243"/>
      <c r="G118" s="248"/>
      <c r="H118" s="262"/>
      <c r="I118" s="262"/>
      <c r="J118" s="262"/>
      <c r="K118" s="262"/>
      <c r="L118" s="262"/>
      <c r="M118" s="262"/>
      <c r="N118" s="262"/>
      <c r="O118" s="262"/>
      <c r="P118" s="262"/>
      <c r="Q118" s="262"/>
      <c r="R118" s="261"/>
      <c r="S118" s="261"/>
      <c r="Z118" s="1708">
        <v>118</v>
      </c>
    </row>
    <row r="119" spans="1:26" ht="2.25" customHeight="1">
      <c r="H119" s="271"/>
      <c r="I119" s="271"/>
      <c r="J119" s="271"/>
      <c r="K119" s="271"/>
      <c r="L119" s="271"/>
      <c r="M119" s="271"/>
      <c r="N119" s="271"/>
      <c r="O119" s="271"/>
      <c r="P119" s="271"/>
      <c r="Q119" s="271"/>
      <c r="R119" s="271"/>
      <c r="S119" s="271"/>
      <c r="Z119" s="1708">
        <v>119</v>
      </c>
    </row>
    <row r="120" spans="1:26" s="144" customFormat="1" ht="11.25" customHeight="1">
      <c r="C120" s="1681" t="s">
        <v>1845</v>
      </c>
      <c r="D120" s="243" t="s">
        <v>6476</v>
      </c>
      <c r="H120" s="2577"/>
      <c r="I120" s="2578"/>
      <c r="J120" s="2579"/>
      <c r="K120" s="262" t="s">
        <v>1671</v>
      </c>
      <c r="L120" s="2577"/>
      <c r="M120" s="2622"/>
      <c r="N120" s="2623"/>
      <c r="O120" s="259" t="s">
        <v>3144</v>
      </c>
      <c r="P120" s="261"/>
      <c r="Q120" s="2575"/>
      <c r="R120" s="2624"/>
      <c r="S120" s="2625"/>
      <c r="Z120" s="1708">
        <v>120</v>
      </c>
    </row>
    <row r="121" spans="1:26" s="144" customFormat="1" ht="11.25" customHeight="1">
      <c r="C121" s="243"/>
      <c r="D121" s="260"/>
      <c r="E121" s="246" t="s">
        <v>6231</v>
      </c>
      <c r="F121" s="247"/>
      <c r="H121" s="2563"/>
      <c r="I121" s="2613"/>
      <c r="J121" s="2614"/>
      <c r="K121" s="2615"/>
      <c r="L121" s="2613"/>
      <c r="M121" s="2613"/>
      <c r="N121" s="2616"/>
      <c r="O121" s="259" t="s">
        <v>575</v>
      </c>
      <c r="P121" s="261"/>
      <c r="Q121" s="2617"/>
      <c r="R121" s="2618"/>
      <c r="S121" s="2619"/>
      <c r="Z121" s="1708">
        <v>121</v>
      </c>
    </row>
    <row r="122" spans="1:26" s="144" customFormat="1" ht="11.25" customHeight="1">
      <c r="C122" s="243"/>
      <c r="D122" s="260"/>
      <c r="E122" s="246" t="s">
        <v>1672</v>
      </c>
      <c r="H122" s="1263"/>
      <c r="I122" s="676" t="s">
        <v>2062</v>
      </c>
      <c r="J122" s="2620"/>
      <c r="K122" s="2621"/>
      <c r="L122" s="262" t="s">
        <v>1843</v>
      </c>
      <c r="M122" s="2580"/>
      <c r="N122" s="2581"/>
      <c r="O122" s="2581"/>
      <c r="P122" s="2581"/>
      <c r="Q122" s="2557"/>
      <c r="R122" s="2557"/>
      <c r="S122" s="2558"/>
      <c r="Z122" s="1708">
        <v>122</v>
      </c>
    </row>
    <row r="123" spans="1:26" ht="2.25" customHeight="1">
      <c r="C123" s="253"/>
      <c r="H123" s="271"/>
      <c r="I123" s="271"/>
      <c r="J123" s="271"/>
      <c r="K123" s="271"/>
      <c r="L123" s="271"/>
      <c r="M123" s="271"/>
      <c r="N123" s="271"/>
      <c r="O123" s="271"/>
      <c r="P123" s="271"/>
      <c r="Q123" s="271"/>
      <c r="R123" s="271"/>
      <c r="S123" s="271"/>
      <c r="Z123" s="1708">
        <v>123</v>
      </c>
    </row>
    <row r="124" spans="1:26" s="144" customFormat="1" ht="11.25" hidden="1" customHeight="1">
      <c r="C124" s="1681"/>
      <c r="D124" s="144" t="s">
        <v>6477</v>
      </c>
      <c r="H124" s="2577"/>
      <c r="I124" s="2578"/>
      <c r="J124" s="2579"/>
      <c r="K124" s="262" t="s">
        <v>1671</v>
      </c>
      <c r="L124" s="2577"/>
      <c r="M124" s="2622"/>
      <c r="N124" s="2623"/>
      <c r="O124" s="259" t="s">
        <v>3144</v>
      </c>
      <c r="P124" s="261"/>
      <c r="Q124" s="2575"/>
      <c r="R124" s="2624"/>
      <c r="S124" s="2625"/>
      <c r="Z124" s="1708">
        <v>124</v>
      </c>
    </row>
    <row r="125" spans="1:26" s="144" customFormat="1" ht="11.25" hidden="1" customHeight="1">
      <c r="C125" s="243"/>
      <c r="D125" s="260"/>
      <c r="E125" s="246" t="s">
        <v>6231</v>
      </c>
      <c r="F125" s="247"/>
      <c r="H125" s="2563"/>
      <c r="I125" s="2613"/>
      <c r="J125" s="2614"/>
      <c r="K125" s="2615"/>
      <c r="L125" s="2613"/>
      <c r="M125" s="2613"/>
      <c r="N125" s="2616"/>
      <c r="O125" s="259" t="s">
        <v>575</v>
      </c>
      <c r="P125" s="261"/>
      <c r="Q125" s="2617"/>
      <c r="R125" s="2618"/>
      <c r="S125" s="2619"/>
      <c r="Z125" s="1708">
        <v>125</v>
      </c>
    </row>
    <row r="126" spans="1:26" s="144" customFormat="1" ht="11.25" hidden="1" customHeight="1">
      <c r="C126" s="243"/>
      <c r="D126" s="260"/>
      <c r="E126" s="246" t="s">
        <v>1672</v>
      </c>
      <c r="H126" s="1263"/>
      <c r="I126" s="676" t="s">
        <v>2062</v>
      </c>
      <c r="J126" s="2620"/>
      <c r="K126" s="2621"/>
      <c r="L126" s="262" t="s">
        <v>1843</v>
      </c>
      <c r="M126" s="2580"/>
      <c r="N126" s="2581"/>
      <c r="O126" s="2581"/>
      <c r="P126" s="2581"/>
      <c r="Q126" s="2557"/>
      <c r="R126" s="2557"/>
      <c r="S126" s="2558"/>
      <c r="Z126" s="1708">
        <v>126</v>
      </c>
    </row>
    <row r="127" spans="1:26" ht="2.25" hidden="1" customHeight="1">
      <c r="C127" s="253"/>
      <c r="H127" s="271"/>
      <c r="I127" s="271"/>
      <c r="J127" s="271"/>
      <c r="K127" s="271"/>
      <c r="L127" s="271"/>
      <c r="M127" s="271"/>
      <c r="N127" s="271"/>
      <c r="O127" s="271"/>
      <c r="P127" s="271"/>
      <c r="Q127" s="271"/>
      <c r="R127" s="271"/>
      <c r="S127" s="271"/>
      <c r="Z127" s="1708">
        <v>127</v>
      </c>
    </row>
    <row r="128" spans="1:26" s="144" customFormat="1" ht="11.25" hidden="1" customHeight="1">
      <c r="C128" s="1681"/>
      <c r="D128" s="144" t="s">
        <v>6311</v>
      </c>
      <c r="H128" s="2577"/>
      <c r="I128" s="2578"/>
      <c r="J128" s="2579"/>
      <c r="K128" s="262" t="s">
        <v>1671</v>
      </c>
      <c r="L128" s="2577"/>
      <c r="M128" s="2622"/>
      <c r="N128" s="2623"/>
      <c r="O128" s="259" t="s">
        <v>3144</v>
      </c>
      <c r="P128" s="261"/>
      <c r="Q128" s="2575"/>
      <c r="R128" s="2624"/>
      <c r="S128" s="2625"/>
      <c r="Z128" s="1708">
        <v>128</v>
      </c>
    </row>
    <row r="129" spans="3:26" s="144" customFormat="1" ht="11.25" hidden="1" customHeight="1">
      <c r="C129" s="243"/>
      <c r="D129" s="260"/>
      <c r="E129" s="246" t="s">
        <v>6231</v>
      </c>
      <c r="F129" s="247"/>
      <c r="H129" s="2563"/>
      <c r="I129" s="2613"/>
      <c r="J129" s="2614"/>
      <c r="K129" s="2615"/>
      <c r="L129" s="2613"/>
      <c r="M129" s="2613"/>
      <c r="N129" s="2616"/>
      <c r="O129" s="259" t="s">
        <v>575</v>
      </c>
      <c r="P129" s="261"/>
      <c r="Q129" s="2617"/>
      <c r="R129" s="2618"/>
      <c r="S129" s="2619"/>
      <c r="Z129" s="1708">
        <v>129</v>
      </c>
    </row>
    <row r="130" spans="3:26" s="144" customFormat="1" ht="11.25" hidden="1" customHeight="1">
      <c r="C130" s="243"/>
      <c r="D130" s="260"/>
      <c r="E130" s="246" t="s">
        <v>1672</v>
      </c>
      <c r="H130" s="1263"/>
      <c r="I130" s="676" t="s">
        <v>2062</v>
      </c>
      <c r="J130" s="2620"/>
      <c r="K130" s="2621"/>
      <c r="L130" s="262" t="s">
        <v>1843</v>
      </c>
      <c r="M130" s="2580"/>
      <c r="N130" s="2581"/>
      <c r="O130" s="2581"/>
      <c r="P130" s="2581"/>
      <c r="Q130" s="2557"/>
      <c r="R130" s="2557"/>
      <c r="S130" s="2558"/>
      <c r="Z130" s="1708">
        <v>130</v>
      </c>
    </row>
    <row r="131" spans="3:26" ht="2.25" hidden="1" customHeight="1">
      <c r="C131" s="253"/>
      <c r="H131" s="271"/>
      <c r="I131" s="271"/>
      <c r="J131" s="271"/>
      <c r="K131" s="271"/>
      <c r="L131" s="271"/>
      <c r="M131" s="271"/>
      <c r="N131" s="271"/>
      <c r="O131" s="271"/>
      <c r="P131" s="271"/>
      <c r="Q131" s="271"/>
      <c r="R131" s="271"/>
      <c r="S131" s="271"/>
      <c r="Z131" s="1708">
        <v>131</v>
      </c>
    </row>
    <row r="132" spans="3:26" s="144" customFormat="1" ht="11.25" hidden="1" customHeight="1">
      <c r="C132" s="1681"/>
      <c r="D132" s="144" t="s">
        <v>6478</v>
      </c>
      <c r="H132" s="2577"/>
      <c r="I132" s="2578"/>
      <c r="J132" s="2579"/>
      <c r="K132" s="262" t="s">
        <v>1671</v>
      </c>
      <c r="L132" s="2577"/>
      <c r="M132" s="2622"/>
      <c r="N132" s="2623"/>
      <c r="O132" s="259" t="s">
        <v>3144</v>
      </c>
      <c r="P132" s="261"/>
      <c r="Q132" s="2575"/>
      <c r="R132" s="2624"/>
      <c r="S132" s="2625"/>
      <c r="Z132" s="1708">
        <v>132</v>
      </c>
    </row>
    <row r="133" spans="3:26" s="144" customFormat="1" ht="11.25" hidden="1" customHeight="1">
      <c r="C133" s="243"/>
      <c r="D133" s="260"/>
      <c r="E133" s="246" t="s">
        <v>6231</v>
      </c>
      <c r="F133" s="247"/>
      <c r="H133" s="2563"/>
      <c r="I133" s="2613"/>
      <c r="J133" s="2614"/>
      <c r="K133" s="2615"/>
      <c r="L133" s="2613"/>
      <c r="M133" s="2613"/>
      <c r="N133" s="2616"/>
      <c r="O133" s="259" t="s">
        <v>575</v>
      </c>
      <c r="P133" s="261"/>
      <c r="Q133" s="2617"/>
      <c r="R133" s="2618"/>
      <c r="S133" s="2619"/>
      <c r="Z133" s="1708">
        <v>133</v>
      </c>
    </row>
    <row r="134" spans="3:26" s="144" customFormat="1" ht="11.25" hidden="1" customHeight="1">
      <c r="C134" s="243"/>
      <c r="D134" s="260"/>
      <c r="E134" s="246" t="s">
        <v>1672</v>
      </c>
      <c r="H134" s="1263"/>
      <c r="I134" s="676" t="s">
        <v>2062</v>
      </c>
      <c r="J134" s="2620"/>
      <c r="K134" s="2621"/>
      <c r="L134" s="262" t="s">
        <v>1843</v>
      </c>
      <c r="M134" s="2580"/>
      <c r="N134" s="2581"/>
      <c r="O134" s="2581"/>
      <c r="P134" s="2581"/>
      <c r="Q134" s="2557"/>
      <c r="R134" s="2557"/>
      <c r="S134" s="2558"/>
      <c r="Z134" s="1708">
        <v>134</v>
      </c>
    </row>
    <row r="135" spans="3:26" ht="2.25" hidden="1" customHeight="1">
      <c r="C135" s="253"/>
      <c r="H135" s="271"/>
      <c r="I135" s="271"/>
      <c r="J135" s="271"/>
      <c r="K135" s="271"/>
      <c r="L135" s="271"/>
      <c r="M135" s="271"/>
      <c r="N135" s="271"/>
      <c r="O135" s="271"/>
      <c r="P135" s="271"/>
      <c r="Q135" s="271"/>
      <c r="R135" s="271"/>
      <c r="S135" s="271"/>
      <c r="Z135" s="1708">
        <v>135</v>
      </c>
    </row>
    <row r="136" spans="3:26" s="144" customFormat="1" ht="11.25" hidden="1" customHeight="1">
      <c r="C136" s="1681"/>
      <c r="D136" s="144" t="s">
        <v>6479</v>
      </c>
      <c r="H136" s="2577"/>
      <c r="I136" s="2578"/>
      <c r="J136" s="2579"/>
      <c r="K136" s="262" t="s">
        <v>1671</v>
      </c>
      <c r="L136" s="2577"/>
      <c r="M136" s="2622"/>
      <c r="N136" s="2623"/>
      <c r="O136" s="259" t="s">
        <v>3144</v>
      </c>
      <c r="P136" s="261"/>
      <c r="Q136" s="2575"/>
      <c r="R136" s="2624"/>
      <c r="S136" s="2625"/>
      <c r="Z136" s="1708">
        <v>136</v>
      </c>
    </row>
    <row r="137" spans="3:26" s="144" customFormat="1" ht="11.25" hidden="1" customHeight="1">
      <c r="C137" s="243"/>
      <c r="D137" s="260"/>
      <c r="E137" s="246" t="s">
        <v>6231</v>
      </c>
      <c r="F137" s="247"/>
      <c r="H137" s="2563"/>
      <c r="I137" s="2613"/>
      <c r="J137" s="2614"/>
      <c r="K137" s="2615"/>
      <c r="L137" s="2613"/>
      <c r="M137" s="2613"/>
      <c r="N137" s="2616"/>
      <c r="O137" s="259" t="s">
        <v>575</v>
      </c>
      <c r="P137" s="261"/>
      <c r="Q137" s="2617"/>
      <c r="R137" s="2618"/>
      <c r="S137" s="2619"/>
      <c r="Z137" s="1708">
        <v>137</v>
      </c>
    </row>
    <row r="138" spans="3:26" s="144" customFormat="1" ht="11.25" hidden="1" customHeight="1">
      <c r="C138" s="243"/>
      <c r="D138" s="260"/>
      <c r="E138" s="246" t="s">
        <v>1672</v>
      </c>
      <c r="H138" s="1263"/>
      <c r="I138" s="676" t="s">
        <v>2062</v>
      </c>
      <c r="J138" s="2620"/>
      <c r="K138" s="2621"/>
      <c r="L138" s="262" t="s">
        <v>1843</v>
      </c>
      <c r="M138" s="2580"/>
      <c r="N138" s="2581"/>
      <c r="O138" s="2581"/>
      <c r="P138" s="2581"/>
      <c r="Q138" s="2557"/>
      <c r="R138" s="2557"/>
      <c r="S138" s="2558"/>
      <c r="Z138" s="1708">
        <v>138</v>
      </c>
    </row>
    <row r="139" spans="3:26" ht="2.25" hidden="1" customHeight="1">
      <c r="C139" s="253"/>
      <c r="H139" s="271"/>
      <c r="I139" s="271"/>
      <c r="J139" s="271"/>
      <c r="K139" s="271"/>
      <c r="L139" s="271"/>
      <c r="M139" s="271"/>
      <c r="N139" s="271"/>
      <c r="O139" s="271"/>
      <c r="P139" s="271"/>
      <c r="Q139" s="271"/>
      <c r="R139" s="271"/>
      <c r="S139" s="271"/>
      <c r="Z139" s="1708">
        <v>139</v>
      </c>
    </row>
    <row r="140" spans="3:26" s="144" customFormat="1" ht="11.25" hidden="1" customHeight="1">
      <c r="C140" s="1681"/>
      <c r="D140" s="144" t="s">
        <v>6480</v>
      </c>
      <c r="H140" s="2577"/>
      <c r="I140" s="2578"/>
      <c r="J140" s="2579"/>
      <c r="K140" s="262" t="s">
        <v>1671</v>
      </c>
      <c r="L140" s="2577"/>
      <c r="M140" s="2622"/>
      <c r="N140" s="2623"/>
      <c r="O140" s="259" t="s">
        <v>3144</v>
      </c>
      <c r="P140" s="261"/>
      <c r="Q140" s="2575"/>
      <c r="R140" s="2624"/>
      <c r="S140" s="2625"/>
      <c r="Z140" s="1708">
        <v>140</v>
      </c>
    </row>
    <row r="141" spans="3:26" s="144" customFormat="1" ht="11.25" hidden="1" customHeight="1">
      <c r="C141" s="243"/>
      <c r="D141" s="260"/>
      <c r="E141" s="246" t="s">
        <v>6231</v>
      </c>
      <c r="F141" s="247"/>
      <c r="H141" s="2563"/>
      <c r="I141" s="2613"/>
      <c r="J141" s="2614"/>
      <c r="K141" s="2615"/>
      <c r="L141" s="2613"/>
      <c r="M141" s="2613"/>
      <c r="N141" s="2616"/>
      <c r="O141" s="259" t="s">
        <v>575</v>
      </c>
      <c r="P141" s="261"/>
      <c r="Q141" s="2617"/>
      <c r="R141" s="2618"/>
      <c r="S141" s="2619"/>
      <c r="Z141" s="1708">
        <v>141</v>
      </c>
    </row>
    <row r="142" spans="3:26" s="144" customFormat="1" ht="11.25" hidden="1" customHeight="1">
      <c r="C142" s="243"/>
      <c r="D142" s="260"/>
      <c r="E142" s="246" t="s">
        <v>1672</v>
      </c>
      <c r="H142" s="1263"/>
      <c r="I142" s="676" t="s">
        <v>2062</v>
      </c>
      <c r="J142" s="2620"/>
      <c r="K142" s="2621"/>
      <c r="L142" s="262" t="s">
        <v>1843</v>
      </c>
      <c r="M142" s="2580"/>
      <c r="N142" s="2581"/>
      <c r="O142" s="2581"/>
      <c r="P142" s="2581"/>
      <c r="Q142" s="2557"/>
      <c r="R142" s="2557"/>
      <c r="S142" s="2558"/>
      <c r="Z142" s="1708">
        <v>142</v>
      </c>
    </row>
    <row r="143" spans="3:26" ht="2.25" hidden="1" customHeight="1">
      <c r="C143" s="253"/>
      <c r="H143" s="271"/>
      <c r="I143" s="271"/>
      <c r="J143" s="271"/>
      <c r="K143" s="271"/>
      <c r="L143" s="271"/>
      <c r="M143" s="271"/>
      <c r="N143" s="271"/>
      <c r="O143" s="271"/>
      <c r="P143" s="271"/>
      <c r="Q143" s="271"/>
      <c r="R143" s="271"/>
      <c r="S143" s="271"/>
      <c r="Z143" s="1708">
        <v>143</v>
      </c>
    </row>
    <row r="144" spans="3:26" s="144" customFormat="1" ht="11.25" customHeight="1">
      <c r="C144" s="1681" t="s">
        <v>1847</v>
      </c>
      <c r="D144" s="144" t="s">
        <v>6474</v>
      </c>
      <c r="H144" s="2577"/>
      <c r="I144" s="2578"/>
      <c r="J144" s="2579"/>
      <c r="K144" s="262" t="s">
        <v>1671</v>
      </c>
      <c r="L144" s="2577"/>
      <c r="M144" s="2622"/>
      <c r="N144" s="2623"/>
      <c r="O144" s="259" t="s">
        <v>3144</v>
      </c>
      <c r="P144" s="261"/>
      <c r="Q144" s="2575"/>
      <c r="R144" s="2624"/>
      <c r="S144" s="2625"/>
      <c r="Z144" s="1708">
        <v>144</v>
      </c>
    </row>
    <row r="145" spans="1:26" s="144" customFormat="1" ht="11.25" customHeight="1">
      <c r="C145" s="243"/>
      <c r="D145" s="260"/>
      <c r="E145" s="246" t="s">
        <v>6231</v>
      </c>
      <c r="F145" s="247"/>
      <c r="H145" s="2563"/>
      <c r="I145" s="2613"/>
      <c r="J145" s="2614"/>
      <c r="K145" s="2615"/>
      <c r="L145" s="2613"/>
      <c r="M145" s="2613"/>
      <c r="N145" s="2616"/>
      <c r="O145" s="259" t="s">
        <v>575</v>
      </c>
      <c r="P145" s="261"/>
      <c r="Q145" s="2617"/>
      <c r="R145" s="2618"/>
      <c r="S145" s="2619"/>
      <c r="Z145" s="1708">
        <v>145</v>
      </c>
    </row>
    <row r="146" spans="1:26" s="144" customFormat="1" ht="11.25" customHeight="1">
      <c r="C146" s="243"/>
      <c r="D146" s="260"/>
      <c r="E146" s="246" t="s">
        <v>1672</v>
      </c>
      <c r="H146" s="1263"/>
      <c r="I146" s="676" t="s">
        <v>2062</v>
      </c>
      <c r="J146" s="2620"/>
      <c r="K146" s="2621"/>
      <c r="L146" s="262" t="s">
        <v>1843</v>
      </c>
      <c r="M146" s="2580"/>
      <c r="N146" s="2581"/>
      <c r="O146" s="2581"/>
      <c r="P146" s="2581"/>
      <c r="Q146" s="2557"/>
      <c r="R146" s="2557"/>
      <c r="S146" s="2558"/>
      <c r="Z146" s="1708">
        <v>146</v>
      </c>
    </row>
    <row r="147" spans="1:26" ht="2.25" customHeight="1">
      <c r="C147" s="253"/>
      <c r="H147" s="271"/>
      <c r="I147" s="271"/>
      <c r="J147" s="271"/>
      <c r="K147" s="271"/>
      <c r="L147" s="271"/>
      <c r="M147" s="271"/>
      <c r="N147" s="271"/>
      <c r="O147" s="271"/>
      <c r="P147" s="271"/>
      <c r="Q147" s="271"/>
      <c r="R147" s="271"/>
      <c r="S147" s="271"/>
      <c r="Z147" s="1708">
        <v>147</v>
      </c>
    </row>
    <row r="148" spans="1:26" s="144" customFormat="1" ht="11.25" customHeight="1">
      <c r="C148" s="1681" t="s">
        <v>2333</v>
      </c>
      <c r="D148" s="144" t="s">
        <v>6475</v>
      </c>
      <c r="H148" s="2577"/>
      <c r="I148" s="2578"/>
      <c r="J148" s="2579"/>
      <c r="K148" s="262" t="s">
        <v>1671</v>
      </c>
      <c r="L148" s="2577"/>
      <c r="M148" s="2622"/>
      <c r="N148" s="2623"/>
      <c r="O148" s="259" t="s">
        <v>3144</v>
      </c>
      <c r="P148" s="261"/>
      <c r="Q148" s="2575"/>
      <c r="R148" s="2624"/>
      <c r="S148" s="2625"/>
      <c r="Z148" s="1708">
        <v>148</v>
      </c>
    </row>
    <row r="149" spans="1:26" s="144" customFormat="1" ht="11.25" customHeight="1">
      <c r="D149" s="260"/>
      <c r="E149" s="246" t="s">
        <v>6231</v>
      </c>
      <c r="F149" s="247"/>
      <c r="H149" s="2563"/>
      <c r="I149" s="2613"/>
      <c r="J149" s="2614"/>
      <c r="K149" s="2615"/>
      <c r="L149" s="2613"/>
      <c r="M149" s="2613"/>
      <c r="N149" s="2616"/>
      <c r="O149" s="259" t="s">
        <v>575</v>
      </c>
      <c r="P149" s="261"/>
      <c r="Q149" s="2617"/>
      <c r="R149" s="2618"/>
      <c r="S149" s="2619"/>
      <c r="Z149" s="1708">
        <v>149</v>
      </c>
    </row>
    <row r="150" spans="1:26" s="144" customFormat="1" ht="11.25" customHeight="1">
      <c r="D150" s="260"/>
      <c r="E150" s="246" t="s">
        <v>1672</v>
      </c>
      <c r="H150" s="1263"/>
      <c r="I150" s="676" t="s">
        <v>2062</v>
      </c>
      <c r="J150" s="2620"/>
      <c r="K150" s="2621"/>
      <c r="L150" s="262" t="s">
        <v>1843</v>
      </c>
      <c r="M150" s="2580"/>
      <c r="N150" s="2581"/>
      <c r="O150" s="2581"/>
      <c r="P150" s="2581"/>
      <c r="Q150" s="2557"/>
      <c r="R150" s="2557"/>
      <c r="S150" s="2558"/>
      <c r="Z150" s="1708">
        <v>150</v>
      </c>
    </row>
    <row r="151" spans="1:26" ht="6" customHeight="1">
      <c r="H151" s="271"/>
      <c r="I151" s="271"/>
      <c r="J151" s="271"/>
      <c r="K151" s="271"/>
      <c r="L151" s="271"/>
      <c r="M151" s="271"/>
      <c r="N151" s="271"/>
      <c r="O151" s="271"/>
      <c r="P151" s="271"/>
      <c r="Q151" s="271"/>
      <c r="R151" s="271"/>
      <c r="S151" s="271"/>
      <c r="Z151" s="1708">
        <v>151</v>
      </c>
    </row>
    <row r="152" spans="1:26" ht="12" customHeight="1">
      <c r="B152" s="243" t="s">
        <v>1844</v>
      </c>
      <c r="C152" s="243" t="s">
        <v>3886</v>
      </c>
      <c r="H152" s="480"/>
      <c r="I152" s="480"/>
      <c r="J152" s="480"/>
      <c r="K152" s="480"/>
      <c r="L152" s="480"/>
      <c r="M152" s="480"/>
      <c r="N152" s="480"/>
      <c r="O152" s="480"/>
      <c r="P152" s="480"/>
      <c r="Q152" s="480"/>
      <c r="R152" s="480"/>
      <c r="S152" s="480"/>
      <c r="Z152" s="1708">
        <v>152</v>
      </c>
    </row>
    <row r="153" spans="1:26" ht="13.5" thickBot="1">
      <c r="A153" s="2626" t="s">
        <v>3301</v>
      </c>
      <c r="B153" s="2626"/>
      <c r="C153" s="2626"/>
      <c r="D153" s="2626"/>
      <c r="E153" s="2626"/>
      <c r="H153" s="1265" t="s">
        <v>2309</v>
      </c>
      <c r="I153" s="2607" t="s">
        <v>6525</v>
      </c>
      <c r="J153" s="2608"/>
      <c r="K153" s="2608"/>
      <c r="L153" s="2608"/>
      <c r="M153" s="2608"/>
      <c r="N153" s="2608"/>
      <c r="O153" s="2608"/>
      <c r="P153" s="2608"/>
      <c r="Q153" s="2608"/>
      <c r="R153" s="2608"/>
      <c r="S153" s="2609"/>
      <c r="Z153" s="1708">
        <v>153</v>
      </c>
    </row>
    <row r="154" spans="1:26" s="144" customFormat="1" ht="15" customHeight="1" thickBot="1">
      <c r="B154" s="476" t="s">
        <v>1845</v>
      </c>
      <c r="C154" s="256" t="s">
        <v>2523</v>
      </c>
      <c r="E154" s="256"/>
      <c r="H154" s="1218" t="s">
        <v>3844</v>
      </c>
      <c r="I154" s="2711"/>
      <c r="J154" s="2631"/>
      <c r="K154" s="2631"/>
      <c r="L154" s="2631"/>
      <c r="M154" s="2631"/>
      <c r="N154" s="2631"/>
      <c r="O154" s="2631"/>
      <c r="P154" s="2631"/>
      <c r="Q154" s="2631"/>
      <c r="R154" s="2631"/>
      <c r="S154" s="2633"/>
      <c r="U154" s="2533" t="s">
        <v>1884</v>
      </c>
      <c r="V154" s="2533"/>
      <c r="Z154" s="1708">
        <v>154</v>
      </c>
    </row>
    <row r="155" spans="1:26" s="144" customFormat="1" ht="15" customHeight="1" thickBot="1">
      <c r="B155" s="476" t="s">
        <v>1847</v>
      </c>
      <c r="C155" s="256" t="s">
        <v>6229</v>
      </c>
      <c r="E155" s="256"/>
      <c r="H155" s="1218" t="s">
        <v>3844</v>
      </c>
      <c r="I155" s="2710"/>
      <c r="J155" s="2638"/>
      <c r="K155" s="2638"/>
      <c r="L155" s="2638"/>
      <c r="M155" s="2638"/>
      <c r="N155" s="2638"/>
      <c r="O155" s="2638"/>
      <c r="P155" s="2638"/>
      <c r="Q155" s="2638"/>
      <c r="R155" s="2638"/>
      <c r="S155" s="2640"/>
      <c r="U155" s="2533"/>
      <c r="V155" s="2533"/>
      <c r="Z155" s="1708">
        <v>155</v>
      </c>
    </row>
    <row r="156" spans="1:26" s="144" customFormat="1" ht="15" customHeight="1" thickBot="1">
      <c r="B156" s="476" t="s">
        <v>2333</v>
      </c>
      <c r="C156" s="256" t="s">
        <v>2559</v>
      </c>
      <c r="E156" s="256"/>
      <c r="H156" s="1218" t="s">
        <v>3844</v>
      </c>
      <c r="I156" s="2710"/>
      <c r="J156" s="2638"/>
      <c r="K156" s="2638"/>
      <c r="L156" s="2638"/>
      <c r="M156" s="2638"/>
      <c r="N156" s="2638"/>
      <c r="O156" s="2638"/>
      <c r="P156" s="2638"/>
      <c r="Q156" s="2638"/>
      <c r="R156" s="2638"/>
      <c r="S156" s="2640"/>
      <c r="U156" s="2533"/>
      <c r="V156" s="2533"/>
      <c r="Z156" s="1708">
        <v>156</v>
      </c>
    </row>
    <row r="157" spans="1:26" s="144" customFormat="1" ht="15" customHeight="1" thickBot="1">
      <c r="B157" s="476" t="s">
        <v>1151</v>
      </c>
      <c r="C157" s="256" t="s">
        <v>2524</v>
      </c>
      <c r="E157" s="256"/>
      <c r="H157" s="1218" t="s">
        <v>3844</v>
      </c>
      <c r="I157" s="2710"/>
      <c r="J157" s="2638"/>
      <c r="K157" s="2638"/>
      <c r="L157" s="2638"/>
      <c r="M157" s="2638"/>
      <c r="N157" s="2638"/>
      <c r="O157" s="2638"/>
      <c r="P157" s="2638"/>
      <c r="Q157" s="2638"/>
      <c r="R157" s="2638"/>
      <c r="S157" s="2640"/>
      <c r="U157" s="2533"/>
      <c r="V157" s="2533"/>
      <c r="Z157" s="1708">
        <v>157</v>
      </c>
    </row>
    <row r="158" spans="1:26" s="144" customFormat="1" ht="15" customHeight="1" thickBot="1">
      <c r="B158" s="476" t="s">
        <v>1152</v>
      </c>
      <c r="C158" s="256" t="s">
        <v>3078</v>
      </c>
      <c r="E158" s="256"/>
      <c r="H158" s="1218" t="s">
        <v>3844</v>
      </c>
      <c r="I158" s="2710"/>
      <c r="J158" s="2638"/>
      <c r="K158" s="2638"/>
      <c r="L158" s="2638"/>
      <c r="M158" s="2638"/>
      <c r="N158" s="2638"/>
      <c r="O158" s="2638"/>
      <c r="P158" s="2638"/>
      <c r="Q158" s="2638"/>
      <c r="R158" s="2638"/>
      <c r="S158" s="2640"/>
      <c r="U158" s="2533"/>
      <c r="V158" s="2533"/>
      <c r="Z158" s="1708">
        <v>158</v>
      </c>
    </row>
    <row r="159" spans="1:26" s="144" customFormat="1" ht="15" customHeight="1" thickBot="1">
      <c r="B159" s="476" t="s">
        <v>1742</v>
      </c>
      <c r="C159" s="256" t="s">
        <v>3079</v>
      </c>
      <c r="E159" s="256"/>
      <c r="H159" s="1218" t="s">
        <v>3844</v>
      </c>
      <c r="I159" s="2710"/>
      <c r="J159" s="2638"/>
      <c r="K159" s="2638"/>
      <c r="L159" s="2638"/>
      <c r="M159" s="2638"/>
      <c r="N159" s="2638"/>
      <c r="O159" s="2638"/>
      <c r="P159" s="2638"/>
      <c r="Q159" s="2638"/>
      <c r="R159" s="2638"/>
      <c r="S159" s="2640"/>
      <c r="U159" s="2533"/>
      <c r="V159" s="2533"/>
      <c r="Z159" s="1708">
        <v>159</v>
      </c>
    </row>
    <row r="160" spans="1:26" s="144" customFormat="1" ht="15" customHeight="1" thickBot="1">
      <c r="B160" s="476" t="s">
        <v>473</v>
      </c>
      <c r="C160" s="256" t="s">
        <v>2525</v>
      </c>
      <c r="E160" s="256"/>
      <c r="H160" s="1218" t="s">
        <v>3844</v>
      </c>
      <c r="I160" s="2710"/>
      <c r="J160" s="2638"/>
      <c r="K160" s="2638"/>
      <c r="L160" s="2638"/>
      <c r="M160" s="2638"/>
      <c r="N160" s="2638"/>
      <c r="O160" s="2638"/>
      <c r="P160" s="2638"/>
      <c r="Q160" s="2638"/>
      <c r="R160" s="2638"/>
      <c r="S160" s="2640"/>
      <c r="Z160" s="1708">
        <v>160</v>
      </c>
    </row>
    <row r="161" spans="1:26" s="144" customFormat="1" ht="15" customHeight="1" thickBot="1">
      <c r="B161" s="476" t="s">
        <v>474</v>
      </c>
      <c r="C161" s="256" t="s">
        <v>3895</v>
      </c>
      <c r="E161" s="256"/>
      <c r="H161" s="1218" t="s">
        <v>3844</v>
      </c>
      <c r="I161" s="2710"/>
      <c r="J161" s="2638"/>
      <c r="K161" s="2638"/>
      <c r="L161" s="2638"/>
      <c r="M161" s="2638"/>
      <c r="N161" s="2638"/>
      <c r="O161" s="2638"/>
      <c r="P161" s="2638"/>
      <c r="Q161" s="2638"/>
      <c r="R161" s="2638"/>
      <c r="S161" s="2640"/>
      <c r="Z161" s="1708">
        <v>161</v>
      </c>
    </row>
    <row r="162" spans="1:26" s="144" customFormat="1" ht="15" customHeight="1" thickBot="1">
      <c r="B162" s="476" t="s">
        <v>3894</v>
      </c>
      <c r="C162" s="2610" t="s">
        <v>6481</v>
      </c>
      <c r="D162" s="2611"/>
      <c r="E162" s="2611"/>
      <c r="F162" s="2611"/>
      <c r="G162" s="2612"/>
      <c r="H162" s="1218" t="s">
        <v>3844</v>
      </c>
      <c r="I162" s="2709"/>
      <c r="J162" s="2677"/>
      <c r="K162" s="2677"/>
      <c r="L162" s="2677"/>
      <c r="M162" s="2677"/>
      <c r="N162" s="2677"/>
      <c r="O162" s="2677"/>
      <c r="P162" s="2677"/>
      <c r="Q162" s="2677"/>
      <c r="R162" s="2677"/>
      <c r="S162" s="2679"/>
      <c r="Z162" s="1708">
        <v>162</v>
      </c>
    </row>
    <row r="163" spans="1:26" s="144" customFormat="1" ht="13.35" customHeight="1">
      <c r="A163" s="243" t="s">
        <v>1667</v>
      </c>
      <c r="B163" s="243" t="s">
        <v>2528</v>
      </c>
      <c r="F163" s="243"/>
      <c r="G163" s="248"/>
      <c r="H163" s="248"/>
      <c r="I163" s="248"/>
      <c r="J163" s="248"/>
      <c r="K163" s="248"/>
      <c r="L163" s="248"/>
      <c r="M163" s="248"/>
      <c r="N163" s="248"/>
      <c r="O163" s="248"/>
      <c r="P163" s="248"/>
      <c r="Q163" s="248"/>
      <c r="Z163" s="1708">
        <v>163</v>
      </c>
    </row>
    <row r="164" spans="1:26" s="144" customFormat="1" ht="2.25" customHeight="1">
      <c r="A164" s="243"/>
      <c r="B164" s="243"/>
      <c r="F164" s="243"/>
      <c r="G164" s="248"/>
      <c r="H164" s="248"/>
      <c r="I164" s="248"/>
      <c r="J164" s="248"/>
      <c r="K164" s="248"/>
      <c r="L164" s="248"/>
      <c r="M164" s="248"/>
      <c r="N164" s="248"/>
      <c r="O164" s="248"/>
      <c r="P164" s="248"/>
      <c r="Q164" s="248"/>
      <c r="Z164" s="1708">
        <v>164</v>
      </c>
    </row>
    <row r="165" spans="1:26" ht="13.35" customHeight="1">
      <c r="B165" s="243" t="s">
        <v>698</v>
      </c>
      <c r="C165" s="243" t="s">
        <v>3887</v>
      </c>
      <c r="Z165" s="1708">
        <v>165</v>
      </c>
    </row>
    <row r="166" spans="1:26" s="144" customFormat="1" ht="12.75" customHeight="1">
      <c r="A166" s="2641" t="s">
        <v>594</v>
      </c>
      <c r="B166" s="2642"/>
      <c r="C166" s="2642"/>
      <c r="D166" s="2642"/>
      <c r="E166" s="2647" t="s">
        <v>3067</v>
      </c>
      <c r="F166" s="2648"/>
      <c r="G166" s="2648"/>
      <c r="H166" s="2648"/>
      <c r="I166" s="2649"/>
      <c r="J166" s="2653" t="s">
        <v>3068</v>
      </c>
      <c r="K166" s="2656" t="s">
        <v>2581</v>
      </c>
      <c r="L166" s="2656" t="s">
        <v>2582</v>
      </c>
      <c r="M166" s="2659" t="s">
        <v>6482</v>
      </c>
      <c r="N166" s="2660"/>
      <c r="O166" s="2660"/>
      <c r="P166" s="2660"/>
      <c r="Q166" s="2660"/>
      <c r="R166" s="2660"/>
      <c r="S166" s="2661"/>
      <c r="Z166" s="1708">
        <v>166</v>
      </c>
    </row>
    <row r="167" spans="1:26" s="144" customFormat="1" ht="12.75" customHeight="1">
      <c r="A167" s="2643"/>
      <c r="B167" s="2644"/>
      <c r="C167" s="2644"/>
      <c r="D167" s="2644"/>
      <c r="E167" s="2650"/>
      <c r="F167" s="2651"/>
      <c r="G167" s="2651"/>
      <c r="H167" s="2651"/>
      <c r="I167" s="2652"/>
      <c r="J167" s="2654"/>
      <c r="K167" s="2657"/>
      <c r="L167" s="2657"/>
      <c r="M167" s="2662"/>
      <c r="N167" s="2663"/>
      <c r="O167" s="2663"/>
      <c r="P167" s="2663"/>
      <c r="Q167" s="2663"/>
      <c r="R167" s="2663"/>
      <c r="S167" s="2664"/>
      <c r="Z167" s="1708">
        <v>167</v>
      </c>
    </row>
    <row r="168" spans="1:26" s="144" customFormat="1" ht="12.75" customHeight="1">
      <c r="A168" s="2643"/>
      <c r="B168" s="2644"/>
      <c r="C168" s="2644"/>
      <c r="D168" s="2644"/>
      <c r="E168" s="2650"/>
      <c r="F168" s="2651"/>
      <c r="G168" s="2651"/>
      <c r="H168" s="2651"/>
      <c r="I168" s="2652"/>
      <c r="J168" s="2654"/>
      <c r="K168" s="2657"/>
      <c r="L168" s="2657"/>
      <c r="M168" s="2662"/>
      <c r="N168" s="2663"/>
      <c r="O168" s="2663"/>
      <c r="P168" s="2663"/>
      <c r="Q168" s="2663"/>
      <c r="R168" s="2663"/>
      <c r="S168" s="2664"/>
      <c r="Z168" s="1708">
        <v>168</v>
      </c>
    </row>
    <row r="169" spans="1:26" s="144" customFormat="1" ht="12.75" customHeight="1">
      <c r="A169" s="2643"/>
      <c r="B169" s="2644"/>
      <c r="C169" s="2644"/>
      <c r="D169" s="2644"/>
      <c r="E169" s="2665" t="s">
        <v>3221</v>
      </c>
      <c r="F169" s="2666"/>
      <c r="G169" s="2666"/>
      <c r="H169" s="2667"/>
      <c r="I169" s="481"/>
      <c r="J169" s="2654"/>
      <c r="K169" s="2657"/>
      <c r="L169" s="2657"/>
      <c r="M169" s="2662"/>
      <c r="N169" s="2663"/>
      <c r="O169" s="2663"/>
      <c r="P169" s="2663"/>
      <c r="Q169" s="2663"/>
      <c r="R169" s="2663"/>
      <c r="S169" s="2664"/>
      <c r="Z169" s="1708">
        <v>169</v>
      </c>
    </row>
    <row r="170" spans="1:26" s="144" customFormat="1" ht="13.5" customHeight="1">
      <c r="A170" s="2645"/>
      <c r="B170" s="2646"/>
      <c r="C170" s="2646"/>
      <c r="D170" s="2646"/>
      <c r="E170" s="2668"/>
      <c r="F170" s="2669"/>
      <c r="G170" s="2669"/>
      <c r="H170" s="2670"/>
      <c r="I170" s="1219" t="s">
        <v>2309</v>
      </c>
      <c r="J170" s="2655"/>
      <c r="K170" s="2658"/>
      <c r="L170" s="2657"/>
      <c r="M170" s="1220" t="s">
        <v>2309</v>
      </c>
      <c r="N170" s="2671" t="s">
        <v>2580</v>
      </c>
      <c r="O170" s="2671"/>
      <c r="P170" s="2671"/>
      <c r="Q170" s="2671"/>
      <c r="R170" s="2671"/>
      <c r="S170" s="2672"/>
      <c r="Z170" s="1708">
        <v>170</v>
      </c>
    </row>
    <row r="171" spans="1:26" s="144" customFormat="1" ht="23.25" customHeight="1">
      <c r="A171" s="2627" t="s">
        <v>3062</v>
      </c>
      <c r="B171" s="2628"/>
      <c r="C171" s="2628"/>
      <c r="D171" s="2629"/>
      <c r="E171" s="2630"/>
      <c r="F171" s="2631"/>
      <c r="G171" s="2631"/>
      <c r="H171" s="2631"/>
      <c r="I171" s="646" t="s">
        <v>3844</v>
      </c>
      <c r="J171" s="477" t="s">
        <v>3844</v>
      </c>
      <c r="K171" s="477"/>
      <c r="L171" s="649"/>
      <c r="M171" s="482" t="s">
        <v>3844</v>
      </c>
      <c r="N171" s="2632"/>
      <c r="O171" s="2631"/>
      <c r="P171" s="2631"/>
      <c r="Q171" s="2631"/>
      <c r="R171" s="2631"/>
      <c r="S171" s="2633"/>
      <c r="Z171" s="1708">
        <v>171</v>
      </c>
    </row>
    <row r="172" spans="1:26" s="144" customFormat="1" ht="23.25" customHeight="1">
      <c r="A172" s="2634" t="s">
        <v>3063</v>
      </c>
      <c r="B172" s="2635"/>
      <c r="C172" s="2635"/>
      <c r="D172" s="2636"/>
      <c r="E172" s="2637"/>
      <c r="F172" s="2638"/>
      <c r="G172" s="2638"/>
      <c r="H172" s="2638"/>
      <c r="I172" s="647" t="s">
        <v>3844</v>
      </c>
      <c r="J172" s="478" t="s">
        <v>3844</v>
      </c>
      <c r="K172" s="478"/>
      <c r="L172" s="650"/>
      <c r="M172" s="483" t="s">
        <v>3844</v>
      </c>
      <c r="N172" s="2639"/>
      <c r="O172" s="2638"/>
      <c r="P172" s="2638"/>
      <c r="Q172" s="2638"/>
      <c r="R172" s="2638"/>
      <c r="S172" s="2640"/>
      <c r="U172" s="2533" t="s">
        <v>1884</v>
      </c>
      <c r="V172" s="2533"/>
      <c r="Z172" s="1708">
        <v>172</v>
      </c>
    </row>
    <row r="173" spans="1:26" s="144" customFormat="1" ht="23.25" customHeight="1">
      <c r="A173" s="2634" t="s">
        <v>3064</v>
      </c>
      <c r="B173" s="2635"/>
      <c r="C173" s="2635"/>
      <c r="D173" s="2636"/>
      <c r="E173" s="2637"/>
      <c r="F173" s="2638"/>
      <c r="G173" s="2638"/>
      <c r="H173" s="2638"/>
      <c r="I173" s="647" t="s">
        <v>3844</v>
      </c>
      <c r="J173" s="478" t="s">
        <v>3844</v>
      </c>
      <c r="K173" s="478"/>
      <c r="L173" s="650"/>
      <c r="M173" s="483" t="s">
        <v>3844</v>
      </c>
      <c r="N173" s="2639"/>
      <c r="O173" s="2638"/>
      <c r="P173" s="2638"/>
      <c r="Q173" s="2638"/>
      <c r="R173" s="2638"/>
      <c r="S173" s="2640"/>
      <c r="U173" s="2533"/>
      <c r="V173" s="2533"/>
      <c r="Z173" s="1708">
        <v>173</v>
      </c>
    </row>
    <row r="174" spans="1:26" s="144" customFormat="1" ht="23.25" customHeight="1">
      <c r="A174" s="2634" t="s">
        <v>3065</v>
      </c>
      <c r="B174" s="2635"/>
      <c r="C174" s="2635"/>
      <c r="D174" s="2636"/>
      <c r="E174" s="2637"/>
      <c r="F174" s="2638"/>
      <c r="G174" s="2638"/>
      <c r="H174" s="2638"/>
      <c r="I174" s="647" t="s">
        <v>3844</v>
      </c>
      <c r="J174" s="478" t="s">
        <v>3844</v>
      </c>
      <c r="K174" s="478"/>
      <c r="L174" s="650"/>
      <c r="M174" s="483" t="s">
        <v>3844</v>
      </c>
      <c r="N174" s="2639"/>
      <c r="O174" s="2638"/>
      <c r="P174" s="2638"/>
      <c r="Q174" s="2638"/>
      <c r="R174" s="2638"/>
      <c r="S174" s="2640"/>
      <c r="U174" s="2533"/>
      <c r="V174" s="2533"/>
      <c r="Z174" s="1708">
        <v>174</v>
      </c>
    </row>
    <row r="175" spans="1:26" s="144" customFormat="1" ht="23.25" customHeight="1">
      <c r="A175" s="2634" t="s">
        <v>3066</v>
      </c>
      <c r="B175" s="2635"/>
      <c r="C175" s="2635"/>
      <c r="D175" s="2636"/>
      <c r="E175" s="2637"/>
      <c r="F175" s="2638"/>
      <c r="G175" s="2638"/>
      <c r="H175" s="2638"/>
      <c r="I175" s="647" t="s">
        <v>3844</v>
      </c>
      <c r="J175" s="478" t="s">
        <v>3844</v>
      </c>
      <c r="K175" s="478"/>
      <c r="L175" s="650"/>
      <c r="M175" s="483" t="s">
        <v>3844</v>
      </c>
      <c r="N175" s="2639"/>
      <c r="O175" s="2638"/>
      <c r="P175" s="2638"/>
      <c r="Q175" s="2638"/>
      <c r="R175" s="2638"/>
      <c r="S175" s="2640"/>
      <c r="U175" s="2533"/>
      <c r="V175" s="2533"/>
      <c r="Z175" s="1708">
        <v>175</v>
      </c>
    </row>
    <row r="176" spans="1:26" s="144" customFormat="1" ht="23.25" customHeight="1">
      <c r="A176" s="2634" t="s">
        <v>2571</v>
      </c>
      <c r="B176" s="2635"/>
      <c r="C176" s="2635"/>
      <c r="D176" s="2636"/>
      <c r="E176" s="2637"/>
      <c r="F176" s="2638"/>
      <c r="G176" s="2638"/>
      <c r="H176" s="2638"/>
      <c r="I176" s="647" t="s">
        <v>3844</v>
      </c>
      <c r="J176" s="478" t="s">
        <v>3844</v>
      </c>
      <c r="K176" s="478"/>
      <c r="L176" s="650"/>
      <c r="M176" s="483" t="s">
        <v>3844</v>
      </c>
      <c r="N176" s="2639"/>
      <c r="O176" s="2638"/>
      <c r="P176" s="2638"/>
      <c r="Q176" s="2638"/>
      <c r="R176" s="2638"/>
      <c r="S176" s="2640"/>
      <c r="U176" s="2533"/>
      <c r="V176" s="2533"/>
      <c r="Z176" s="1708">
        <v>176</v>
      </c>
    </row>
    <row r="177" spans="1:26" s="144" customFormat="1" ht="23.25" customHeight="1">
      <c r="A177" s="2634" t="s">
        <v>607</v>
      </c>
      <c r="B177" s="2635"/>
      <c r="C177" s="2635"/>
      <c r="D177" s="2636"/>
      <c r="E177" s="2637"/>
      <c r="F177" s="2638"/>
      <c r="G177" s="2638"/>
      <c r="H177" s="2638"/>
      <c r="I177" s="647" t="s">
        <v>3844</v>
      </c>
      <c r="J177" s="478" t="s">
        <v>3844</v>
      </c>
      <c r="K177" s="478"/>
      <c r="L177" s="650"/>
      <c r="M177" s="483" t="s">
        <v>3844</v>
      </c>
      <c r="N177" s="2639"/>
      <c r="O177" s="2638"/>
      <c r="P177" s="2638"/>
      <c r="Q177" s="2638"/>
      <c r="R177" s="2638"/>
      <c r="S177" s="2640"/>
      <c r="U177" s="2533"/>
      <c r="V177" s="2533"/>
      <c r="Z177" s="1708">
        <v>177</v>
      </c>
    </row>
    <row r="178" spans="1:26" s="144" customFormat="1" ht="23.25" customHeight="1">
      <c r="A178" s="2634" t="s">
        <v>2572</v>
      </c>
      <c r="B178" s="2635"/>
      <c r="C178" s="2635"/>
      <c r="D178" s="2636"/>
      <c r="E178" s="2637"/>
      <c r="F178" s="2638"/>
      <c r="G178" s="2638"/>
      <c r="H178" s="2638"/>
      <c r="I178" s="647" t="s">
        <v>3844</v>
      </c>
      <c r="J178" s="478" t="s">
        <v>3844</v>
      </c>
      <c r="K178" s="478"/>
      <c r="L178" s="650"/>
      <c r="M178" s="483" t="s">
        <v>3844</v>
      </c>
      <c r="N178" s="2639"/>
      <c r="O178" s="2638"/>
      <c r="P178" s="2638"/>
      <c r="Q178" s="2638"/>
      <c r="R178" s="2638"/>
      <c r="S178" s="2640"/>
      <c r="Z178" s="1708">
        <v>178</v>
      </c>
    </row>
    <row r="179" spans="1:26" s="144" customFormat="1" ht="23.25" customHeight="1">
      <c r="A179" s="2634" t="s">
        <v>2573</v>
      </c>
      <c r="B179" s="2635"/>
      <c r="C179" s="2635"/>
      <c r="D179" s="2636"/>
      <c r="E179" s="2637"/>
      <c r="F179" s="2638"/>
      <c r="G179" s="2638"/>
      <c r="H179" s="2638"/>
      <c r="I179" s="647" t="s">
        <v>3844</v>
      </c>
      <c r="J179" s="478" t="s">
        <v>3844</v>
      </c>
      <c r="K179" s="478"/>
      <c r="L179" s="650"/>
      <c r="M179" s="483" t="s">
        <v>3844</v>
      </c>
      <c r="N179" s="2639"/>
      <c r="O179" s="2638"/>
      <c r="P179" s="2638"/>
      <c r="Q179" s="2638"/>
      <c r="R179" s="2638"/>
      <c r="S179" s="2640"/>
      <c r="Z179" s="1708">
        <v>179</v>
      </c>
    </row>
    <row r="180" spans="1:26" s="144" customFormat="1" ht="23.25" customHeight="1">
      <c r="A180" s="2634" t="s">
        <v>2575</v>
      </c>
      <c r="B180" s="2635"/>
      <c r="C180" s="2635"/>
      <c r="D180" s="2636"/>
      <c r="E180" s="2637"/>
      <c r="F180" s="2638"/>
      <c r="G180" s="2638"/>
      <c r="H180" s="2638"/>
      <c r="I180" s="647" t="s">
        <v>3844</v>
      </c>
      <c r="J180" s="478" t="s">
        <v>3844</v>
      </c>
      <c r="K180" s="478"/>
      <c r="L180" s="650"/>
      <c r="M180" s="483" t="s">
        <v>3844</v>
      </c>
      <c r="N180" s="2639"/>
      <c r="O180" s="2638"/>
      <c r="P180" s="2638"/>
      <c r="Q180" s="2638"/>
      <c r="R180" s="2638"/>
      <c r="S180" s="2640"/>
      <c r="Z180" s="1708">
        <v>180</v>
      </c>
    </row>
    <row r="181" spans="1:26" s="144" customFormat="1" ht="23.25" customHeight="1">
      <c r="A181" s="2634" t="s">
        <v>2574</v>
      </c>
      <c r="B181" s="2635"/>
      <c r="C181" s="2635"/>
      <c r="D181" s="2636"/>
      <c r="E181" s="2637"/>
      <c r="F181" s="2638"/>
      <c r="G181" s="2638"/>
      <c r="H181" s="2638"/>
      <c r="I181" s="647" t="s">
        <v>3844</v>
      </c>
      <c r="J181" s="478" t="s">
        <v>3844</v>
      </c>
      <c r="K181" s="478"/>
      <c r="L181" s="650"/>
      <c r="M181" s="483" t="s">
        <v>3844</v>
      </c>
      <c r="N181" s="2639"/>
      <c r="O181" s="2638"/>
      <c r="P181" s="2638"/>
      <c r="Q181" s="2638"/>
      <c r="R181" s="2638"/>
      <c r="S181" s="2640"/>
      <c r="Z181" s="1708">
        <v>181</v>
      </c>
    </row>
    <row r="182" spans="1:26" s="144" customFormat="1" ht="23.25" customHeight="1">
      <c r="A182" s="2634" t="s">
        <v>1432</v>
      </c>
      <c r="B182" s="2635"/>
      <c r="C182" s="2635"/>
      <c r="D182" s="2636"/>
      <c r="E182" s="2637"/>
      <c r="F182" s="2638"/>
      <c r="G182" s="2638"/>
      <c r="H182" s="2638"/>
      <c r="I182" s="647" t="s">
        <v>3844</v>
      </c>
      <c r="J182" s="478" t="s">
        <v>3844</v>
      </c>
      <c r="K182" s="478"/>
      <c r="L182" s="650"/>
      <c r="M182" s="483" t="s">
        <v>3844</v>
      </c>
      <c r="N182" s="2639"/>
      <c r="O182" s="2638"/>
      <c r="P182" s="2638"/>
      <c r="Q182" s="2638"/>
      <c r="R182" s="2638"/>
      <c r="S182" s="2640"/>
      <c r="Z182" s="1708">
        <v>182</v>
      </c>
    </row>
    <row r="183" spans="1:26" s="144" customFormat="1" ht="23.25" customHeight="1">
      <c r="A183" s="2673" t="s">
        <v>2576</v>
      </c>
      <c r="B183" s="2674"/>
      <c r="C183" s="2674"/>
      <c r="D183" s="2675"/>
      <c r="E183" s="2676"/>
      <c r="F183" s="2677"/>
      <c r="G183" s="2677"/>
      <c r="H183" s="2677"/>
      <c r="I183" s="648" t="s">
        <v>3844</v>
      </c>
      <c r="J183" s="479" t="s">
        <v>3844</v>
      </c>
      <c r="K183" s="479"/>
      <c r="L183" s="651"/>
      <c r="M183" s="484" t="s">
        <v>3844</v>
      </c>
      <c r="N183" s="2678"/>
      <c r="O183" s="2677"/>
      <c r="P183" s="2677"/>
      <c r="Q183" s="2677"/>
      <c r="R183" s="2677"/>
      <c r="S183" s="2679"/>
      <c r="Z183" s="1708">
        <v>183</v>
      </c>
    </row>
    <row r="184" spans="1:26" s="144" customFormat="1" ht="12" customHeight="1">
      <c r="G184" s="243"/>
      <c r="H184" s="243"/>
      <c r="I184" s="243"/>
      <c r="J184" s="248"/>
      <c r="K184" s="254" t="s">
        <v>504</v>
      </c>
      <c r="L184" s="429">
        <f>SUM(L171:L183)</f>
        <v>0</v>
      </c>
      <c r="M184" s="248"/>
      <c r="P184" s="145"/>
      <c r="Z184" s="1708">
        <v>184</v>
      </c>
    </row>
    <row r="185" spans="1:26" ht="11.25" customHeight="1">
      <c r="A185" s="253" t="s">
        <v>496</v>
      </c>
      <c r="B185" s="253"/>
      <c r="C185" s="253" t="s">
        <v>530</v>
      </c>
      <c r="N185" s="253" t="s">
        <v>496</v>
      </c>
      <c r="O185" s="253" t="s">
        <v>74</v>
      </c>
      <c r="Z185" s="1708">
        <v>185</v>
      </c>
    </row>
    <row r="186" spans="1:26" ht="105.75" customHeight="1">
      <c r="A186" s="2680"/>
      <c r="B186" s="2681"/>
      <c r="C186" s="2681"/>
      <c r="D186" s="2681"/>
      <c r="E186" s="2681"/>
      <c r="F186" s="2681"/>
      <c r="G186" s="2681"/>
      <c r="H186" s="2681"/>
      <c r="I186" s="2681"/>
      <c r="J186" s="2681"/>
      <c r="K186" s="2681"/>
      <c r="L186" s="2681"/>
      <c r="M186" s="2682"/>
      <c r="N186" s="2683"/>
      <c r="O186" s="2684"/>
      <c r="P186" s="2684"/>
      <c r="Q186" s="2684"/>
      <c r="R186" s="2684"/>
      <c r="S186" s="2685"/>
      <c r="T186" s="2533" t="s">
        <v>2453</v>
      </c>
      <c r="U186" s="2533"/>
      <c r="V186" s="2533"/>
      <c r="W186" s="2533"/>
      <c r="X186" s="2533"/>
      <c r="Z186" s="1708">
        <v>186</v>
      </c>
    </row>
    <row r="187" spans="1:26" s="144" customFormat="1" ht="12" customHeight="1">
      <c r="A187" s="222"/>
      <c r="B187" s="145"/>
      <c r="C187" s="145"/>
      <c r="D187" s="145"/>
      <c r="E187" s="145"/>
      <c r="F187" s="145"/>
      <c r="G187" s="145"/>
      <c r="H187" s="145"/>
      <c r="I187" s="145"/>
      <c r="J187" s="145"/>
      <c r="K187" s="145"/>
      <c r="L187" s="145"/>
      <c r="M187" s="145"/>
      <c r="N187" s="145"/>
      <c r="O187" s="145"/>
      <c r="T187" s="2533"/>
      <c r="U187" s="2533"/>
      <c r="V187" s="2533"/>
      <c r="W187" s="2533"/>
      <c r="X187" s="2533"/>
      <c r="Z187" s="1708"/>
    </row>
    <row r="188" spans="1:26" s="144" customFormat="1" ht="12" customHeight="1">
      <c r="A188" s="375"/>
      <c r="B188" s="145"/>
      <c r="C188" s="145"/>
      <c r="D188" s="145"/>
      <c r="E188" s="145"/>
      <c r="F188" s="145"/>
      <c r="G188" s="145"/>
      <c r="H188" s="145"/>
      <c r="I188" s="145"/>
      <c r="J188" s="145"/>
      <c r="K188" s="145"/>
      <c r="L188" s="145"/>
      <c r="M188" s="145"/>
      <c r="N188" s="145"/>
      <c r="O188" s="145"/>
      <c r="Z188" s="1708"/>
    </row>
    <row r="189" spans="1:26" s="144" customFormat="1" ht="12" customHeight="1">
      <c r="A189" s="222"/>
      <c r="B189" s="145"/>
      <c r="C189" s="145"/>
      <c r="D189" s="145"/>
      <c r="E189" s="145"/>
      <c r="F189" s="145"/>
      <c r="G189" s="145"/>
      <c r="H189" s="145"/>
      <c r="I189" s="145"/>
      <c r="J189" s="145"/>
      <c r="K189" s="145"/>
      <c r="L189" s="145"/>
      <c r="M189" s="145"/>
      <c r="N189" s="145"/>
      <c r="O189" s="145"/>
      <c r="Z189" s="1708"/>
    </row>
    <row r="190" spans="1:26" s="144" customFormat="1" ht="12" customHeight="1">
      <c r="A190" s="222"/>
      <c r="B190" s="145"/>
      <c r="C190" s="145"/>
      <c r="D190" s="145"/>
      <c r="E190" s="145"/>
      <c r="F190" s="145"/>
      <c r="G190" s="145"/>
      <c r="H190" s="145"/>
      <c r="I190" s="145"/>
      <c r="J190" s="145"/>
      <c r="K190" s="145"/>
      <c r="L190" s="145"/>
      <c r="M190" s="145"/>
      <c r="N190" s="145"/>
      <c r="O190" s="145"/>
      <c r="Z190" s="1708"/>
    </row>
    <row r="191" spans="1:26" s="144" customFormat="1" ht="12" customHeight="1">
      <c r="B191" s="145"/>
      <c r="C191" s="145"/>
      <c r="D191" s="145"/>
      <c r="E191" s="145"/>
      <c r="F191" s="145"/>
      <c r="G191" s="145"/>
      <c r="H191" s="145"/>
      <c r="I191" s="145"/>
      <c r="J191" s="145"/>
      <c r="K191" s="145"/>
      <c r="L191" s="145"/>
      <c r="M191" s="145"/>
      <c r="N191" s="145"/>
      <c r="O191" s="145"/>
      <c r="P191" s="274" t="s">
        <v>1672</v>
      </c>
      <c r="Z191" s="1708"/>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8"/>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8"/>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8"/>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8"/>
    </row>
    <row r="196" spans="1:26" s="144" customFormat="1" ht="12" customHeight="1">
      <c r="B196" s="145"/>
      <c r="C196" s="145"/>
      <c r="D196" s="145"/>
      <c r="E196" s="145"/>
      <c r="F196" s="145"/>
      <c r="G196" s="145"/>
      <c r="H196" s="145"/>
      <c r="I196" s="145"/>
      <c r="J196" s="145"/>
      <c r="K196" s="145"/>
      <c r="L196" s="145"/>
      <c r="M196" s="145"/>
      <c r="N196" s="145"/>
      <c r="O196" s="145"/>
      <c r="P196" s="275" t="s">
        <v>785</v>
      </c>
      <c r="Z196" s="1708"/>
    </row>
    <row r="197" spans="1:26" s="144" customFormat="1" ht="12" customHeight="1">
      <c r="B197" s="145"/>
      <c r="C197" s="145"/>
      <c r="D197" s="145"/>
      <c r="E197" s="145"/>
      <c r="F197" s="145"/>
      <c r="G197" s="145"/>
      <c r="H197" s="145"/>
      <c r="I197" s="145"/>
      <c r="J197" s="145"/>
      <c r="K197" s="145"/>
      <c r="L197" s="145"/>
      <c r="M197" s="145"/>
      <c r="N197" s="145"/>
      <c r="O197" s="145"/>
      <c r="P197" s="275" t="s">
        <v>786</v>
      </c>
      <c r="Z197" s="1708"/>
    </row>
    <row r="198" spans="1:26" s="144" customFormat="1" ht="12" customHeight="1">
      <c r="B198" s="145"/>
      <c r="C198" s="145"/>
      <c r="D198" s="145"/>
      <c r="E198" s="145"/>
      <c r="F198" s="145"/>
      <c r="G198" s="145"/>
      <c r="H198" s="145"/>
      <c r="I198" s="145"/>
      <c r="J198" s="145"/>
      <c r="K198" s="145"/>
      <c r="L198" s="145"/>
      <c r="M198" s="145"/>
      <c r="N198" s="145"/>
      <c r="O198" s="145"/>
      <c r="P198" s="275" t="s">
        <v>787</v>
      </c>
      <c r="Z198" s="1708"/>
    </row>
    <row r="199" spans="1:26" s="144" customFormat="1" ht="12" customHeight="1">
      <c r="B199" s="145"/>
      <c r="C199" s="145"/>
      <c r="D199" s="145"/>
      <c r="E199" s="145"/>
      <c r="F199" s="145"/>
      <c r="G199" s="145"/>
      <c r="H199" s="145"/>
      <c r="I199" s="145"/>
      <c r="J199" s="145"/>
      <c r="K199" s="145"/>
      <c r="L199" s="145"/>
      <c r="M199" s="145"/>
      <c r="N199" s="145"/>
      <c r="O199" s="145"/>
      <c r="P199" s="275" t="s">
        <v>788</v>
      </c>
      <c r="Z199" s="1708"/>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1264</v>
      </c>
    </row>
    <row r="218" spans="16:16" ht="12" customHeight="1">
      <c r="P218" s="275" t="s">
        <v>1265</v>
      </c>
    </row>
    <row r="219" spans="16:16" ht="12" customHeight="1">
      <c r="P219" s="275" t="s">
        <v>1266</v>
      </c>
    </row>
    <row r="220" spans="16:16" ht="12" customHeight="1">
      <c r="P220" s="275" t="s">
        <v>1267</v>
      </c>
    </row>
    <row r="221" spans="16:16" ht="12" customHeight="1">
      <c r="P221" s="275" t="s">
        <v>1268</v>
      </c>
    </row>
    <row r="222" spans="16:16" ht="13.5">
      <c r="P222" s="275" t="s">
        <v>1269</v>
      </c>
    </row>
    <row r="223" spans="16:16" ht="12" customHeight="1">
      <c r="P223" s="275" t="s">
        <v>1270</v>
      </c>
    </row>
    <row r="224" spans="16:16" ht="12" customHeight="1">
      <c r="P224" s="275" t="s">
        <v>1271</v>
      </c>
    </row>
    <row r="225" spans="16:16" ht="12" customHeight="1">
      <c r="P225" s="275" t="s">
        <v>1272</v>
      </c>
    </row>
    <row r="226" spans="16:16" ht="12" customHeight="1">
      <c r="P226" s="275" t="s">
        <v>1273</v>
      </c>
    </row>
    <row r="227" spans="16:16" ht="12" customHeight="1">
      <c r="P227" s="275" t="s">
        <v>1274</v>
      </c>
    </row>
    <row r="228" spans="16:16" ht="12" customHeight="1">
      <c r="P228" s="275" t="s">
        <v>1275</v>
      </c>
    </row>
    <row r="229" spans="16:16" ht="12" customHeight="1">
      <c r="P229" s="275" t="s">
        <v>1276</v>
      </c>
    </row>
    <row r="230" spans="16:16" ht="12" customHeight="1">
      <c r="P230" s="275" t="s">
        <v>1277</v>
      </c>
    </row>
    <row r="231" spans="16:16" ht="12" customHeight="1">
      <c r="P231" s="275" t="s">
        <v>1278</v>
      </c>
    </row>
    <row r="232" spans="16:16" ht="12" customHeight="1">
      <c r="P232" s="275" t="s">
        <v>1279</v>
      </c>
    </row>
    <row r="233" spans="16:16" ht="12" customHeight="1">
      <c r="P233" s="275" t="s">
        <v>1280</v>
      </c>
    </row>
    <row r="234" spans="16:16" ht="12" customHeight="1">
      <c r="P234" s="275" t="s">
        <v>1281</v>
      </c>
    </row>
    <row r="235" spans="16:16" ht="12" customHeight="1">
      <c r="P235" s="275" t="s">
        <v>1282</v>
      </c>
    </row>
    <row r="236" spans="16:16" ht="12" customHeight="1">
      <c r="P236" s="275" t="s">
        <v>1283</v>
      </c>
    </row>
    <row r="237" spans="16:16" ht="12" customHeight="1">
      <c r="P237" s="275" t="s">
        <v>1284</v>
      </c>
    </row>
    <row r="238" spans="16:16" ht="12" customHeight="1">
      <c r="P238" s="275" t="s">
        <v>1285</v>
      </c>
    </row>
    <row r="239" spans="16:16" ht="12" customHeight="1">
      <c r="P239" s="275" t="s">
        <v>1286</v>
      </c>
    </row>
    <row r="240" spans="16:16" ht="12" customHeight="1">
      <c r="P240" s="275" t="s">
        <v>1287</v>
      </c>
    </row>
    <row r="241" spans="16:16" ht="12" customHeight="1">
      <c r="P241" s="275" t="s">
        <v>1288</v>
      </c>
    </row>
    <row r="242" spans="16:16" ht="12" customHeight="1">
      <c r="P242" s="275"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customWidth="1"/>
    <col min="2" max="2" width="5.140625" customWidth="1"/>
    <col min="3" max="3" width="9.85546875" customWidth="1"/>
    <col min="4" max="6" width="7.85546875" customWidth="1"/>
    <col min="7" max="7" width="10.85546875" customWidth="1"/>
    <col min="8" max="8" width="7.85546875" customWidth="1"/>
    <col min="9" max="9" width="17.5703125" customWidth="1"/>
    <col min="10" max="10" width="7.85546875" customWidth="1"/>
    <col min="11" max="11" width="7.140625" customWidth="1"/>
    <col min="12" max="12" width="7.85546875" customWidth="1"/>
    <col min="13" max="13" width="7.42578125" customWidth="1"/>
    <col min="14" max="16" width="7.85546875" customWidth="1"/>
    <col min="17" max="17" width="8.140625" customWidth="1"/>
    <col min="18" max="18" width="8.42578125" customWidth="1"/>
    <col min="27" max="28" width="8.855468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038" t="s">
        <v>674</v>
      </c>
      <c r="B2" s="4039"/>
      <c r="C2" s="4039"/>
      <c r="D2" s="4039"/>
      <c r="E2" s="4039"/>
      <c r="F2" s="4039"/>
      <c r="G2" s="4039"/>
      <c r="H2" s="4039"/>
      <c r="I2" s="4039"/>
      <c r="J2" s="4039"/>
      <c r="K2" s="4039"/>
      <c r="L2" s="4039"/>
      <c r="M2" s="4039"/>
      <c r="N2" s="4039"/>
      <c r="O2" s="4039"/>
      <c r="P2" s="4039"/>
      <c r="Q2" s="4039"/>
      <c r="R2" s="4040"/>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1606</v>
      </c>
      <c r="B4" s="225"/>
      <c r="C4" s="225"/>
      <c r="D4" s="144"/>
      <c r="E4" s="144"/>
      <c r="F4" s="225" t="s">
        <v>1607</v>
      </c>
      <c r="G4" s="225"/>
      <c r="H4" s="144"/>
      <c r="I4" s="144"/>
      <c r="J4" s="225" t="s">
        <v>1608</v>
      </c>
      <c r="K4" s="225"/>
      <c r="L4" s="225"/>
      <c r="M4" s="225"/>
      <c r="N4" s="225"/>
      <c r="O4" s="225"/>
      <c r="P4" s="144"/>
      <c r="Q4" s="148" t="s">
        <v>2706</v>
      </c>
      <c r="R4" s="148" t="s">
        <v>1609</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45" customHeight="1">
      <c r="A6" s="229" t="s">
        <v>1610</v>
      </c>
      <c r="B6" s="147"/>
      <c r="C6" s="147"/>
      <c r="D6" s="144"/>
      <c r="E6" s="144"/>
      <c r="F6" s="147" t="s">
        <v>478</v>
      </c>
      <c r="G6" s="147"/>
      <c r="H6" s="144"/>
      <c r="I6" s="144"/>
      <c r="J6" s="147" t="s">
        <v>6255</v>
      </c>
      <c r="K6" s="147"/>
      <c r="L6" s="147" t="s">
        <v>6157</v>
      </c>
      <c r="M6" s="147"/>
      <c r="N6" s="147"/>
      <c r="O6" s="147"/>
      <c r="P6" s="144"/>
      <c r="Q6" s="837" t="s">
        <v>1611</v>
      </c>
      <c r="R6" s="837">
        <v>1000000</v>
      </c>
      <c r="S6" s="144"/>
      <c r="U6" s="144"/>
      <c r="V6" s="715"/>
      <c r="W6" s="715"/>
      <c r="X6" s="148"/>
      <c r="AA6" s="68"/>
      <c r="AB6" s="68"/>
    </row>
    <row r="7" spans="1:28" s="145" customFormat="1" ht="11.45" customHeight="1">
      <c r="A7" s="229"/>
      <c r="B7" s="147"/>
      <c r="C7" s="147"/>
      <c r="D7" s="144"/>
      <c r="E7" s="144"/>
      <c r="F7" s="147"/>
      <c r="G7" s="147"/>
      <c r="H7" s="144"/>
      <c r="I7" s="144"/>
      <c r="J7" s="147"/>
      <c r="K7" s="147"/>
      <c r="L7" s="147" t="s">
        <v>6158</v>
      </c>
      <c r="M7" s="147"/>
      <c r="N7" s="147"/>
      <c r="O7" s="147"/>
      <c r="P7" s="144"/>
      <c r="Q7" s="837" t="s">
        <v>1611</v>
      </c>
      <c r="R7" s="505">
        <v>900000</v>
      </c>
      <c r="S7" s="144"/>
      <c r="U7" s="144"/>
      <c r="V7" s="715"/>
      <c r="W7" s="715"/>
      <c r="X7" s="148"/>
      <c r="AA7" s="68"/>
      <c r="AB7" s="68"/>
    </row>
    <row r="8" spans="1:28" s="145" customFormat="1" ht="11.45" customHeight="1">
      <c r="F8" s="147"/>
      <c r="G8" s="147"/>
      <c r="H8" s="144"/>
      <c r="I8" s="144"/>
      <c r="J8" s="147" t="s">
        <v>1183</v>
      </c>
      <c r="K8" s="147"/>
      <c r="L8" s="147"/>
      <c r="M8" s="147"/>
      <c r="N8" s="147"/>
      <c r="O8" s="147"/>
      <c r="P8" s="144"/>
      <c r="Q8" s="837" t="s">
        <v>1611</v>
      </c>
      <c r="R8" s="837">
        <v>1800000</v>
      </c>
      <c r="S8" s="144"/>
      <c r="T8" s="144"/>
      <c r="U8" s="144"/>
      <c r="V8" s="715"/>
      <c r="W8" s="715"/>
      <c r="X8" s="148"/>
      <c r="AA8" s="68"/>
      <c r="AB8" s="68"/>
    </row>
    <row r="9" spans="1:28" s="145" customFormat="1" ht="11.45" customHeight="1">
      <c r="F9" s="147" t="s">
        <v>2219</v>
      </c>
      <c r="G9" s="147"/>
      <c r="H9" s="144"/>
      <c r="I9" s="144"/>
      <c r="J9" s="147" t="s">
        <v>1639</v>
      </c>
      <c r="K9" s="147"/>
      <c r="L9" s="147"/>
      <c r="M9" s="147"/>
      <c r="N9" s="147"/>
      <c r="O9" s="147"/>
      <c r="P9" s="144"/>
      <c r="Q9" s="837">
        <v>1000000</v>
      </c>
      <c r="R9" s="837">
        <v>2000000</v>
      </c>
      <c r="S9" s="230"/>
      <c r="T9" s="230"/>
      <c r="U9" s="144"/>
      <c r="V9" s="322"/>
      <c r="W9" s="322"/>
      <c r="X9" s="322"/>
      <c r="AA9" s="68"/>
      <c r="AB9" s="68"/>
    </row>
    <row r="10" spans="1:28" s="145" customFormat="1" ht="11.45" customHeight="1">
      <c r="F10" s="147"/>
      <c r="G10" s="147"/>
      <c r="H10" s="144"/>
      <c r="I10" s="144"/>
      <c r="J10" s="147" t="s">
        <v>2200</v>
      </c>
      <c r="K10" s="147"/>
      <c r="L10" s="147"/>
      <c r="M10" s="147"/>
      <c r="N10" s="147"/>
      <c r="O10" s="147"/>
      <c r="P10" s="144"/>
      <c r="Q10" s="837" t="s">
        <v>1611</v>
      </c>
      <c r="R10" s="836">
        <v>0.25</v>
      </c>
      <c r="S10" s="144"/>
      <c r="T10" s="144"/>
      <c r="U10" s="144"/>
      <c r="V10" s="715"/>
      <c r="W10" s="715"/>
      <c r="X10" s="148"/>
      <c r="AA10" s="68"/>
      <c r="AB10" s="68"/>
    </row>
    <row r="11" spans="1:28" s="145" customFormat="1" ht="11.25" customHeight="1">
      <c r="A11" s="147"/>
      <c r="B11" s="147"/>
      <c r="C11" s="147"/>
      <c r="D11" s="144"/>
      <c r="E11" s="144"/>
      <c r="F11" s="147" t="s">
        <v>3162</v>
      </c>
      <c r="G11" s="147"/>
      <c r="H11" s="144"/>
      <c r="I11" s="144"/>
      <c r="J11" s="442" t="s">
        <v>3163</v>
      </c>
      <c r="K11" s="234"/>
      <c r="M11" s="234"/>
      <c r="N11" s="234"/>
      <c r="O11" s="147"/>
      <c r="Q11" s="4041" t="s">
        <v>6627</v>
      </c>
      <c r="R11" s="4041"/>
      <c r="S11" s="241"/>
      <c r="T11" s="144"/>
      <c r="U11" s="144"/>
      <c r="V11" s="322"/>
      <c r="W11" s="322"/>
      <c r="X11" s="322"/>
      <c r="AA11" s="68"/>
      <c r="AB11" s="68"/>
    </row>
    <row r="12" spans="1:28" s="145" customFormat="1" ht="11.25" hidden="1" customHeight="1">
      <c r="A12" s="147"/>
      <c r="B12" s="147"/>
      <c r="C12" s="147"/>
      <c r="D12" s="144"/>
      <c r="E12" s="144"/>
      <c r="F12" s="147" t="s">
        <v>3922</v>
      </c>
      <c r="G12" s="147"/>
      <c r="H12" s="144"/>
      <c r="I12" s="144"/>
      <c r="J12" s="442" t="s">
        <v>3145</v>
      </c>
      <c r="K12" s="234"/>
      <c r="M12" s="234"/>
      <c r="N12" s="234"/>
      <c r="O12" s="147"/>
      <c r="Q12" s="4049">
        <v>0.1</v>
      </c>
      <c r="R12" s="4050"/>
      <c r="S12" s="241"/>
      <c r="T12" s="144"/>
      <c r="U12" s="144"/>
      <c r="V12" s="322"/>
      <c r="W12" s="322"/>
      <c r="X12" s="322"/>
      <c r="AA12" s="68"/>
      <c r="AB12" s="68"/>
    </row>
    <row r="13" spans="1:28" s="145" customFormat="1" ht="12.75" hidden="1" customHeight="1">
      <c r="A13" s="147"/>
      <c r="B13" s="147"/>
      <c r="C13" s="147"/>
      <c r="J13" s="1861" t="s">
        <v>2466</v>
      </c>
      <c r="K13" s="236"/>
      <c r="L13" s="236"/>
      <c r="N13" s="234"/>
      <c r="O13" s="147"/>
      <c r="Q13" s="4048" t="s">
        <v>3913</v>
      </c>
      <c r="R13" s="4048"/>
      <c r="S13" s="144"/>
      <c r="T13" s="144"/>
      <c r="U13" s="144"/>
      <c r="AA13" s="68"/>
      <c r="AB13" s="68"/>
    </row>
    <row r="14" spans="1:28" s="145" customFormat="1" ht="12.75" hidden="1" customHeight="1">
      <c r="A14" s="147"/>
      <c r="B14" s="147"/>
      <c r="C14" s="147"/>
      <c r="K14" s="236" t="s">
        <v>3914</v>
      </c>
      <c r="L14" s="236"/>
      <c r="N14" s="234"/>
      <c r="O14" s="147"/>
      <c r="P14" s="144"/>
      <c r="Q14" s="4046">
        <v>0.2</v>
      </c>
      <c r="R14" s="4047"/>
      <c r="S14" s="144"/>
      <c r="T14" s="144"/>
      <c r="U14" s="144"/>
      <c r="AA14" s="68"/>
      <c r="AB14" s="68"/>
    </row>
    <row r="15" spans="1:28" s="145" customFormat="1" ht="12.75" hidden="1" customHeight="1">
      <c r="A15" s="147"/>
      <c r="B15" s="147"/>
      <c r="C15" s="147"/>
      <c r="K15" s="236" t="s">
        <v>3915</v>
      </c>
      <c r="L15" s="236"/>
      <c r="N15" s="234"/>
      <c r="O15" s="147"/>
      <c r="P15" s="144"/>
      <c r="Q15" s="4044">
        <v>0.15</v>
      </c>
      <c r="R15" s="4045"/>
      <c r="S15" s="144"/>
      <c r="T15" s="144"/>
      <c r="U15" s="144"/>
      <c r="AA15" s="68"/>
      <c r="AB15" s="68"/>
    </row>
    <row r="16" spans="1:28" s="145" customFormat="1" ht="12.75" hidden="1" customHeight="1">
      <c r="A16" s="147"/>
      <c r="B16" s="147"/>
      <c r="C16" s="147"/>
      <c r="K16" s="236" t="s">
        <v>3916</v>
      </c>
      <c r="L16" s="236"/>
      <c r="N16" s="234"/>
      <c r="O16" s="147"/>
      <c r="P16" s="144"/>
      <c r="Q16" s="4044">
        <v>0.15</v>
      </c>
      <c r="R16" s="4045"/>
      <c r="S16" s="144"/>
      <c r="T16" s="144"/>
      <c r="U16" s="144"/>
      <c r="AA16" s="68"/>
      <c r="AB16" s="68"/>
    </row>
    <row r="17" spans="1:28" s="145" customFormat="1" ht="12.75" hidden="1" customHeight="1">
      <c r="A17" s="147"/>
      <c r="B17" s="147"/>
      <c r="C17" s="147"/>
      <c r="K17" s="236" t="s">
        <v>3917</v>
      </c>
      <c r="L17" s="236"/>
      <c r="N17" s="234"/>
      <c r="O17" s="147"/>
      <c r="P17" s="144"/>
      <c r="Q17" s="4044">
        <v>0.1</v>
      </c>
      <c r="R17" s="4045"/>
      <c r="S17" s="144"/>
      <c r="T17" s="144"/>
      <c r="U17" s="144"/>
      <c r="AA17" s="68"/>
      <c r="AB17" s="68"/>
    </row>
    <row r="18" spans="1:28" s="145" customFormat="1" ht="12.75" hidden="1" customHeight="1">
      <c r="A18" s="147"/>
      <c r="B18" s="147"/>
      <c r="C18" s="147"/>
      <c r="K18" s="236" t="s">
        <v>3918</v>
      </c>
      <c r="L18" s="236"/>
      <c r="N18" s="234"/>
      <c r="O18" s="147"/>
      <c r="P18" s="144"/>
      <c r="Q18" s="4042">
        <v>0.1</v>
      </c>
      <c r="R18" s="4043"/>
      <c r="S18" s="144"/>
      <c r="T18" s="144"/>
      <c r="U18" s="144"/>
      <c r="AA18" s="68"/>
      <c r="AB18" s="68"/>
    </row>
    <row r="19" spans="1:28" s="145" customFormat="1" ht="11.45" customHeight="1">
      <c r="A19" s="147"/>
      <c r="B19" s="147"/>
      <c r="C19" s="147"/>
      <c r="D19" s="144"/>
      <c r="E19" s="144"/>
      <c r="O19" s="147"/>
      <c r="T19" s="230"/>
      <c r="U19" s="144"/>
      <c r="V19" s="322"/>
      <c r="W19" s="322"/>
      <c r="X19" s="322"/>
      <c r="AA19" s="68"/>
      <c r="AB19" s="68"/>
    </row>
    <row r="20" spans="1:28" s="145" customFormat="1" ht="11.45" customHeight="1">
      <c r="A20" s="225" t="s">
        <v>1606</v>
      </c>
      <c r="B20" s="225"/>
      <c r="C20" s="225"/>
      <c r="D20" s="144"/>
      <c r="E20" s="144"/>
      <c r="F20" s="225" t="s">
        <v>1607</v>
      </c>
      <c r="G20" s="225"/>
      <c r="H20" s="144"/>
      <c r="I20" s="144"/>
      <c r="J20" s="225" t="s">
        <v>1608</v>
      </c>
      <c r="K20" s="225"/>
      <c r="L20" s="225"/>
      <c r="M20" s="225"/>
      <c r="N20" s="225"/>
      <c r="O20" s="225"/>
      <c r="P20" s="144"/>
      <c r="Q20" s="148" t="s">
        <v>2706</v>
      </c>
      <c r="R20" s="148" t="s">
        <v>1609</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1122</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45" customHeight="1">
      <c r="A23" s="144"/>
      <c r="B23" s="147" t="s">
        <v>1122</v>
      </c>
      <c r="C23" s="147"/>
      <c r="D23" s="144"/>
      <c r="E23" s="144"/>
      <c r="F23" s="147" t="s">
        <v>1123</v>
      </c>
      <c r="G23" s="147" t="s">
        <v>3185</v>
      </c>
      <c r="H23" s="144"/>
      <c r="I23" s="144"/>
      <c r="J23" s="147" t="s">
        <v>1433</v>
      </c>
      <c r="K23" s="147"/>
      <c r="L23" s="147"/>
      <c r="M23" s="147"/>
      <c r="N23" s="147"/>
      <c r="O23" s="147"/>
      <c r="P23" s="144"/>
      <c r="Q23" s="879">
        <v>5000</v>
      </c>
      <c r="R23" s="235" t="s">
        <v>1611</v>
      </c>
      <c r="S23" s="236"/>
      <c r="AA23" s="68"/>
      <c r="AB23" s="68"/>
    </row>
    <row r="24" spans="1:28" s="145" customFormat="1" ht="11.45" customHeight="1">
      <c r="A24" s="144"/>
      <c r="B24" s="147"/>
      <c r="C24" s="147"/>
      <c r="D24" s="144"/>
      <c r="E24" s="144"/>
      <c r="F24" s="147"/>
      <c r="G24" s="147" t="s">
        <v>3184</v>
      </c>
      <c r="H24" s="144"/>
      <c r="I24" s="144"/>
      <c r="J24" s="147" t="s">
        <v>1433</v>
      </c>
      <c r="K24" s="147"/>
      <c r="L24" s="147"/>
      <c r="M24" s="147"/>
      <c r="N24" s="147"/>
      <c r="O24" s="147"/>
      <c r="P24" s="144"/>
      <c r="Q24" s="879">
        <v>4500</v>
      </c>
      <c r="R24" s="235" t="s">
        <v>1611</v>
      </c>
      <c r="S24" s="236"/>
      <c r="AA24" s="68"/>
      <c r="AB24" s="68"/>
    </row>
    <row r="25" spans="1:28" s="145" customFormat="1" ht="11.45" customHeight="1">
      <c r="A25" s="144"/>
      <c r="B25" s="147"/>
      <c r="C25" s="147"/>
      <c r="D25" s="144"/>
      <c r="E25" s="144"/>
      <c r="F25" s="147" t="s">
        <v>2393</v>
      </c>
      <c r="G25" s="147" t="s">
        <v>2402</v>
      </c>
      <c r="H25" s="144"/>
      <c r="I25" s="144"/>
      <c r="J25" s="147" t="s">
        <v>1433</v>
      </c>
      <c r="K25" s="147"/>
      <c r="L25" s="147"/>
      <c r="M25" s="147"/>
      <c r="N25" s="147"/>
      <c r="O25" s="147"/>
      <c r="P25" s="144"/>
      <c r="Q25" s="879">
        <v>3750</v>
      </c>
      <c r="R25" s="235" t="s">
        <v>1611</v>
      </c>
      <c r="S25" s="236"/>
      <c r="AA25" s="68"/>
      <c r="AB25" s="68"/>
    </row>
    <row r="26" spans="1:28" s="145" customFormat="1" ht="11.45" customHeight="1">
      <c r="A26" s="147"/>
      <c r="B26" s="147"/>
      <c r="C26" s="147"/>
      <c r="D26" s="144"/>
      <c r="E26" s="144"/>
      <c r="G26" s="147" t="s">
        <v>2401</v>
      </c>
      <c r="H26" s="144"/>
      <c r="I26" s="144"/>
      <c r="J26" s="147" t="s">
        <v>1433</v>
      </c>
      <c r="K26" s="147"/>
      <c r="L26" s="147"/>
      <c r="M26" s="147"/>
      <c r="N26" s="147"/>
      <c r="O26" s="147"/>
      <c r="P26" s="144"/>
      <c r="Q26" s="879">
        <v>3250</v>
      </c>
      <c r="R26" s="235" t="s">
        <v>1611</v>
      </c>
      <c r="S26" s="236"/>
      <c r="AA26" s="68"/>
      <c r="AB26" s="68"/>
    </row>
    <row r="27" spans="1:28" s="145" customFormat="1" ht="11.45" customHeight="1">
      <c r="A27" s="147"/>
      <c r="B27" s="147"/>
      <c r="C27" s="147"/>
      <c r="D27" s="144"/>
      <c r="E27" s="144"/>
      <c r="G27" s="147" t="s">
        <v>3319</v>
      </c>
      <c r="H27" s="144"/>
      <c r="I27" s="144"/>
      <c r="J27" s="147" t="s">
        <v>1433</v>
      </c>
      <c r="K27" s="147"/>
      <c r="L27" s="147"/>
      <c r="M27" s="147"/>
      <c r="N27" s="147"/>
      <c r="O27" s="147"/>
      <c r="P27" s="144"/>
      <c r="Q27" s="879" t="s">
        <v>2855</v>
      </c>
      <c r="R27" s="235" t="s">
        <v>1611</v>
      </c>
      <c r="S27" s="236"/>
      <c r="T27" s="236"/>
      <c r="U27" s="236"/>
      <c r="AA27" s="68"/>
      <c r="AB27" s="68"/>
    </row>
    <row r="28" spans="1:28" s="145" customFormat="1" ht="11.45" customHeight="1">
      <c r="A28" s="147"/>
      <c r="B28" s="147" t="s">
        <v>1124</v>
      </c>
      <c r="C28" s="147"/>
      <c r="D28" s="144"/>
      <c r="E28" s="144"/>
      <c r="F28" s="147" t="s">
        <v>264</v>
      </c>
      <c r="G28" s="147"/>
      <c r="H28" s="144"/>
      <c r="I28" s="144"/>
      <c r="J28" s="147" t="s">
        <v>1433</v>
      </c>
      <c r="K28" s="147"/>
      <c r="L28" s="147"/>
      <c r="M28" s="147"/>
      <c r="N28" s="147"/>
      <c r="O28" s="147"/>
      <c r="P28" s="144"/>
      <c r="Q28" s="880">
        <v>350</v>
      </c>
      <c r="R28" s="235" t="s">
        <v>1611</v>
      </c>
      <c r="S28" s="236"/>
      <c r="T28" s="236"/>
      <c r="U28" s="236"/>
      <c r="AA28" s="68"/>
      <c r="AB28" s="68"/>
    </row>
    <row r="29" spans="1:28" s="145" customFormat="1" ht="11.45" customHeight="1">
      <c r="A29" s="147"/>
      <c r="B29" s="147"/>
      <c r="C29" s="147"/>
      <c r="D29" s="144"/>
      <c r="E29" s="144"/>
      <c r="F29" s="147" t="s">
        <v>1125</v>
      </c>
      <c r="G29" s="147"/>
      <c r="H29" s="144"/>
      <c r="I29" s="144"/>
      <c r="J29" s="147" t="s">
        <v>1433</v>
      </c>
      <c r="K29" s="147"/>
      <c r="L29" s="147"/>
      <c r="M29" s="147"/>
      <c r="N29" s="147"/>
      <c r="O29" s="147"/>
      <c r="P29" s="144"/>
      <c r="Q29" s="880">
        <v>250</v>
      </c>
      <c r="R29" s="235" t="s">
        <v>1611</v>
      </c>
      <c r="S29" s="236"/>
      <c r="T29" s="236"/>
      <c r="U29" s="236"/>
      <c r="AA29" s="68"/>
      <c r="AB29" s="68"/>
    </row>
    <row r="30" spans="1:28" s="145" customFormat="1" ht="11.45" customHeight="1">
      <c r="A30" s="147"/>
      <c r="B30" s="147"/>
      <c r="C30" s="147"/>
      <c r="D30" s="147"/>
      <c r="E30" s="144"/>
      <c r="F30" s="147" t="s">
        <v>3056</v>
      </c>
      <c r="G30" s="147"/>
      <c r="H30" s="144"/>
      <c r="I30" s="144"/>
      <c r="J30" s="147" t="s">
        <v>1433</v>
      </c>
      <c r="K30" s="147"/>
      <c r="L30" s="147"/>
      <c r="M30" s="147"/>
      <c r="N30" s="147"/>
      <c r="O30" s="147"/>
      <c r="P30" s="144"/>
      <c r="Q30" s="880">
        <v>420</v>
      </c>
      <c r="R30" s="235" t="s">
        <v>1611</v>
      </c>
      <c r="S30" s="236"/>
      <c r="T30" s="236"/>
      <c r="U30" s="236"/>
      <c r="AA30" s="68"/>
      <c r="AB30" s="68"/>
    </row>
    <row r="31" spans="1:28" s="145" customFormat="1" ht="11.45" customHeight="1">
      <c r="A31" s="147"/>
      <c r="B31" s="147"/>
      <c r="C31" s="147"/>
      <c r="D31" s="147"/>
      <c r="E31" s="144"/>
      <c r="F31" s="147" t="s">
        <v>346</v>
      </c>
      <c r="G31" s="147"/>
      <c r="H31" s="144"/>
      <c r="I31" s="144"/>
      <c r="J31" s="147" t="s">
        <v>1433</v>
      </c>
      <c r="K31" s="147"/>
      <c r="L31" s="147"/>
      <c r="M31" s="147"/>
      <c r="N31" s="147"/>
      <c r="O31" s="147"/>
      <c r="P31" s="144"/>
      <c r="Q31" s="880">
        <v>420</v>
      </c>
      <c r="R31" s="235" t="s">
        <v>1611</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1126</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45" customHeight="1">
      <c r="A34" s="147"/>
      <c r="B34" s="147" t="s">
        <v>709</v>
      </c>
      <c r="C34" s="147"/>
      <c r="D34" s="144"/>
      <c r="E34" s="144"/>
      <c r="F34" s="147" t="s">
        <v>264</v>
      </c>
      <c r="G34" s="147"/>
      <c r="H34" s="144"/>
      <c r="I34" s="144"/>
      <c r="J34" s="147" t="s">
        <v>3293</v>
      </c>
      <c r="K34" s="147"/>
      <c r="L34" s="147"/>
      <c r="M34" s="147"/>
      <c r="N34" s="147"/>
      <c r="O34" s="147"/>
      <c r="P34" s="144"/>
      <c r="Q34" s="837">
        <v>25000</v>
      </c>
      <c r="R34" s="235" t="s">
        <v>477</v>
      </c>
      <c r="S34" s="236"/>
      <c r="T34" s="236"/>
      <c r="U34" s="236"/>
      <c r="AA34" s="68"/>
      <c r="AB34" s="68"/>
    </row>
    <row r="35" spans="1:28" s="145" customFormat="1" ht="11.45" customHeight="1">
      <c r="A35" s="147"/>
      <c r="B35" s="147"/>
      <c r="C35" s="147"/>
      <c r="D35" s="144"/>
      <c r="E35" s="144"/>
      <c r="F35" s="147" t="s">
        <v>6110</v>
      </c>
      <c r="G35" s="147"/>
      <c r="H35" s="144"/>
      <c r="I35" s="144"/>
      <c r="J35" s="147" t="s">
        <v>6111</v>
      </c>
      <c r="K35" s="147"/>
      <c r="L35" s="147"/>
      <c r="M35" s="147"/>
      <c r="N35" s="147"/>
      <c r="O35" s="147"/>
      <c r="P35" s="144"/>
      <c r="Q35" s="836" t="s">
        <v>907</v>
      </c>
      <c r="R35" s="837">
        <v>1250000</v>
      </c>
      <c r="S35" s="236"/>
      <c r="T35" s="236"/>
      <c r="U35" s="236"/>
      <c r="AA35" s="68"/>
      <c r="AB35" s="68"/>
    </row>
    <row r="36" spans="1:28" s="145" customFormat="1" ht="11.45" customHeight="1">
      <c r="A36" s="147"/>
      <c r="B36" s="147" t="s">
        <v>1821</v>
      </c>
      <c r="C36" s="147"/>
      <c r="D36" s="144"/>
      <c r="E36" s="144"/>
      <c r="F36" s="147" t="s">
        <v>1125</v>
      </c>
      <c r="G36" s="147"/>
      <c r="H36" s="144"/>
      <c r="I36" s="144"/>
      <c r="J36" s="147" t="s">
        <v>3320</v>
      </c>
      <c r="K36" s="147"/>
      <c r="L36" s="147"/>
      <c r="M36" s="147"/>
      <c r="N36" s="147"/>
      <c r="O36" s="147"/>
      <c r="P36" s="144"/>
      <c r="Q36" s="836" t="s">
        <v>907</v>
      </c>
      <c r="R36" s="836">
        <v>0.05</v>
      </c>
      <c r="S36" s="236"/>
      <c r="T36" s="236"/>
      <c r="U36" s="236"/>
      <c r="AA36" s="68"/>
      <c r="AB36" s="68"/>
    </row>
    <row r="37" spans="1:28" s="145" customFormat="1" ht="11.45" customHeight="1">
      <c r="A37" s="147"/>
      <c r="B37" s="147"/>
      <c r="C37" s="147"/>
      <c r="D37" s="144"/>
      <c r="E37" s="144"/>
      <c r="F37" s="147" t="s">
        <v>264</v>
      </c>
      <c r="G37" s="147"/>
      <c r="H37" s="144"/>
      <c r="I37" s="144"/>
      <c r="J37" s="147" t="s">
        <v>3320</v>
      </c>
      <c r="K37" s="147"/>
      <c r="L37" s="147"/>
      <c r="M37" s="147"/>
      <c r="N37" s="147"/>
      <c r="O37" s="147"/>
      <c r="P37" s="144"/>
      <c r="Q37" s="836" t="s">
        <v>907</v>
      </c>
      <c r="R37" s="836">
        <v>0.1</v>
      </c>
      <c r="S37" s="236"/>
      <c r="T37" s="236"/>
      <c r="U37" s="236"/>
      <c r="AA37" s="68"/>
      <c r="AB37" s="68"/>
    </row>
    <row r="38" spans="1:28" s="145" customFormat="1" ht="11.45" customHeight="1">
      <c r="A38" s="147"/>
      <c r="B38" s="147" t="s">
        <v>1890</v>
      </c>
      <c r="C38" s="147"/>
      <c r="D38" s="144"/>
      <c r="E38" s="144"/>
      <c r="F38" s="147" t="s">
        <v>1611</v>
      </c>
      <c r="G38" s="147"/>
      <c r="H38" s="144"/>
      <c r="I38" s="144"/>
      <c r="J38" s="147" t="s">
        <v>3321</v>
      </c>
      <c r="K38" s="147"/>
      <c r="L38" s="147"/>
      <c r="M38" s="147"/>
      <c r="N38" s="147"/>
      <c r="O38" s="147"/>
      <c r="P38" s="144"/>
      <c r="Q38" s="235" t="s">
        <v>1611</v>
      </c>
      <c r="R38" s="836">
        <v>0.06</v>
      </c>
      <c r="S38" s="236"/>
      <c r="T38" s="236"/>
      <c r="U38" s="236"/>
      <c r="AA38" s="68"/>
      <c r="AB38" s="68"/>
    </row>
    <row r="39" spans="1:28" s="145" customFormat="1" ht="11.45" customHeight="1">
      <c r="A39" s="147"/>
      <c r="B39" s="147" t="s">
        <v>1891</v>
      </c>
      <c r="C39" s="147"/>
      <c r="D39" s="144"/>
      <c r="E39" s="144"/>
      <c r="F39" s="147" t="s">
        <v>1611</v>
      </c>
      <c r="G39" s="147"/>
      <c r="H39" s="144"/>
      <c r="I39" s="144"/>
      <c r="J39" s="147" t="s">
        <v>3321</v>
      </c>
      <c r="K39" s="147"/>
      <c r="L39" s="147"/>
      <c r="M39" s="147"/>
      <c r="N39" s="147"/>
      <c r="O39" s="147"/>
      <c r="P39" s="144"/>
      <c r="Q39" s="235" t="s">
        <v>1611</v>
      </c>
      <c r="R39" s="836">
        <v>0.02</v>
      </c>
      <c r="S39" s="236"/>
      <c r="T39" s="236"/>
      <c r="U39" s="236"/>
      <c r="AA39" s="68"/>
      <c r="AB39" s="68"/>
    </row>
    <row r="40" spans="1:28" s="145" customFormat="1" ht="11.45" customHeight="1">
      <c r="A40" s="147"/>
      <c r="B40" s="147" t="s">
        <v>2512</v>
      </c>
      <c r="C40" s="147"/>
      <c r="D40" s="144"/>
      <c r="E40" s="144"/>
      <c r="F40" s="147" t="s">
        <v>1611</v>
      </c>
      <c r="G40" s="147"/>
      <c r="H40" s="144"/>
      <c r="I40" s="144"/>
      <c r="J40" s="147" t="s">
        <v>3321</v>
      </c>
      <c r="K40" s="147"/>
      <c r="L40" s="147"/>
      <c r="M40" s="147"/>
      <c r="N40" s="147"/>
      <c r="O40" s="147"/>
      <c r="P40" s="144"/>
      <c r="Q40" s="235" t="s">
        <v>1611</v>
      </c>
      <c r="R40" s="836">
        <v>0.06</v>
      </c>
      <c r="S40" s="236"/>
      <c r="T40" s="236"/>
      <c r="U40" s="236"/>
      <c r="AA40" s="68"/>
      <c r="AB40" s="68"/>
    </row>
    <row r="41" spans="1:28" s="145" customFormat="1" ht="11.45" customHeight="1">
      <c r="A41" s="147"/>
      <c r="B41" s="147" t="s">
        <v>1216</v>
      </c>
      <c r="C41" s="147"/>
      <c r="D41" s="144"/>
      <c r="E41" s="144"/>
      <c r="F41" s="147" t="s">
        <v>1062</v>
      </c>
      <c r="G41" s="147"/>
      <c r="H41" s="144"/>
      <c r="I41" s="144"/>
      <c r="J41" s="147"/>
      <c r="K41" s="147"/>
      <c r="L41" s="147"/>
      <c r="M41" s="147"/>
      <c r="N41" s="147"/>
      <c r="O41" s="147"/>
      <c r="P41" s="144"/>
      <c r="Q41" s="235" t="s">
        <v>1611</v>
      </c>
      <c r="R41" s="837"/>
      <c r="S41" s="236"/>
      <c r="T41" s="236"/>
      <c r="U41" s="236"/>
      <c r="AA41" s="68"/>
      <c r="AB41" s="68"/>
    </row>
    <row r="42" spans="1:28" s="145" customFormat="1" ht="11.45" customHeight="1">
      <c r="A42" s="144"/>
      <c r="B42" s="236" t="s">
        <v>3286</v>
      </c>
      <c r="C42" s="147"/>
      <c r="D42" s="147"/>
      <c r="E42" s="144"/>
      <c r="F42" s="147" t="s">
        <v>3087</v>
      </c>
      <c r="G42" s="147"/>
      <c r="H42" s="144"/>
      <c r="I42" s="144"/>
      <c r="J42" s="147" t="s">
        <v>1127</v>
      </c>
      <c r="K42" s="147"/>
      <c r="L42" s="147"/>
      <c r="M42" s="147"/>
      <c r="N42" s="147"/>
      <c r="O42" s="147"/>
      <c r="P42" s="144"/>
      <c r="Q42" s="4019">
        <v>1000</v>
      </c>
      <c r="R42" s="4020"/>
      <c r="S42" s="236"/>
      <c r="T42" s="236"/>
      <c r="U42" s="236"/>
      <c r="AA42" s="68"/>
      <c r="AB42" s="68"/>
    </row>
    <row r="43" spans="1:28" s="145" customFormat="1" ht="11.45" customHeight="1">
      <c r="A43" s="147"/>
      <c r="B43" s="147"/>
      <c r="C43" s="147"/>
      <c r="D43" s="147"/>
      <c r="E43" s="144"/>
      <c r="G43" s="147"/>
      <c r="H43" s="144"/>
      <c r="I43" s="144"/>
      <c r="J43" s="147" t="s">
        <v>1128</v>
      </c>
      <c r="K43" s="147"/>
      <c r="L43" s="147"/>
      <c r="M43" s="147"/>
      <c r="N43" s="147"/>
      <c r="O43" s="147"/>
      <c r="P43" s="144"/>
      <c r="Q43" s="4019">
        <v>500</v>
      </c>
      <c r="R43" s="4020"/>
      <c r="S43" s="236"/>
      <c r="T43" s="236"/>
      <c r="U43" s="236"/>
      <c r="AA43" s="68"/>
      <c r="AB43" s="68"/>
    </row>
    <row r="44" spans="1:28" s="145" customFormat="1" ht="11.45" customHeight="1">
      <c r="A44" s="147"/>
      <c r="B44" s="147"/>
      <c r="C44" s="147"/>
      <c r="D44" s="147"/>
      <c r="E44" s="144"/>
      <c r="F44" s="147" t="s">
        <v>3328</v>
      </c>
      <c r="G44" s="147"/>
      <c r="H44" s="144"/>
      <c r="I44" s="144"/>
      <c r="J44" s="147" t="s">
        <v>3324</v>
      </c>
      <c r="K44" s="147"/>
      <c r="L44" s="147"/>
      <c r="M44" s="147"/>
      <c r="N44" s="147"/>
      <c r="O44" s="147"/>
      <c r="P44" s="144"/>
      <c r="Q44" s="4019">
        <v>1500</v>
      </c>
      <c r="R44" s="4020"/>
      <c r="S44" s="236"/>
      <c r="T44" s="236"/>
      <c r="U44" s="236"/>
      <c r="AA44" s="68"/>
      <c r="AB44" s="68"/>
    </row>
    <row r="45" spans="1:28" s="145" customFormat="1" ht="11.45" customHeight="1">
      <c r="A45" s="147"/>
      <c r="B45" s="147"/>
      <c r="C45" s="147"/>
      <c r="D45" s="147"/>
      <c r="E45" s="144"/>
      <c r="G45" s="147"/>
      <c r="H45" s="144"/>
      <c r="I45" s="144"/>
      <c r="J45" s="147" t="s">
        <v>3325</v>
      </c>
      <c r="K45" s="147"/>
      <c r="L45" s="147"/>
      <c r="M45" s="147"/>
      <c r="N45" s="147"/>
      <c r="O45" s="147"/>
      <c r="P45" s="144"/>
      <c r="Q45" s="4019">
        <v>1500</v>
      </c>
      <c r="R45" s="4020"/>
      <c r="S45" s="236"/>
      <c r="T45" s="236"/>
      <c r="U45" s="236"/>
      <c r="AA45" s="68"/>
      <c r="AB45" s="68"/>
    </row>
    <row r="46" spans="1:28" s="145" customFormat="1" ht="11.45" customHeight="1">
      <c r="A46" s="147"/>
      <c r="B46" s="147"/>
      <c r="C46" s="147"/>
      <c r="D46" s="147"/>
      <c r="E46" s="144"/>
      <c r="G46" s="147"/>
      <c r="H46" s="144"/>
      <c r="I46" s="144"/>
      <c r="J46" s="147" t="s">
        <v>3326</v>
      </c>
      <c r="K46" s="147"/>
      <c r="L46" s="147"/>
      <c r="M46" s="147"/>
      <c r="N46" s="147"/>
      <c r="O46" s="147"/>
      <c r="P46" s="144"/>
      <c r="Q46" s="4019">
        <v>1500</v>
      </c>
      <c r="R46" s="4020"/>
      <c r="S46" s="236"/>
      <c r="T46" s="236"/>
      <c r="U46" s="236"/>
      <c r="AA46" s="68"/>
      <c r="AB46" s="68"/>
    </row>
    <row r="47" spans="1:28" s="145" customFormat="1" ht="11.45" customHeight="1">
      <c r="A47" s="147"/>
      <c r="B47" s="147"/>
      <c r="C47" s="147"/>
      <c r="D47" s="147"/>
      <c r="E47" s="144"/>
      <c r="G47" s="147"/>
      <c r="H47" s="144"/>
      <c r="I47" s="144"/>
      <c r="J47" s="147" t="s">
        <v>3327</v>
      </c>
      <c r="K47" s="147"/>
      <c r="L47" s="147"/>
      <c r="M47" s="147"/>
      <c r="N47" s="147"/>
      <c r="O47" s="147"/>
      <c r="P47" s="144"/>
      <c r="Q47" s="4019">
        <v>1500</v>
      </c>
      <c r="R47" s="4020"/>
      <c r="S47" s="236"/>
      <c r="T47" s="236"/>
      <c r="U47" s="236"/>
      <c r="AA47" s="68"/>
      <c r="AB47" s="68"/>
    </row>
    <row r="48" spans="1:28" s="145" customFormat="1" ht="11.45" customHeight="1">
      <c r="A48" s="147"/>
      <c r="B48" s="147"/>
      <c r="C48" s="147"/>
      <c r="D48" s="147"/>
      <c r="E48" s="144"/>
      <c r="F48" s="147" t="s">
        <v>3780</v>
      </c>
      <c r="G48" s="147"/>
      <c r="H48" s="144"/>
      <c r="I48" s="144"/>
      <c r="J48" s="147" t="s">
        <v>1127</v>
      </c>
      <c r="K48" s="147"/>
      <c r="L48" s="147"/>
      <c r="M48" s="147"/>
      <c r="N48" s="147"/>
      <c r="O48" s="147"/>
      <c r="P48" s="144"/>
      <c r="Q48" s="4019">
        <v>6500</v>
      </c>
      <c r="R48" s="4020"/>
      <c r="S48" s="236"/>
      <c r="T48" s="236"/>
      <c r="U48" s="236"/>
      <c r="AA48" s="68"/>
      <c r="AB48" s="68"/>
    </row>
    <row r="49" spans="1:28" s="145" customFormat="1" ht="11.45" customHeight="1">
      <c r="A49" s="147"/>
      <c r="B49" s="147"/>
      <c r="C49" s="147"/>
      <c r="D49" s="147"/>
      <c r="E49" s="144"/>
      <c r="F49" s="147" t="s">
        <v>3780</v>
      </c>
      <c r="G49" s="147"/>
      <c r="H49" s="144"/>
      <c r="I49" s="144"/>
      <c r="J49" s="147" t="s">
        <v>1128</v>
      </c>
      <c r="K49" s="147"/>
      <c r="L49" s="147"/>
      <c r="M49" s="147"/>
      <c r="N49" s="147"/>
      <c r="O49" s="147"/>
      <c r="P49" s="144"/>
      <c r="Q49" s="4019">
        <v>5500</v>
      </c>
      <c r="R49" s="4020"/>
      <c r="S49" s="236"/>
      <c r="T49" s="236"/>
      <c r="U49" s="236"/>
      <c r="AA49" s="68"/>
      <c r="AB49" s="68"/>
    </row>
    <row r="50" spans="1:28" s="145" customFormat="1" ht="11.45" customHeight="1">
      <c r="A50" s="147"/>
      <c r="B50" s="147"/>
      <c r="C50" s="147"/>
      <c r="D50" s="147"/>
      <c r="E50" s="144"/>
      <c r="F50" s="147" t="s">
        <v>3058</v>
      </c>
      <c r="G50" s="147"/>
      <c r="H50" s="144"/>
      <c r="I50" s="144"/>
      <c r="J50" s="147"/>
      <c r="K50" s="147"/>
      <c r="L50" s="147"/>
      <c r="M50" s="147"/>
      <c r="N50" s="147"/>
      <c r="O50" s="147"/>
      <c r="P50" s="144"/>
      <c r="Q50" s="4019">
        <v>5500</v>
      </c>
      <c r="R50" s="4020"/>
      <c r="S50" s="236"/>
      <c r="T50" s="236"/>
      <c r="U50" s="236"/>
      <c r="AA50" s="68"/>
      <c r="AB50" s="68"/>
    </row>
    <row r="51" spans="1:28" s="145" customFormat="1" ht="11.45" customHeight="1">
      <c r="A51" s="147"/>
      <c r="B51" s="147"/>
      <c r="C51" s="147"/>
      <c r="D51" s="147"/>
      <c r="E51" s="144"/>
      <c r="F51" s="147"/>
      <c r="G51" s="147" t="s">
        <v>3778</v>
      </c>
      <c r="H51" s="144"/>
      <c r="I51" s="144"/>
      <c r="J51" s="147" t="s">
        <v>3779</v>
      </c>
      <c r="K51" s="147"/>
      <c r="L51" s="147"/>
      <c r="M51" s="147"/>
      <c r="N51" s="147"/>
      <c r="O51" s="147"/>
      <c r="P51" s="144"/>
      <c r="Q51" s="4019">
        <v>500</v>
      </c>
      <c r="R51" s="4020"/>
      <c r="S51" s="236"/>
      <c r="T51" s="236"/>
      <c r="U51" s="236"/>
      <c r="AA51" s="68"/>
      <c r="AB51" s="68"/>
    </row>
    <row r="52" spans="1:28" s="145" customFormat="1" ht="11.45" customHeight="1">
      <c r="A52" s="147"/>
      <c r="B52" s="147"/>
      <c r="C52" s="147"/>
      <c r="D52" s="147"/>
      <c r="E52" s="144"/>
      <c r="F52" s="147" t="s">
        <v>3322</v>
      </c>
      <c r="G52" s="147"/>
      <c r="H52" s="144"/>
      <c r="I52" s="144"/>
      <c r="J52" s="147"/>
      <c r="K52" s="147"/>
      <c r="L52" s="147"/>
      <c r="M52" s="147"/>
      <c r="N52" s="147"/>
      <c r="O52" s="147"/>
      <c r="P52" s="144"/>
      <c r="Q52" s="4019">
        <v>1500</v>
      </c>
      <c r="R52" s="4020"/>
      <c r="S52" s="236"/>
      <c r="T52" s="236"/>
      <c r="U52" s="236"/>
      <c r="AA52" s="68"/>
      <c r="AB52" s="68"/>
    </row>
    <row r="53" spans="1:28" s="145" customFormat="1" ht="11.45" customHeight="1">
      <c r="A53" s="147"/>
      <c r="C53" s="147"/>
      <c r="D53" s="144"/>
      <c r="E53" s="144"/>
      <c r="F53" s="147" t="s">
        <v>889</v>
      </c>
      <c r="H53" s="147"/>
      <c r="I53" s="144"/>
      <c r="J53" s="147" t="s">
        <v>890</v>
      </c>
      <c r="K53" s="147"/>
      <c r="L53" s="147"/>
      <c r="M53" s="147"/>
      <c r="N53" s="147"/>
      <c r="O53" s="147"/>
      <c r="P53" s="144"/>
      <c r="Q53" s="4051">
        <v>0.08</v>
      </c>
      <c r="R53" s="4051"/>
      <c r="S53" s="236"/>
      <c r="T53" s="236"/>
      <c r="U53" s="236"/>
      <c r="AA53" s="68"/>
      <c r="AB53" s="68"/>
    </row>
    <row r="54" spans="1:28" s="145" customFormat="1" ht="11.45" customHeight="1">
      <c r="A54" s="147"/>
      <c r="C54" s="147"/>
      <c r="D54" s="144"/>
      <c r="E54" s="144"/>
      <c r="F54" s="147" t="s">
        <v>6109</v>
      </c>
      <c r="H54" s="147"/>
      <c r="I54" s="144"/>
      <c r="J54" s="147" t="s">
        <v>890</v>
      </c>
      <c r="K54" s="147"/>
      <c r="L54" s="147"/>
      <c r="M54" s="147"/>
      <c r="N54" s="147"/>
      <c r="O54" s="147"/>
      <c r="P54" s="144"/>
      <c r="Q54" s="4051">
        <v>0.08</v>
      </c>
      <c r="R54" s="4051"/>
      <c r="S54" s="236"/>
      <c r="T54" s="236"/>
      <c r="U54" s="236"/>
      <c r="AA54" s="68"/>
      <c r="AB54" s="68"/>
    </row>
    <row r="55" spans="1:28" s="145" customFormat="1" ht="11.45" customHeight="1">
      <c r="A55" s="147"/>
      <c r="C55" s="147"/>
      <c r="D55" s="144"/>
      <c r="E55" s="144"/>
      <c r="F55" s="147" t="s">
        <v>3781</v>
      </c>
      <c r="H55" s="147"/>
      <c r="I55" s="144"/>
      <c r="J55" s="147"/>
      <c r="K55" s="147"/>
      <c r="L55" s="147"/>
      <c r="M55" s="147"/>
      <c r="N55" s="147"/>
      <c r="O55" s="147"/>
      <c r="P55" s="144"/>
      <c r="Q55" s="4019"/>
      <c r="R55" s="4020"/>
      <c r="S55" s="236"/>
      <c r="T55" s="236"/>
      <c r="U55" s="236"/>
      <c r="AA55" s="68"/>
      <c r="AB55" s="68"/>
    </row>
    <row r="56" spans="1:28" s="145" customFormat="1" ht="11.45" customHeight="1">
      <c r="A56" s="147"/>
      <c r="C56" s="147"/>
      <c r="D56" s="144"/>
      <c r="E56" s="144"/>
      <c r="F56" s="147" t="s">
        <v>3292</v>
      </c>
      <c r="H56" s="147"/>
      <c r="I56" s="144"/>
      <c r="J56" s="147"/>
      <c r="K56" s="147"/>
      <c r="L56" s="147"/>
      <c r="M56" s="147"/>
      <c r="N56" s="147"/>
      <c r="O56" s="147"/>
      <c r="P56" s="144"/>
      <c r="Q56" s="4019">
        <v>1500</v>
      </c>
      <c r="R56" s="4020"/>
      <c r="S56" s="236"/>
      <c r="T56" s="236"/>
      <c r="U56" s="236"/>
      <c r="AA56" s="68"/>
      <c r="AB56" s="68"/>
    </row>
    <row r="57" spans="1:28" s="145" customFormat="1" ht="11.45" customHeight="1">
      <c r="A57" s="147"/>
      <c r="C57" s="147"/>
      <c r="D57" s="144"/>
      <c r="E57" s="144"/>
      <c r="F57" s="147" t="s">
        <v>891</v>
      </c>
      <c r="H57" s="147" t="s">
        <v>1505</v>
      </c>
      <c r="I57" s="144"/>
      <c r="J57" s="147" t="s">
        <v>1433</v>
      </c>
      <c r="K57" s="147"/>
      <c r="L57" s="147"/>
      <c r="M57" s="147"/>
      <c r="N57" s="147"/>
      <c r="O57" s="147"/>
      <c r="P57" s="144"/>
      <c r="Q57" s="4019">
        <v>800</v>
      </c>
      <c r="R57" s="4020"/>
      <c r="S57" s="236"/>
      <c r="T57" s="236"/>
      <c r="U57" s="236"/>
      <c r="AA57" s="68"/>
      <c r="AB57" s="68"/>
    </row>
    <row r="58" spans="1:28" s="145" customFormat="1" ht="11.45" customHeight="1">
      <c r="A58" s="147"/>
      <c r="C58" s="147"/>
      <c r="D58" s="144"/>
      <c r="E58" s="144"/>
      <c r="F58" s="147"/>
      <c r="H58" s="147"/>
      <c r="I58" s="147" t="s">
        <v>3782</v>
      </c>
      <c r="J58" s="147" t="s">
        <v>1433</v>
      </c>
      <c r="K58" s="147"/>
      <c r="L58" s="147"/>
      <c r="M58" s="147"/>
      <c r="N58" s="147"/>
      <c r="O58" s="147"/>
      <c r="P58" s="144"/>
      <c r="Q58" s="4019">
        <v>1000</v>
      </c>
      <c r="R58" s="4020"/>
      <c r="S58" s="236"/>
      <c r="T58" s="236"/>
      <c r="U58" s="236"/>
      <c r="AA58" s="68"/>
      <c r="AB58" s="68"/>
    </row>
    <row r="59" spans="1:28" s="145" customFormat="1" ht="11.45" customHeight="1">
      <c r="A59" s="147"/>
      <c r="B59" s="147"/>
      <c r="C59" s="147"/>
      <c r="D59" s="144"/>
      <c r="E59" s="144"/>
      <c r="H59" s="147" t="s">
        <v>2448</v>
      </c>
      <c r="I59" s="144"/>
      <c r="J59" s="147" t="s">
        <v>1433</v>
      </c>
      <c r="K59" s="147" t="s">
        <v>3302</v>
      </c>
      <c r="L59" s="147"/>
      <c r="M59" s="147"/>
      <c r="N59" s="147"/>
      <c r="O59" s="147"/>
      <c r="P59" s="144"/>
      <c r="Q59" s="4019">
        <v>800</v>
      </c>
      <c r="R59" s="4020"/>
      <c r="S59" s="236"/>
      <c r="T59" s="236"/>
      <c r="U59" s="236"/>
      <c r="AA59" s="68"/>
      <c r="AB59" s="68"/>
    </row>
    <row r="60" spans="1:28" s="145" customFormat="1" ht="11.45" customHeight="1">
      <c r="A60" s="147"/>
      <c r="B60" s="147"/>
      <c r="C60" s="147"/>
      <c r="D60" s="144"/>
      <c r="E60" s="144"/>
      <c r="H60" s="147" t="s">
        <v>2515</v>
      </c>
      <c r="I60" s="144"/>
      <c r="J60" s="147" t="s">
        <v>2447</v>
      </c>
      <c r="K60" s="147"/>
      <c r="L60" s="147"/>
      <c r="M60" s="147"/>
      <c r="N60" s="147"/>
      <c r="O60" s="147"/>
      <c r="P60" s="144"/>
      <c r="Q60" s="4019">
        <v>1500</v>
      </c>
      <c r="R60" s="4020"/>
      <c r="S60" s="236"/>
      <c r="T60" s="236"/>
      <c r="U60" s="236"/>
      <c r="AA60" s="68"/>
      <c r="AB60" s="68"/>
    </row>
    <row r="61" spans="1:28" s="145" customFormat="1" ht="11.45" customHeight="1">
      <c r="A61" s="147"/>
      <c r="B61" s="147"/>
      <c r="C61" s="147"/>
      <c r="D61" s="144"/>
      <c r="E61" s="144"/>
      <c r="F61" s="147" t="s">
        <v>3417</v>
      </c>
      <c r="I61" s="144"/>
      <c r="J61" s="147" t="s">
        <v>3784</v>
      </c>
      <c r="K61" s="147"/>
      <c r="L61" s="147"/>
      <c r="M61" s="147"/>
      <c r="N61" s="147"/>
      <c r="O61" s="147"/>
      <c r="P61" s="144"/>
      <c r="Q61" s="3635">
        <v>750</v>
      </c>
      <c r="R61" s="3636"/>
      <c r="S61" s="236"/>
      <c r="T61" s="236"/>
      <c r="U61" s="236"/>
      <c r="AA61" s="68"/>
      <c r="AB61" s="68"/>
    </row>
    <row r="62" spans="1:28" s="145" customFormat="1" ht="11.45" customHeight="1">
      <c r="A62" s="147"/>
      <c r="B62" s="147"/>
      <c r="C62" s="147"/>
      <c r="D62" s="144"/>
      <c r="E62" s="144"/>
      <c r="F62" s="147" t="s">
        <v>3783</v>
      </c>
      <c r="I62" s="144"/>
      <c r="J62" s="147" t="s">
        <v>1639</v>
      </c>
      <c r="K62" s="147"/>
      <c r="L62" s="147"/>
      <c r="M62" s="147"/>
      <c r="N62" s="147"/>
      <c r="O62" s="147"/>
      <c r="P62" s="144"/>
      <c r="Q62" s="4019">
        <v>3000</v>
      </c>
      <c r="R62" s="4020"/>
      <c r="S62" s="236"/>
      <c r="T62" s="236"/>
      <c r="U62" s="236"/>
      <c r="AA62" s="68"/>
      <c r="AB62" s="68"/>
    </row>
    <row r="63" spans="1:28" s="145" customFormat="1" ht="11.45" customHeight="1">
      <c r="A63" s="147"/>
      <c r="B63" s="147"/>
      <c r="C63" s="147"/>
      <c r="D63" s="144"/>
      <c r="E63" s="144"/>
      <c r="F63" s="147" t="s">
        <v>3059</v>
      </c>
      <c r="I63" s="144"/>
      <c r="J63" s="147" t="s">
        <v>3060</v>
      </c>
      <c r="K63" s="147"/>
      <c r="L63" s="147" t="s">
        <v>2514</v>
      </c>
      <c r="M63" s="147"/>
      <c r="N63" s="147"/>
      <c r="O63" s="147"/>
      <c r="P63" s="144"/>
      <c r="Q63" s="4019">
        <v>75</v>
      </c>
      <c r="R63" s="4020"/>
      <c r="S63" s="236"/>
      <c r="T63" s="236"/>
      <c r="U63" s="236"/>
      <c r="AA63" s="68"/>
      <c r="AB63" s="68"/>
    </row>
    <row r="64" spans="1:28" ht="11.25" customHeight="1">
      <c r="B64" s="147" t="s">
        <v>1726</v>
      </c>
      <c r="F64" s="1296" t="s">
        <v>3919</v>
      </c>
      <c r="G64" s="236"/>
      <c r="H64" s="236"/>
      <c r="J64" s="147" t="s">
        <v>3925</v>
      </c>
      <c r="K64" s="147" t="s">
        <v>3926</v>
      </c>
      <c r="L64" s="44"/>
      <c r="M64" s="44"/>
      <c r="N64" s="44"/>
      <c r="O64" s="1300" t="s">
        <v>3920</v>
      </c>
      <c r="AA64"/>
      <c r="AB64"/>
    </row>
    <row r="65" spans="1:28" ht="11.25" customHeight="1">
      <c r="F65" s="115"/>
      <c r="H65" s="1297">
        <v>0.09</v>
      </c>
      <c r="J65" s="392">
        <v>1</v>
      </c>
      <c r="K65" s="392">
        <v>50</v>
      </c>
      <c r="Q65" s="4022">
        <v>27500</v>
      </c>
      <c r="R65" s="4022"/>
      <c r="AA65"/>
      <c r="AB65"/>
    </row>
    <row r="66" spans="1:28" ht="11.25" customHeight="1">
      <c r="F66" s="115"/>
      <c r="H66" s="698"/>
      <c r="J66" s="392">
        <v>51</v>
      </c>
      <c r="K66" s="392">
        <v>70</v>
      </c>
      <c r="Q66" s="4021">
        <v>22000</v>
      </c>
      <c r="R66" s="4021"/>
      <c r="AA66"/>
      <c r="AB66"/>
    </row>
    <row r="67" spans="1:28" ht="11.25" customHeight="1">
      <c r="F67" s="115"/>
      <c r="H67" s="1521"/>
      <c r="I67" s="165"/>
      <c r="J67" s="1522">
        <v>71</v>
      </c>
      <c r="K67" s="1523"/>
      <c r="L67" s="165"/>
      <c r="M67" s="165"/>
      <c r="N67" s="165"/>
      <c r="O67" s="165"/>
      <c r="P67" s="1524"/>
      <c r="Q67" s="4023">
        <v>16500</v>
      </c>
      <c r="R67" s="4023"/>
      <c r="AA67"/>
      <c r="AB67"/>
    </row>
    <row r="68" spans="1:28" ht="11.25" customHeight="1">
      <c r="H68" s="1525">
        <v>0.04</v>
      </c>
      <c r="I68" s="1526"/>
      <c r="J68" s="1527">
        <v>1</v>
      </c>
      <c r="K68" s="1527">
        <v>50</v>
      </c>
      <c r="L68" s="1526"/>
      <c r="M68" s="1526"/>
      <c r="N68" s="1526"/>
      <c r="O68" s="1526"/>
      <c r="P68" s="1528"/>
      <c r="Q68" s="4022">
        <v>27500</v>
      </c>
      <c r="R68" s="4022"/>
      <c r="AA68"/>
      <c r="AB68"/>
    </row>
    <row r="69" spans="1:28" ht="11.25" customHeight="1">
      <c r="H69" s="1298"/>
      <c r="J69" s="392">
        <v>51</v>
      </c>
      <c r="K69" s="392">
        <v>70</v>
      </c>
      <c r="Q69" s="4021">
        <v>22000</v>
      </c>
      <c r="R69" s="4021"/>
      <c r="AA69"/>
      <c r="AB69"/>
    </row>
    <row r="70" spans="1:28" ht="11.25" customHeight="1">
      <c r="H70" s="1298"/>
      <c r="J70" s="392">
        <v>71</v>
      </c>
      <c r="K70" s="1298"/>
      <c r="Q70" s="4023">
        <v>16500</v>
      </c>
      <c r="R70" s="4023"/>
      <c r="AA70"/>
      <c r="AB70"/>
    </row>
    <row r="71" spans="1:28" ht="11.25" customHeight="1">
      <c r="F71" s="236" t="s">
        <v>3921</v>
      </c>
      <c r="H71" s="370"/>
      <c r="I71" s="44"/>
      <c r="AA71"/>
      <c r="AB71"/>
    </row>
    <row r="72" spans="1:28" ht="11.25" customHeight="1">
      <c r="H72" s="1299">
        <v>0.09</v>
      </c>
      <c r="I72" s="236"/>
      <c r="Q72" s="4037">
        <v>2000000</v>
      </c>
      <c r="R72" s="4037"/>
      <c r="AA72"/>
      <c r="AB72"/>
    </row>
    <row r="73" spans="1:28" ht="11.25" customHeight="1">
      <c r="H73" s="1299">
        <v>0.04</v>
      </c>
      <c r="I73" s="236"/>
      <c r="Q73" s="4037">
        <v>3500000</v>
      </c>
      <c r="R73" s="4037"/>
      <c r="AA73"/>
      <c r="AB73"/>
    </row>
    <row r="74" spans="1:28">
      <c r="AA74"/>
      <c r="AB74"/>
    </row>
    <row r="75" spans="1:28" s="145" customFormat="1" ht="13.5">
      <c r="A75" s="147"/>
      <c r="B75" s="147"/>
      <c r="C75" s="147"/>
      <c r="D75" s="144"/>
      <c r="E75" s="144"/>
      <c r="F75" s="147"/>
      <c r="G75" s="147"/>
      <c r="H75" s="147"/>
      <c r="I75" s="144"/>
      <c r="J75" s="147" t="s">
        <v>3042</v>
      </c>
      <c r="K75" s="147"/>
      <c r="L75" s="147"/>
      <c r="M75" s="147"/>
      <c r="N75" s="147"/>
      <c r="O75" s="147"/>
      <c r="P75" s="144"/>
      <c r="Q75" s="4035">
        <v>3500000</v>
      </c>
      <c r="R75" s="4036"/>
      <c r="S75" s="236"/>
      <c r="T75" s="236"/>
      <c r="U75" s="236"/>
      <c r="AA75" s="68"/>
      <c r="AB75" s="68"/>
    </row>
    <row r="76" spans="1:28" s="145" customFormat="1" ht="13.5" hidden="1">
      <c r="A76" s="147"/>
      <c r="B76" s="147"/>
      <c r="C76" s="147"/>
      <c r="D76" s="144"/>
      <c r="E76" s="144"/>
      <c r="F76" s="147" t="s">
        <v>1595</v>
      </c>
      <c r="G76" s="147"/>
      <c r="H76" s="147" t="s">
        <v>2121</v>
      </c>
      <c r="I76" s="144"/>
      <c r="J76" s="147" t="s">
        <v>912</v>
      </c>
      <c r="K76" s="147"/>
      <c r="L76" s="147"/>
      <c r="M76" s="147"/>
      <c r="N76" s="147"/>
      <c r="O76" s="147"/>
      <c r="P76" s="144"/>
      <c r="Q76" s="4024">
        <v>0.15</v>
      </c>
      <c r="R76" s="4025"/>
      <c r="S76" s="236"/>
      <c r="T76" s="236"/>
      <c r="U76" s="236"/>
      <c r="AA76" s="68"/>
      <c r="AB76" s="68"/>
    </row>
    <row r="77" spans="1:28" s="145" customFormat="1" ht="13.5" hidden="1">
      <c r="A77" s="147"/>
      <c r="B77" s="314"/>
      <c r="C77" s="147"/>
      <c r="D77" s="144"/>
      <c r="E77" s="144"/>
      <c r="F77" s="147"/>
      <c r="G77" s="147"/>
      <c r="H77" s="147" t="s">
        <v>3166</v>
      </c>
      <c r="I77" s="147" t="s">
        <v>909</v>
      </c>
      <c r="J77" s="147" t="s">
        <v>911</v>
      </c>
      <c r="K77" s="147"/>
      <c r="L77" s="147"/>
      <c r="M77" s="147"/>
      <c r="N77" s="147"/>
      <c r="O77" s="147"/>
      <c r="P77" s="144"/>
      <c r="Q77" s="4024">
        <v>0.15</v>
      </c>
      <c r="R77" s="4025"/>
      <c r="S77" s="236"/>
      <c r="T77" s="236"/>
      <c r="U77" s="236"/>
      <c r="AA77" s="68"/>
      <c r="AB77" s="68"/>
    </row>
    <row r="78" spans="1:28" s="145" customFormat="1" ht="13.5" hidden="1">
      <c r="A78" s="147"/>
      <c r="B78" s="314"/>
      <c r="C78" s="147"/>
      <c r="D78" s="144"/>
      <c r="E78" s="144"/>
      <c r="F78" s="147"/>
      <c r="G78" s="147"/>
      <c r="H78" s="147"/>
      <c r="I78" s="147" t="s">
        <v>910</v>
      </c>
      <c r="J78" s="147" t="s">
        <v>913</v>
      </c>
      <c r="K78" s="147"/>
      <c r="L78" s="147"/>
      <c r="M78" s="147"/>
      <c r="N78" s="147"/>
      <c r="O78" s="147"/>
      <c r="P78" s="144"/>
      <c r="Q78" s="4024">
        <v>0.15</v>
      </c>
      <c r="R78" s="4025"/>
      <c r="S78" s="236"/>
      <c r="T78" s="236"/>
      <c r="U78" s="236"/>
      <c r="AA78" s="68"/>
      <c r="AB78" s="68"/>
    </row>
    <row r="79" spans="1:28" s="145" customFormat="1" ht="13.5" hidden="1">
      <c r="A79" s="147"/>
      <c r="B79" s="314"/>
      <c r="C79" s="147"/>
      <c r="D79" s="144"/>
      <c r="E79" s="144"/>
      <c r="F79" s="147"/>
      <c r="G79" s="147"/>
      <c r="H79" s="147" t="s">
        <v>908</v>
      </c>
      <c r="I79" s="144"/>
      <c r="J79" s="147" t="s">
        <v>913</v>
      </c>
      <c r="K79" s="147"/>
      <c r="L79" s="147"/>
      <c r="M79" s="147"/>
      <c r="N79" s="147"/>
      <c r="O79" s="147"/>
      <c r="P79" s="144"/>
      <c r="Q79" s="4024">
        <v>0.15</v>
      </c>
      <c r="R79" s="4025"/>
      <c r="S79" s="236"/>
      <c r="T79" s="236"/>
      <c r="U79" s="236"/>
      <c r="AA79" s="68"/>
      <c r="AB79" s="68"/>
    </row>
    <row r="80" spans="1:28" s="145" customFormat="1" ht="13.5" hidden="1">
      <c r="A80" s="147"/>
      <c r="B80" s="314"/>
      <c r="C80" s="147"/>
      <c r="D80" s="144"/>
      <c r="E80" s="144"/>
      <c r="F80" s="147"/>
      <c r="G80" s="147"/>
      <c r="H80" s="147"/>
      <c r="I80" s="147" t="s">
        <v>914</v>
      </c>
      <c r="J80" s="147" t="s">
        <v>915</v>
      </c>
      <c r="K80" s="147"/>
      <c r="L80" s="147"/>
      <c r="M80" s="147"/>
      <c r="N80" s="147"/>
      <c r="O80" s="147"/>
      <c r="P80" s="144"/>
      <c r="Q80" s="4024">
        <v>0.15</v>
      </c>
      <c r="R80" s="4025"/>
      <c r="S80" s="236"/>
      <c r="T80" s="236"/>
      <c r="U80" s="236"/>
      <c r="AA80" s="68"/>
      <c r="AB80" s="68"/>
    </row>
    <row r="81" spans="1:28" s="145" customFormat="1" ht="13.5" hidden="1">
      <c r="A81" s="147"/>
      <c r="B81" s="314"/>
      <c r="C81" s="147"/>
      <c r="D81" s="144"/>
      <c r="E81" s="144"/>
      <c r="F81" s="147" t="s">
        <v>1635</v>
      </c>
      <c r="G81" s="147"/>
      <c r="H81" s="147"/>
      <c r="I81" s="144"/>
      <c r="J81" s="147" t="s">
        <v>2189</v>
      </c>
      <c r="K81" s="147"/>
      <c r="L81" s="147"/>
      <c r="M81" s="147"/>
      <c r="N81" s="147"/>
      <c r="O81" s="147"/>
      <c r="P81" s="144"/>
      <c r="Q81" s="4024">
        <v>0.15</v>
      </c>
      <c r="R81" s="4025"/>
      <c r="S81" s="236"/>
      <c r="T81" s="236"/>
      <c r="U81" s="236"/>
      <c r="AA81" s="68"/>
      <c r="AB81" s="68"/>
    </row>
    <row r="82" spans="1:28" s="145" customFormat="1" ht="13.5" hidden="1">
      <c r="A82" s="147"/>
      <c r="B82" s="314"/>
      <c r="C82" s="147"/>
      <c r="D82" s="144"/>
      <c r="E82" s="144"/>
      <c r="G82" s="147"/>
      <c r="H82" s="147"/>
      <c r="I82" s="144"/>
      <c r="J82" s="147" t="s">
        <v>2190</v>
      </c>
      <c r="K82" s="147"/>
      <c r="L82" s="147"/>
      <c r="M82" s="147"/>
      <c r="N82" s="147"/>
      <c r="O82" s="147"/>
      <c r="P82" s="144"/>
      <c r="Q82" s="4024" t="s">
        <v>2191</v>
      </c>
      <c r="R82" s="4025"/>
      <c r="S82" s="236"/>
      <c r="T82" s="236"/>
      <c r="U82" s="236"/>
      <c r="AA82" s="68"/>
      <c r="AB82" s="68"/>
    </row>
    <row r="83" spans="1:28" s="145" customFormat="1" ht="11.25" customHeight="1">
      <c r="A83" s="147"/>
      <c r="B83" s="314"/>
      <c r="C83" s="147"/>
      <c r="D83" s="144"/>
      <c r="E83" s="144"/>
      <c r="F83" s="147" t="s">
        <v>1886</v>
      </c>
      <c r="G83" s="147"/>
      <c r="H83" s="147"/>
      <c r="I83" s="144"/>
      <c r="J83" s="147"/>
      <c r="K83" s="147"/>
      <c r="L83" s="147"/>
      <c r="M83" s="147"/>
      <c r="N83" s="147"/>
      <c r="O83" s="147"/>
      <c r="P83" s="144"/>
      <c r="Q83" s="315">
        <v>0</v>
      </c>
      <c r="R83" s="315">
        <v>15</v>
      </c>
      <c r="S83" s="236"/>
      <c r="T83" s="236"/>
      <c r="U83" s="236"/>
      <c r="AA83" s="68"/>
      <c r="AB83" s="68"/>
    </row>
    <row r="84" spans="1:28" s="145" customFormat="1" ht="11.25" hidden="1" customHeight="1">
      <c r="A84" s="147"/>
      <c r="B84" s="314"/>
      <c r="C84" s="147"/>
      <c r="D84" s="144"/>
      <c r="E84" s="144"/>
      <c r="F84" s="147" t="s">
        <v>1885</v>
      </c>
      <c r="G84" s="147"/>
      <c r="I84" s="144"/>
      <c r="J84" s="147"/>
      <c r="K84" s="147"/>
      <c r="L84" s="147"/>
      <c r="M84" s="147"/>
      <c r="N84" s="147"/>
      <c r="O84" s="147"/>
      <c r="P84" s="144"/>
      <c r="Q84" s="836">
        <v>0</v>
      </c>
      <c r="R84" s="836">
        <v>0.5</v>
      </c>
      <c r="S84" s="236"/>
      <c r="T84" s="236"/>
      <c r="U84" s="236"/>
      <c r="AA84" s="68"/>
      <c r="AB84" s="68"/>
    </row>
    <row r="85" spans="1:28" s="145" customFormat="1" ht="11.25" customHeight="1">
      <c r="A85" s="147"/>
      <c r="B85" s="147" t="s">
        <v>1636</v>
      </c>
      <c r="C85" s="147"/>
      <c r="D85" s="147"/>
      <c r="E85" s="147"/>
      <c r="F85" s="147"/>
      <c r="G85" s="147"/>
      <c r="H85" s="144"/>
      <c r="I85" s="144"/>
      <c r="J85" s="147" t="s">
        <v>1637</v>
      </c>
      <c r="K85" s="147"/>
      <c r="L85" s="147"/>
      <c r="M85" s="147"/>
      <c r="N85" s="147"/>
      <c r="O85" s="147"/>
      <c r="P85" s="144"/>
      <c r="Q85" s="235">
        <v>6</v>
      </c>
      <c r="R85" s="235" t="s">
        <v>1611</v>
      </c>
      <c r="S85" s="236"/>
      <c r="T85" s="236"/>
      <c r="U85" s="236"/>
      <c r="AA85" s="68"/>
      <c r="AB85" s="68"/>
    </row>
    <row r="86" spans="1:28" s="145" customFormat="1" ht="11.25" customHeight="1">
      <c r="A86" s="147"/>
      <c r="B86" s="147"/>
      <c r="C86" s="147"/>
      <c r="D86" s="147"/>
      <c r="E86" s="147"/>
      <c r="F86" s="147"/>
      <c r="G86" s="147"/>
      <c r="H86" s="144"/>
      <c r="I86" s="144"/>
      <c r="J86" s="147" t="s">
        <v>1638</v>
      </c>
      <c r="K86" s="147"/>
      <c r="L86" s="147"/>
      <c r="M86" s="147"/>
      <c r="N86" s="147"/>
      <c r="O86" s="147"/>
      <c r="P86" s="144"/>
      <c r="Q86" s="235">
        <v>6</v>
      </c>
      <c r="R86" s="235" t="s">
        <v>1611</v>
      </c>
      <c r="S86" s="236"/>
      <c r="T86" s="236"/>
      <c r="U86" s="236"/>
      <c r="AA86" s="68"/>
      <c r="AB86" s="68"/>
    </row>
    <row r="87" spans="1:28" s="145" customFormat="1" ht="11.25" customHeight="1">
      <c r="A87" s="147"/>
      <c r="B87" s="316" t="s">
        <v>1887</v>
      </c>
      <c r="C87" s="147"/>
      <c r="D87" s="144"/>
      <c r="E87" s="144"/>
      <c r="F87" s="147"/>
      <c r="G87" s="147"/>
      <c r="I87" s="144"/>
      <c r="J87" s="147" t="s">
        <v>1888</v>
      </c>
      <c r="K87" s="147"/>
      <c r="L87" s="147"/>
      <c r="M87" s="147"/>
      <c r="N87" s="147"/>
      <c r="O87" s="147"/>
      <c r="P87" s="144"/>
      <c r="Q87" s="235">
        <v>3</v>
      </c>
      <c r="R87" s="235" t="s">
        <v>1611</v>
      </c>
      <c r="S87" s="236"/>
      <c r="T87" s="236"/>
      <c r="U87" s="236"/>
      <c r="AA87" s="68"/>
      <c r="AB87" s="68"/>
    </row>
    <row r="88" spans="1:28" s="145" customFormat="1" ht="11.45" customHeight="1">
      <c r="A88" s="147"/>
      <c r="B88" s="147" t="s">
        <v>3088</v>
      </c>
      <c r="C88" s="147"/>
      <c r="D88" s="144"/>
      <c r="E88" s="147"/>
      <c r="F88" s="147"/>
      <c r="G88" s="147"/>
      <c r="H88" s="144"/>
      <c r="I88" s="144"/>
      <c r="J88" s="147" t="s">
        <v>1639</v>
      </c>
      <c r="K88" s="147"/>
      <c r="L88" s="147"/>
      <c r="M88" s="147"/>
      <c r="N88" s="147"/>
      <c r="O88" s="147"/>
      <c r="P88" s="144"/>
      <c r="Q88" s="4019">
        <v>3000</v>
      </c>
      <c r="R88" s="4020"/>
      <c r="S88" s="236"/>
      <c r="T88" s="236"/>
      <c r="U88" s="236"/>
      <c r="AA88" s="68"/>
      <c r="AB88" s="68"/>
    </row>
    <row r="89" spans="1:28" s="145" customFormat="1" ht="11.45" customHeight="1">
      <c r="A89" s="147"/>
      <c r="B89" s="147"/>
      <c r="C89" s="147"/>
      <c r="D89" s="144"/>
      <c r="E89" s="144"/>
      <c r="O89" s="147"/>
      <c r="T89" s="230"/>
      <c r="U89" s="144"/>
      <c r="V89" s="322"/>
      <c r="W89" s="322"/>
      <c r="X89" s="322"/>
      <c r="AA89" s="68"/>
      <c r="AB89" s="68"/>
    </row>
    <row r="90" spans="1:28" s="145" customFormat="1" ht="11.45" customHeight="1">
      <c r="A90" s="225" t="s">
        <v>1606</v>
      </c>
      <c r="B90" s="225"/>
      <c r="C90" s="225"/>
      <c r="D90" s="144"/>
      <c r="E90" s="144"/>
      <c r="F90" s="225" t="s">
        <v>1607</v>
      </c>
      <c r="G90" s="225"/>
      <c r="H90" s="144"/>
      <c r="I90" s="144"/>
      <c r="J90" s="225" t="s">
        <v>1608</v>
      </c>
      <c r="K90" s="225"/>
      <c r="L90" s="225"/>
      <c r="M90" s="225"/>
      <c r="N90" s="225"/>
      <c r="O90" s="225"/>
      <c r="P90" s="144"/>
      <c r="Q90" s="148" t="s">
        <v>2706</v>
      </c>
      <c r="R90" s="148" t="s">
        <v>1609</v>
      </c>
      <c r="S90" s="241"/>
      <c r="T90" s="230"/>
      <c r="U90" s="144"/>
      <c r="V90" s="322"/>
      <c r="W90" s="322"/>
      <c r="X90" s="322"/>
      <c r="AA90" s="68"/>
      <c r="AB90" s="68"/>
    </row>
    <row r="91" spans="1:28" s="145" customFormat="1" ht="3" customHeight="1">
      <c r="A91" s="147"/>
      <c r="B91" s="147"/>
      <c r="C91" s="147"/>
      <c r="D91" s="147"/>
      <c r="E91" s="144"/>
      <c r="F91" s="147"/>
      <c r="G91" s="147"/>
      <c r="H91" s="233"/>
      <c r="I91" s="144"/>
      <c r="J91" s="147"/>
      <c r="K91" s="234"/>
      <c r="L91" s="234"/>
      <c r="M91" s="234"/>
      <c r="N91" s="234"/>
      <c r="O91" s="147"/>
      <c r="P91" s="144"/>
      <c r="Q91" s="232"/>
      <c r="R91" s="232"/>
      <c r="S91" s="144"/>
      <c r="T91" s="144"/>
      <c r="U91" s="144"/>
      <c r="AA91" s="68"/>
      <c r="AB91" s="68"/>
    </row>
    <row r="92" spans="1:28" s="145" customFormat="1" ht="3" customHeight="1">
      <c r="A92" s="144"/>
      <c r="B92" s="147"/>
      <c r="C92" s="147"/>
      <c r="D92" s="147"/>
      <c r="E92" s="147"/>
      <c r="F92" s="147"/>
      <c r="G92" s="147"/>
      <c r="H92" s="147"/>
      <c r="I92" s="144"/>
      <c r="J92" s="147"/>
      <c r="K92" s="147"/>
      <c r="L92" s="147"/>
      <c r="M92" s="147"/>
      <c r="N92" s="147"/>
      <c r="O92" s="147"/>
      <c r="P92" s="144"/>
      <c r="Q92" s="147"/>
      <c r="R92" s="147"/>
      <c r="S92" s="236"/>
      <c r="T92" s="236"/>
      <c r="U92" s="236"/>
      <c r="AA92" s="68"/>
      <c r="AB92" s="68"/>
    </row>
    <row r="93" spans="1:28" s="145" customFormat="1" ht="12" customHeight="1">
      <c r="A93" s="229" t="s">
        <v>1640</v>
      </c>
      <c r="B93" s="147"/>
      <c r="C93" s="147"/>
      <c r="D93" s="147"/>
      <c r="E93" s="147"/>
      <c r="F93" s="147"/>
      <c r="G93" s="147"/>
      <c r="H93" s="147"/>
      <c r="I93" s="144"/>
      <c r="J93" s="147"/>
      <c r="K93" s="147"/>
      <c r="L93" s="147"/>
      <c r="M93" s="147"/>
      <c r="N93" s="147"/>
      <c r="O93" s="147"/>
      <c r="P93" s="144"/>
      <c r="Q93" s="147"/>
      <c r="R93" s="147"/>
      <c r="S93" s="236"/>
      <c r="T93" s="236"/>
      <c r="U93" s="236"/>
      <c r="AA93" s="68"/>
      <c r="AB93" s="68"/>
    </row>
    <row r="94" spans="1:28" ht="11.45" customHeight="1">
      <c r="B94" s="237" t="s">
        <v>2221</v>
      </c>
      <c r="C94" s="118"/>
      <c r="D94" s="118"/>
      <c r="E94" s="118"/>
      <c r="F94" s="118"/>
      <c r="G94" s="118"/>
      <c r="J94" s="238">
        <v>1</v>
      </c>
      <c r="K94" s="238">
        <v>2</v>
      </c>
      <c r="L94" s="238">
        <v>3</v>
      </c>
      <c r="M94" s="238">
        <v>4</v>
      </c>
      <c r="N94" s="238">
        <v>5</v>
      </c>
      <c r="O94" s="238">
        <v>6</v>
      </c>
      <c r="P94" s="238">
        <v>7</v>
      </c>
      <c r="Q94" s="238">
        <v>8</v>
      </c>
    </row>
    <row r="95" spans="1:28" ht="11.1" customHeight="1">
      <c r="B95" s="118"/>
      <c r="C95" s="118"/>
      <c r="D95" s="118"/>
      <c r="E95" s="118"/>
      <c r="F95" s="118"/>
      <c r="G95" s="118"/>
      <c r="J95" s="1519">
        <v>0.7</v>
      </c>
      <c r="K95" s="1519">
        <v>0.8</v>
      </c>
      <c r="L95" s="1519">
        <v>0.9</v>
      </c>
      <c r="M95" s="1520" t="s">
        <v>131</v>
      </c>
      <c r="N95" s="1519">
        <v>1.08</v>
      </c>
      <c r="O95" s="1519">
        <v>1.1599999999999999</v>
      </c>
      <c r="P95" s="1519">
        <v>1.24</v>
      </c>
      <c r="Q95" s="1519">
        <v>1.32</v>
      </c>
    </row>
    <row r="96" spans="1:28" s="236" customFormat="1" ht="11.45" customHeight="1">
      <c r="A96" s="147"/>
      <c r="B96" s="147" t="s">
        <v>1641</v>
      </c>
      <c r="C96" s="147"/>
      <c r="D96" s="147"/>
      <c r="E96" s="147"/>
      <c r="F96" s="147"/>
      <c r="G96" s="147"/>
      <c r="H96" s="147"/>
      <c r="J96" s="147" t="s">
        <v>1642</v>
      </c>
      <c r="K96" s="147"/>
      <c r="L96" s="147"/>
      <c r="M96" s="147"/>
      <c r="N96" s="147"/>
      <c r="O96" s="147"/>
      <c r="Q96" s="4015">
        <v>0.02</v>
      </c>
      <c r="R96" s="4015"/>
      <c r="AA96" s="68"/>
      <c r="AB96" s="68"/>
    </row>
    <row r="97" spans="1:28" s="236" customFormat="1" ht="11.45" customHeight="1">
      <c r="A97" s="147"/>
      <c r="B97" s="147" t="s">
        <v>1643</v>
      </c>
      <c r="C97" s="147"/>
      <c r="D97" s="147"/>
      <c r="E97" s="147"/>
      <c r="F97" s="147"/>
      <c r="G97" s="147"/>
      <c r="H97" s="147"/>
      <c r="J97" s="147" t="s">
        <v>1642</v>
      </c>
      <c r="K97" s="147"/>
      <c r="L97" s="147"/>
      <c r="M97" s="147"/>
      <c r="N97" s="147"/>
      <c r="O97" s="147"/>
      <c r="Q97" s="4014">
        <v>7.0000000000000007E-2</v>
      </c>
      <c r="R97" s="4014"/>
      <c r="AA97" s="68"/>
      <c r="AB97" s="68"/>
    </row>
    <row r="98" spans="1:28" s="236" customFormat="1" ht="11.45" customHeight="1">
      <c r="A98" s="147"/>
      <c r="B98" s="147" t="s">
        <v>1644</v>
      </c>
      <c r="C98" s="147"/>
      <c r="D98" s="147"/>
      <c r="E98" s="147"/>
      <c r="F98" s="147"/>
      <c r="G98" s="147"/>
      <c r="H98" s="147"/>
      <c r="J98" s="147" t="s">
        <v>1642</v>
      </c>
      <c r="K98" s="147"/>
      <c r="L98" s="147"/>
      <c r="M98" s="147"/>
      <c r="N98" s="147"/>
      <c r="O98" s="147"/>
      <c r="Q98" s="4014">
        <v>7.0000000000000007E-2</v>
      </c>
      <c r="R98" s="4014"/>
      <c r="AA98" s="68"/>
      <c r="AB98" s="68"/>
    </row>
    <row r="99" spans="1:28" s="145" customFormat="1" ht="11.45" customHeight="1">
      <c r="A99" s="147"/>
      <c r="B99" s="147" t="s">
        <v>128</v>
      </c>
      <c r="C99" s="147"/>
      <c r="D99" s="144"/>
      <c r="E99" s="144"/>
      <c r="F99" s="144"/>
      <c r="G99" s="147"/>
      <c r="H99" s="144"/>
      <c r="I99" s="144"/>
      <c r="J99" s="147" t="s">
        <v>1642</v>
      </c>
      <c r="K99" s="147"/>
      <c r="L99" s="147"/>
      <c r="M99" s="147"/>
      <c r="N99" s="147"/>
      <c r="O99" s="147"/>
      <c r="P99" s="144"/>
      <c r="Q99" s="4014">
        <v>0.03</v>
      </c>
      <c r="R99" s="4014"/>
      <c r="S99" s="236"/>
      <c r="T99" s="236"/>
      <c r="U99" s="236"/>
      <c r="AA99" s="68"/>
      <c r="AB99" s="68"/>
    </row>
    <row r="100" spans="1:28" s="145" customFormat="1" ht="11.45" customHeight="1">
      <c r="A100" s="147"/>
      <c r="B100" s="147" t="s">
        <v>129</v>
      </c>
      <c r="C100" s="147"/>
      <c r="D100" s="144"/>
      <c r="E100" s="144"/>
      <c r="F100" s="144"/>
      <c r="G100" s="147"/>
      <c r="H100" s="144"/>
      <c r="I100" s="144"/>
      <c r="J100" s="147" t="s">
        <v>1642</v>
      </c>
      <c r="K100" s="147"/>
      <c r="L100" s="147"/>
      <c r="M100" s="147"/>
      <c r="N100" s="147"/>
      <c r="O100" s="147"/>
      <c r="P100" s="144"/>
      <c r="Q100" s="4014">
        <v>0.03</v>
      </c>
      <c r="R100" s="4014"/>
      <c r="S100" s="236"/>
      <c r="T100" s="236"/>
      <c r="U100" s="236"/>
      <c r="AA100" s="68"/>
      <c r="AB100" s="68"/>
    </row>
    <row r="101" spans="1:28" s="145" customFormat="1" ht="11.45" customHeight="1">
      <c r="A101" s="147"/>
      <c r="B101" s="147" t="s">
        <v>130</v>
      </c>
      <c r="C101" s="147"/>
      <c r="D101" s="144"/>
      <c r="E101" s="144"/>
      <c r="F101" s="144"/>
      <c r="G101" s="147"/>
      <c r="H101" s="144"/>
      <c r="I101" s="144"/>
      <c r="J101" s="147" t="s">
        <v>1642</v>
      </c>
      <c r="K101" s="147"/>
      <c r="L101" s="147"/>
      <c r="M101" s="147"/>
      <c r="N101" s="147"/>
      <c r="O101" s="147"/>
      <c r="P101" s="144"/>
      <c r="Q101" s="4007">
        <v>0</v>
      </c>
      <c r="R101" s="4007"/>
      <c r="S101" s="236"/>
      <c r="T101" s="236"/>
      <c r="U101" s="236"/>
      <c r="AA101" s="68"/>
      <c r="AB101" s="68"/>
    </row>
    <row r="102" spans="1:28" s="145" customFormat="1" ht="4.3499999999999996" customHeight="1">
      <c r="A102" s="225"/>
      <c r="B102" s="225"/>
      <c r="C102" s="225"/>
      <c r="D102" s="225"/>
      <c r="E102" s="144"/>
      <c r="F102" s="225"/>
      <c r="G102" s="225"/>
      <c r="H102" s="144"/>
      <c r="I102" s="144"/>
      <c r="J102" s="225"/>
      <c r="K102" s="225"/>
      <c r="L102" s="225"/>
      <c r="M102" s="225"/>
      <c r="N102" s="225"/>
      <c r="O102" s="225"/>
      <c r="P102" s="144"/>
      <c r="Q102" s="226"/>
      <c r="R102" s="227"/>
      <c r="S102" s="144"/>
      <c r="T102" s="144"/>
      <c r="U102" s="144"/>
      <c r="W102" s="228"/>
      <c r="X102" s="228"/>
      <c r="Y102" s="228"/>
      <c r="Z102" s="228"/>
      <c r="AA102" s="68"/>
      <c r="AB102" s="68"/>
    </row>
    <row r="103" spans="1:28" s="145" customFormat="1" ht="11.45" customHeight="1">
      <c r="A103" s="229" t="s">
        <v>2444</v>
      </c>
      <c r="B103" s="147"/>
      <c r="C103" s="147"/>
      <c r="D103" s="144"/>
      <c r="E103" s="144"/>
      <c r="F103" s="147" t="s">
        <v>478</v>
      </c>
      <c r="G103" s="147" t="s">
        <v>2394</v>
      </c>
      <c r="I103" s="144"/>
      <c r="J103" s="147" t="s">
        <v>2446</v>
      </c>
      <c r="K103" s="147"/>
      <c r="L103" s="147"/>
      <c r="M103" s="147"/>
      <c r="N103" s="147"/>
      <c r="O103" s="147"/>
      <c r="P103" s="144"/>
      <c r="Q103" s="4015">
        <v>0.1</v>
      </c>
      <c r="R103" s="4015"/>
      <c r="S103" s="144"/>
      <c r="T103" s="144"/>
      <c r="U103" s="144"/>
      <c r="V103" s="715"/>
      <c r="W103" s="715"/>
      <c r="X103" s="148"/>
      <c r="AA103" s="68"/>
      <c r="AB103" s="68"/>
    </row>
    <row r="104" spans="1:28" s="145" customFormat="1" ht="11.45" customHeight="1">
      <c r="A104" s="229"/>
      <c r="B104" s="147"/>
      <c r="C104" s="147"/>
      <c r="D104" s="144"/>
      <c r="E104" s="144"/>
      <c r="F104" s="147"/>
      <c r="G104" s="147" t="s">
        <v>3311</v>
      </c>
      <c r="I104" s="144"/>
      <c r="J104" s="147" t="s">
        <v>3312</v>
      </c>
      <c r="K104" s="147"/>
      <c r="L104" s="147"/>
      <c r="M104" s="147"/>
      <c r="N104" s="147"/>
      <c r="O104" s="147"/>
      <c r="P104" s="144"/>
      <c r="Q104" s="4016">
        <v>1150000</v>
      </c>
      <c r="R104" s="4016"/>
      <c r="S104" s="144"/>
      <c r="T104" s="144"/>
      <c r="U104" s="144"/>
      <c r="V104" s="715"/>
      <c r="W104" s="715"/>
      <c r="X104" s="148"/>
      <c r="AA104" s="68"/>
      <c r="AB104" s="68"/>
    </row>
    <row r="105" spans="1:28" s="145" customFormat="1" ht="11.45" customHeight="1">
      <c r="A105" s="147"/>
      <c r="B105" s="147"/>
      <c r="C105" s="147"/>
      <c r="D105" s="144"/>
      <c r="E105" s="144"/>
      <c r="F105" s="147"/>
      <c r="G105" s="147" t="s">
        <v>6513</v>
      </c>
      <c r="H105" s="147" t="s">
        <v>6105</v>
      </c>
      <c r="J105" s="147" t="s">
        <v>6523</v>
      </c>
      <c r="K105" s="147"/>
      <c r="L105" s="147"/>
      <c r="M105" s="147"/>
      <c r="O105" s="147" t="s">
        <v>6517</v>
      </c>
      <c r="P105" s="144"/>
      <c r="Q105" s="4016">
        <v>1150000</v>
      </c>
      <c r="R105" s="4016"/>
      <c r="S105" s="230"/>
      <c r="T105" s="230"/>
      <c r="U105" s="144"/>
      <c r="V105" s="322"/>
      <c r="W105" s="322"/>
      <c r="X105" s="322"/>
      <c r="AA105" s="68"/>
      <c r="AB105" s="68"/>
    </row>
    <row r="106" spans="1:28" s="145" customFormat="1" ht="11.45" customHeight="1">
      <c r="A106" s="147"/>
      <c r="B106" s="147"/>
      <c r="C106" s="147"/>
      <c r="D106" s="144"/>
      <c r="E106" s="144"/>
      <c r="F106" s="147"/>
      <c r="G106" s="147"/>
      <c r="H106" s="147" t="s">
        <v>6516</v>
      </c>
      <c r="I106" s="144"/>
      <c r="J106" s="147" t="s">
        <v>6523</v>
      </c>
      <c r="K106" s="147"/>
      <c r="O106" s="147" t="s">
        <v>6518</v>
      </c>
      <c r="Q106" s="4016">
        <v>1035000</v>
      </c>
      <c r="R106" s="4016"/>
      <c r="S106" s="230"/>
      <c r="T106" s="230"/>
      <c r="U106" s="144"/>
      <c r="V106" s="322"/>
      <c r="W106" s="322"/>
      <c r="X106" s="322"/>
      <c r="AA106" s="68"/>
      <c r="AB106" s="68"/>
    </row>
    <row r="107" spans="1:28" s="145" customFormat="1" ht="11.45" customHeight="1">
      <c r="A107" s="147"/>
      <c r="B107" s="147"/>
      <c r="C107" s="147"/>
      <c r="D107" s="144"/>
      <c r="E107" s="144"/>
      <c r="F107" s="147"/>
      <c r="G107" s="147"/>
      <c r="H107" s="147" t="s">
        <v>6514</v>
      </c>
      <c r="I107" s="144"/>
      <c r="J107" s="147" t="s">
        <v>6523</v>
      </c>
      <c r="K107" s="147"/>
      <c r="O107" s="147" t="s">
        <v>6517</v>
      </c>
      <c r="Q107" s="4033">
        <v>1035000</v>
      </c>
      <c r="R107" s="4034"/>
      <c r="S107" s="230"/>
      <c r="T107" s="230"/>
      <c r="U107" s="144"/>
      <c r="V107" s="322"/>
      <c r="W107" s="322"/>
      <c r="X107" s="322"/>
      <c r="AA107" s="68"/>
      <c r="AB107" s="68"/>
    </row>
    <row r="108" spans="1:28" s="145" customFormat="1" ht="11.45" customHeight="1">
      <c r="A108" s="147"/>
      <c r="B108" s="147"/>
      <c r="C108" s="147"/>
      <c r="D108" s="144"/>
      <c r="E108" s="144"/>
      <c r="F108" s="147"/>
      <c r="G108" s="147" t="s">
        <v>3776</v>
      </c>
      <c r="I108" s="144"/>
      <c r="J108" s="147" t="s">
        <v>6523</v>
      </c>
      <c r="K108" s="147"/>
      <c r="L108" s="147"/>
      <c r="M108" s="147"/>
      <c r="O108" s="147" t="s">
        <v>6519</v>
      </c>
      <c r="P108" s="144"/>
      <c r="Q108" s="4028">
        <v>1150000</v>
      </c>
      <c r="R108" s="4028"/>
      <c r="S108" s="230"/>
      <c r="T108" s="230"/>
      <c r="U108" s="144"/>
      <c r="V108" s="322"/>
      <c r="W108" s="322"/>
      <c r="X108" s="322"/>
      <c r="AA108" s="68"/>
      <c r="AB108" s="68"/>
    </row>
    <row r="109" spans="1:28" s="145" customFormat="1" ht="11.45" customHeight="1">
      <c r="A109" s="147"/>
      <c r="B109" s="147"/>
      <c r="C109" s="147"/>
      <c r="D109" s="144"/>
      <c r="E109" s="144"/>
      <c r="G109" s="147" t="s">
        <v>6522</v>
      </c>
      <c r="H109" s="147"/>
      <c r="I109" s="144"/>
      <c r="J109" s="147" t="s">
        <v>6524</v>
      </c>
      <c r="K109" s="147"/>
      <c r="L109" s="147"/>
      <c r="M109" s="147"/>
      <c r="N109" s="147"/>
      <c r="O109" s="147"/>
      <c r="P109" s="144"/>
      <c r="Q109" s="4029"/>
      <c r="R109" s="4030"/>
      <c r="S109" s="230"/>
      <c r="T109" s="230"/>
      <c r="U109" s="144"/>
      <c r="V109" s="322"/>
      <c r="W109" s="322"/>
      <c r="X109" s="322"/>
      <c r="AA109" s="68"/>
      <c r="AB109" s="68"/>
    </row>
    <row r="110" spans="1:28" s="145" customFormat="1" ht="11.45" customHeight="1">
      <c r="A110" s="147"/>
      <c r="B110" s="147"/>
      <c r="C110" s="147"/>
      <c r="D110" s="144"/>
      <c r="E110" s="144"/>
      <c r="F110" s="147" t="s">
        <v>2219</v>
      </c>
      <c r="G110" s="147" t="s">
        <v>2445</v>
      </c>
      <c r="I110" s="144"/>
      <c r="J110" s="147" t="s">
        <v>3318</v>
      </c>
      <c r="K110" s="147"/>
      <c r="L110" s="147"/>
      <c r="M110" s="147"/>
      <c r="N110" s="147"/>
      <c r="O110" s="147"/>
      <c r="P110" s="144"/>
      <c r="Q110" s="4026">
        <v>4000000</v>
      </c>
      <c r="R110" s="4026"/>
      <c r="S110" s="230"/>
      <c r="T110" s="230"/>
      <c r="U110" s="144"/>
      <c r="V110" s="322"/>
      <c r="W110" s="322"/>
      <c r="X110" s="322"/>
      <c r="AA110" s="68"/>
      <c r="AB110" s="68"/>
    </row>
    <row r="111" spans="1:28" s="145" customFormat="1" ht="11.45" customHeight="1">
      <c r="A111" s="147"/>
      <c r="B111" s="147"/>
      <c r="C111" s="147"/>
      <c r="D111" s="144"/>
      <c r="E111" s="144"/>
      <c r="F111" s="147"/>
      <c r="G111" s="147" t="s">
        <v>6521</v>
      </c>
      <c r="H111" s="144"/>
      <c r="I111" s="144"/>
      <c r="J111" s="147" t="s">
        <v>6523</v>
      </c>
      <c r="K111" s="147"/>
      <c r="O111" s="147" t="s">
        <v>6517</v>
      </c>
      <c r="Q111" s="4031">
        <v>1035000</v>
      </c>
      <c r="R111" s="4032"/>
      <c r="S111" s="230"/>
      <c r="T111" s="230"/>
      <c r="U111" s="144"/>
      <c r="V111" s="322"/>
      <c r="W111" s="322"/>
      <c r="X111" s="322"/>
      <c r="AA111" s="68"/>
      <c r="AB111" s="68"/>
    </row>
    <row r="112" spans="1:28" ht="12.75" customHeight="1">
      <c r="A112" s="229" t="s">
        <v>2513</v>
      </c>
      <c r="J112" s="147" t="s">
        <v>2446</v>
      </c>
      <c r="Q112" s="4008" t="s">
        <v>6108</v>
      </c>
      <c r="R112" s="4008"/>
    </row>
    <row r="113" spans="1:28" ht="11.25" customHeight="1">
      <c r="F113" s="147" t="s">
        <v>2393</v>
      </c>
      <c r="G113" s="147"/>
      <c r="H113" s="147" t="s">
        <v>6107</v>
      </c>
      <c r="I113" s="144"/>
      <c r="J113" s="4015">
        <v>0.35</v>
      </c>
      <c r="K113" s="4015"/>
      <c r="L113" s="147"/>
      <c r="M113" s="147"/>
      <c r="N113" s="147"/>
      <c r="O113" s="147"/>
      <c r="P113" s="144"/>
      <c r="Q113" s="4026">
        <v>1035000</v>
      </c>
      <c r="R113" s="4026"/>
    </row>
    <row r="114" spans="1:28" ht="11.25" customHeight="1">
      <c r="A114" s="229"/>
      <c r="F114" s="147" t="s">
        <v>6106</v>
      </c>
      <c r="G114" s="147"/>
      <c r="H114" s="147" t="s">
        <v>6107</v>
      </c>
      <c r="I114" s="144"/>
      <c r="J114" s="4014">
        <v>0.35</v>
      </c>
      <c r="K114" s="4014"/>
      <c r="L114" s="147"/>
      <c r="M114" s="147"/>
      <c r="N114" s="147"/>
      <c r="O114" s="147"/>
      <c r="P114" s="144"/>
      <c r="Q114" s="4016">
        <v>1150000</v>
      </c>
      <c r="R114" s="4016"/>
    </row>
    <row r="115" spans="1:28" s="145" customFormat="1" ht="11.25" customHeight="1">
      <c r="A115" s="229"/>
      <c r="B115" s="147"/>
      <c r="C115" s="147"/>
      <c r="D115" s="144"/>
      <c r="E115" s="144"/>
      <c r="F115" s="147" t="s">
        <v>3024</v>
      </c>
      <c r="G115" s="147"/>
      <c r="H115" s="147" t="s">
        <v>6107</v>
      </c>
      <c r="I115" s="144"/>
      <c r="J115" s="4007">
        <v>0.3</v>
      </c>
      <c r="K115" s="4007"/>
      <c r="L115" s="147"/>
      <c r="M115" s="147"/>
      <c r="N115" s="147"/>
      <c r="O115" s="147"/>
      <c r="P115" s="144"/>
      <c r="Q115" s="4027">
        <v>1150000</v>
      </c>
      <c r="R115" s="4027"/>
      <c r="S115" s="144"/>
      <c r="T115" s="144"/>
      <c r="U115" s="144"/>
      <c r="V115" s="715"/>
      <c r="W115" s="715"/>
      <c r="X115" s="148"/>
      <c r="AA115" s="68"/>
      <c r="AB115" s="68"/>
    </row>
    <row r="116" spans="1:28" s="145" customFormat="1" ht="12.75" customHeight="1">
      <c r="A116" s="229"/>
      <c r="B116" s="147"/>
      <c r="C116" s="147"/>
      <c r="D116" s="144"/>
      <c r="E116" s="144"/>
      <c r="F116" s="147"/>
      <c r="G116" s="147"/>
      <c r="H116" s="144"/>
      <c r="I116" s="144"/>
      <c r="J116" s="147"/>
      <c r="K116" s="147"/>
      <c r="L116" s="147"/>
      <c r="M116" s="147"/>
      <c r="N116" s="147"/>
      <c r="O116" s="147"/>
      <c r="P116" s="144"/>
      <c r="Q116" s="314"/>
      <c r="R116" s="314"/>
      <c r="S116" s="144"/>
      <c r="T116" s="144"/>
      <c r="U116" s="144"/>
      <c r="V116" s="715"/>
      <c r="W116" s="715"/>
      <c r="X116" s="148"/>
      <c r="AA116" s="68"/>
      <c r="AB116" s="68"/>
    </row>
    <row r="117" spans="1:28" s="145" customFormat="1" ht="12.75" customHeight="1">
      <c r="A117" s="229" t="s">
        <v>3199</v>
      </c>
      <c r="B117" s="147"/>
      <c r="C117" s="147"/>
      <c r="D117" s="144"/>
      <c r="E117" s="144"/>
      <c r="F117" s="147" t="s">
        <v>3202</v>
      </c>
      <c r="G117" s="147"/>
      <c r="H117" s="144"/>
      <c r="I117" s="144"/>
      <c r="J117" s="147" t="s">
        <v>3203</v>
      </c>
      <c r="K117" s="147"/>
      <c r="L117" s="147"/>
      <c r="M117" s="147"/>
      <c r="N117" s="147"/>
      <c r="O117" s="147"/>
      <c r="P117" s="144"/>
      <c r="Q117" s="4015">
        <v>0.05</v>
      </c>
      <c r="R117" s="4015"/>
      <c r="S117" s="144"/>
      <c r="T117" s="144"/>
      <c r="U117" s="144"/>
      <c r="V117" s="715"/>
      <c r="W117" s="715"/>
      <c r="X117" s="148"/>
      <c r="AA117" s="68"/>
      <c r="AB117" s="68"/>
    </row>
    <row r="118" spans="1:28" s="145" customFormat="1" ht="12.75" customHeight="1">
      <c r="A118" s="229"/>
      <c r="B118" s="147"/>
      <c r="C118" s="147"/>
      <c r="D118" s="144"/>
      <c r="E118" s="144"/>
      <c r="F118" s="147"/>
      <c r="G118" s="147" t="s">
        <v>3200</v>
      </c>
      <c r="H118" s="144"/>
      <c r="I118" s="144"/>
      <c r="J118" s="147" t="s">
        <v>3204</v>
      </c>
      <c r="K118" s="147"/>
      <c r="L118" s="147"/>
      <c r="M118" s="147"/>
      <c r="N118" s="147"/>
      <c r="O118" s="147"/>
      <c r="P118" s="144"/>
      <c r="Q118" s="4014">
        <v>0.4</v>
      </c>
      <c r="R118" s="4014"/>
      <c r="S118" s="144"/>
      <c r="T118" s="144"/>
      <c r="U118" s="144"/>
      <c r="V118" s="715"/>
      <c r="W118" s="715"/>
      <c r="X118" s="148"/>
      <c r="AA118" s="68"/>
      <c r="AB118" s="68"/>
    </row>
    <row r="119" spans="1:28" s="145" customFormat="1" ht="12.75" customHeight="1">
      <c r="A119" s="229"/>
      <c r="B119" s="147"/>
      <c r="C119" s="147"/>
      <c r="D119" s="144"/>
      <c r="E119" s="144"/>
      <c r="F119" s="147" t="s">
        <v>3201</v>
      </c>
      <c r="G119" s="147"/>
      <c r="H119" s="144"/>
      <c r="I119" s="144"/>
      <c r="J119" s="147" t="s">
        <v>3203</v>
      </c>
      <c r="K119" s="147"/>
      <c r="L119" s="147"/>
      <c r="M119" s="147"/>
      <c r="N119" s="147"/>
      <c r="O119" s="147"/>
      <c r="P119" s="144"/>
      <c r="Q119" s="4007">
        <v>0.02</v>
      </c>
      <c r="R119" s="4007"/>
      <c r="S119" s="144"/>
      <c r="T119" s="144"/>
      <c r="U119" s="144"/>
      <c r="V119" s="715"/>
      <c r="W119" s="715"/>
      <c r="X119" s="148"/>
      <c r="AA119" s="68"/>
      <c r="AB119" s="68"/>
    </row>
    <row r="120" spans="1:28" s="145" customFormat="1" ht="12.75" customHeight="1">
      <c r="A120" s="229"/>
      <c r="B120" s="147"/>
      <c r="C120" s="147"/>
      <c r="D120" s="144"/>
      <c r="E120" s="144"/>
      <c r="F120" s="147"/>
      <c r="G120" s="147"/>
      <c r="H120" s="144"/>
      <c r="I120" s="144"/>
      <c r="J120" s="147"/>
      <c r="K120" s="147"/>
      <c r="L120" s="147"/>
      <c r="M120" s="147"/>
      <c r="N120" s="147"/>
      <c r="O120" s="147"/>
      <c r="P120" s="144"/>
      <c r="Q120" s="314"/>
      <c r="R120" s="314"/>
      <c r="S120" s="144"/>
      <c r="T120" s="144"/>
      <c r="U120" s="144"/>
      <c r="V120" s="715"/>
      <c r="W120" s="715"/>
      <c r="X120" s="148"/>
      <c r="AA120" s="68"/>
      <c r="AB120" s="68"/>
    </row>
    <row r="121" spans="1:28" ht="13.35" customHeight="1">
      <c r="C121" s="147"/>
      <c r="D121" s="144"/>
      <c r="E121" s="239"/>
      <c r="F121" s="239"/>
      <c r="G121" s="239"/>
      <c r="H121" s="239"/>
      <c r="I121" s="239"/>
    </row>
    <row r="122" spans="1:28" ht="13.5">
      <c r="C122" s="147"/>
      <c r="D122" s="144"/>
      <c r="J122" s="142" t="s">
        <v>748</v>
      </c>
      <c r="K122" s="142"/>
      <c r="L122" s="223"/>
    </row>
    <row r="123" spans="1:28" ht="13.5">
      <c r="C123" s="147"/>
      <c r="D123" s="144"/>
      <c r="J123" s="312" t="s">
        <v>751</v>
      </c>
      <c r="K123" s="312" t="s">
        <v>749</v>
      </c>
      <c r="L123" s="313" t="s">
        <v>750</v>
      </c>
    </row>
    <row r="124" spans="1:28" ht="10.5" customHeight="1">
      <c r="C124" s="147"/>
      <c r="D124" s="144"/>
      <c r="E124" s="236"/>
      <c r="F124" s="236"/>
      <c r="J124" s="322">
        <v>0</v>
      </c>
      <c r="K124" s="322">
        <v>0.7</v>
      </c>
      <c r="L124" s="322">
        <v>1</v>
      </c>
    </row>
    <row r="125" spans="1:28" ht="10.5" customHeight="1">
      <c r="C125" s="239"/>
      <c r="D125" s="239"/>
      <c r="E125" s="236"/>
      <c r="F125" s="236"/>
      <c r="J125" s="322">
        <v>1</v>
      </c>
      <c r="K125" s="322">
        <v>0.75</v>
      </c>
      <c r="L125" s="322">
        <v>1.5</v>
      </c>
    </row>
    <row r="126" spans="1:28" ht="10.5" customHeight="1">
      <c r="C126" s="239"/>
      <c r="D126" s="239"/>
      <c r="E126" s="236"/>
      <c r="F126" s="236"/>
      <c r="J126" s="322">
        <v>2</v>
      </c>
      <c r="K126" s="322">
        <v>0.9</v>
      </c>
      <c r="L126" s="322">
        <v>3</v>
      </c>
    </row>
    <row r="127" spans="1:28" ht="10.5" customHeight="1">
      <c r="C127" s="239"/>
      <c r="D127" s="239"/>
      <c r="E127" s="236"/>
      <c r="F127" s="236"/>
      <c r="J127" s="322">
        <v>3</v>
      </c>
      <c r="K127" s="322">
        <v>1.04</v>
      </c>
      <c r="L127" s="322">
        <v>4.5</v>
      </c>
    </row>
    <row r="128" spans="1:28" ht="10.5" customHeight="1">
      <c r="C128" s="239"/>
      <c r="D128" s="239"/>
      <c r="E128" s="236"/>
      <c r="F128" s="236"/>
      <c r="J128" s="322">
        <v>4</v>
      </c>
      <c r="K128" s="322">
        <v>1.1599999999999999</v>
      </c>
      <c r="L128" s="322">
        <v>6</v>
      </c>
    </row>
    <row r="129" spans="2:37" ht="10.5" customHeight="1">
      <c r="E129" s="236"/>
      <c r="F129" s="236"/>
      <c r="J129" s="322">
        <v>5</v>
      </c>
      <c r="K129" s="322">
        <v>1.28</v>
      </c>
      <c r="L129" s="322">
        <v>7.5</v>
      </c>
    </row>
    <row r="130" spans="2:37" ht="10.5" customHeight="1">
      <c r="E130" s="236"/>
      <c r="F130" s="236"/>
      <c r="J130" s="322"/>
      <c r="K130" s="322"/>
      <c r="L130" s="322"/>
    </row>
    <row r="131" spans="2:37" ht="10.5" customHeight="1">
      <c r="E131" s="236"/>
      <c r="F131" s="236"/>
      <c r="J131" s="322"/>
      <c r="K131" s="322"/>
      <c r="L131" s="322"/>
    </row>
    <row r="132" spans="2:37" ht="10.5" customHeight="1">
      <c r="C132" s="2583" t="s">
        <v>3406</v>
      </c>
      <c r="E132" s="236"/>
      <c r="F132" s="236"/>
    </row>
    <row r="133" spans="2:37" ht="10.5" customHeight="1">
      <c r="C133" s="2583"/>
      <c r="E133" s="236"/>
      <c r="F133" s="236"/>
    </row>
    <row r="134" spans="2:37" ht="10.5" customHeight="1">
      <c r="C134" s="2583"/>
      <c r="D134" s="945"/>
      <c r="E134" s="475"/>
      <c r="F134" s="236"/>
    </row>
    <row r="135" spans="2:37" ht="39.75" customHeight="1">
      <c r="C135" s="381" t="s">
        <v>1204</v>
      </c>
      <c r="D135" s="311"/>
      <c r="E135" s="236"/>
      <c r="F135" s="433" t="s">
        <v>1672</v>
      </c>
      <c r="G135" s="433" t="s">
        <v>1134</v>
      </c>
      <c r="H135" s="433" t="s">
        <v>1135</v>
      </c>
      <c r="I135" s="433" t="s">
        <v>1136</v>
      </c>
      <c r="J135" s="433" t="s">
        <v>1083</v>
      </c>
      <c r="K135" s="433" t="s">
        <v>400</v>
      </c>
      <c r="L135" s="434" t="s">
        <v>1090</v>
      </c>
      <c r="M135" s="1974" t="s">
        <v>2493</v>
      </c>
      <c r="N135" s="434" t="s">
        <v>3307</v>
      </c>
      <c r="O135" s="434" t="s">
        <v>3496</v>
      </c>
      <c r="P135" s="433" t="s">
        <v>2214</v>
      </c>
      <c r="Q135" s="433"/>
      <c r="R135" s="147"/>
      <c r="S135" s="236"/>
      <c r="T135" s="1173" t="s">
        <v>575</v>
      </c>
      <c r="U135" s="435" t="s">
        <v>576</v>
      </c>
      <c r="W135" s="455" t="s">
        <v>3020</v>
      </c>
      <c r="Z135" s="44"/>
      <c r="AA135" s="44"/>
      <c r="AB135" s="115"/>
      <c r="AC135" s="68"/>
      <c r="AD135" s="68"/>
      <c r="AE135" s="115"/>
      <c r="AF135" s="115"/>
      <c r="AG135" s="115"/>
      <c r="AH135" s="115"/>
      <c r="AI135" s="115"/>
      <c r="AJ135" s="115"/>
      <c r="AK135" s="115"/>
    </row>
    <row r="136" spans="2:37" ht="10.5" customHeight="1">
      <c r="B136" s="236"/>
      <c r="C136" s="309" t="s">
        <v>1658</v>
      </c>
      <c r="D136" s="353"/>
      <c r="E136" s="236"/>
      <c r="F136" s="236" t="s">
        <v>782</v>
      </c>
      <c r="G136" s="786" t="s">
        <v>1137</v>
      </c>
      <c r="H136" s="786" t="s">
        <v>1138</v>
      </c>
      <c r="I136" s="787" t="s">
        <v>1139</v>
      </c>
      <c r="J136" s="787" t="s">
        <v>2401</v>
      </c>
      <c r="K136" s="788" t="s">
        <v>1091</v>
      </c>
      <c r="L136" s="789" t="s">
        <v>398</v>
      </c>
      <c r="M136" s="1975" t="s">
        <v>2393</v>
      </c>
      <c r="N136" s="789" t="s">
        <v>1249</v>
      </c>
      <c r="O136" s="1000" t="s">
        <v>3497</v>
      </c>
      <c r="P136" s="241" t="s">
        <v>1426</v>
      </c>
      <c r="Q136" s="241"/>
      <c r="R136" s="147"/>
      <c r="S136" s="236"/>
      <c r="T136" s="392" t="s">
        <v>2492</v>
      </c>
      <c r="U136" s="392" t="s">
        <v>1504</v>
      </c>
      <c r="W136" s="44" t="s">
        <v>2215</v>
      </c>
      <c r="X136" s="44" t="s">
        <v>3021</v>
      </c>
      <c r="Z136" s="44"/>
      <c r="AA136" s="115"/>
      <c r="AB136" s="115"/>
      <c r="AC136" s="380"/>
      <c r="AD136" s="68"/>
      <c r="AE136" s="115"/>
      <c r="AF136" s="115"/>
      <c r="AG136" s="115"/>
      <c r="AH136" s="115"/>
      <c r="AI136" s="115"/>
      <c r="AJ136" s="115"/>
      <c r="AK136" s="115"/>
    </row>
    <row r="137" spans="2:37" ht="10.5" customHeight="1">
      <c r="B137" s="236"/>
      <c r="C137" s="309" t="s">
        <v>1139</v>
      </c>
      <c r="D137" s="353"/>
      <c r="E137" s="236"/>
      <c r="F137" s="236" t="s">
        <v>781</v>
      </c>
      <c r="G137" s="786" t="s">
        <v>1653</v>
      </c>
      <c r="H137" s="786" t="s">
        <v>1138</v>
      </c>
      <c r="I137" s="787" t="s">
        <v>1654</v>
      </c>
      <c r="J137" s="787" t="s">
        <v>2401</v>
      </c>
      <c r="K137" s="788" t="s">
        <v>1092</v>
      </c>
      <c r="L137" s="789" t="s">
        <v>398</v>
      </c>
      <c r="M137" s="1975" t="s">
        <v>2393</v>
      </c>
      <c r="N137" s="789" t="s">
        <v>1578</v>
      </c>
      <c r="O137" s="1000" t="s">
        <v>3498</v>
      </c>
      <c r="P137" s="241" t="s">
        <v>1428</v>
      </c>
      <c r="Q137" s="241"/>
      <c r="R137" s="147"/>
      <c r="S137" s="236"/>
      <c r="T137" s="392" t="s">
        <v>2215</v>
      </c>
      <c r="U137" s="392" t="s">
        <v>1812</v>
      </c>
      <c r="W137" s="44" t="s">
        <v>1427</v>
      </c>
      <c r="X137" s="44" t="s">
        <v>3021</v>
      </c>
      <c r="Z137" s="44"/>
      <c r="AA137" s="115"/>
      <c r="AB137" s="115"/>
      <c r="AC137" s="380"/>
      <c r="AD137" s="68"/>
      <c r="AE137" s="115"/>
      <c r="AF137" s="115"/>
      <c r="AG137" s="115"/>
      <c r="AH137" s="115"/>
      <c r="AI137" s="115"/>
      <c r="AJ137" s="115"/>
      <c r="AK137" s="115"/>
    </row>
    <row r="138" spans="2:37" ht="10.5" customHeight="1">
      <c r="B138" s="236"/>
      <c r="C138" s="309" t="s">
        <v>972</v>
      </c>
      <c r="D138" s="353"/>
      <c r="E138" s="236"/>
      <c r="F138" s="236" t="s">
        <v>784</v>
      </c>
      <c r="G138" s="786" t="s">
        <v>1655</v>
      </c>
      <c r="H138" s="786" t="s">
        <v>1138</v>
      </c>
      <c r="I138" s="787" t="s">
        <v>1656</v>
      </c>
      <c r="J138" s="787" t="s">
        <v>2401</v>
      </c>
      <c r="K138" s="788" t="s">
        <v>1093</v>
      </c>
      <c r="L138" s="789" t="s">
        <v>398</v>
      </c>
      <c r="M138" s="1975" t="s">
        <v>2393</v>
      </c>
      <c r="N138" s="789" t="s">
        <v>1578</v>
      </c>
      <c r="O138" s="1000" t="s">
        <v>3499</v>
      </c>
      <c r="P138" s="241" t="s">
        <v>435</v>
      </c>
      <c r="Q138" s="241"/>
      <c r="R138" s="147"/>
      <c r="S138" s="236"/>
      <c r="T138" s="392" t="s">
        <v>1427</v>
      </c>
      <c r="U138" s="392" t="s">
        <v>2291</v>
      </c>
      <c r="W138" s="44" t="s">
        <v>886</v>
      </c>
      <c r="X138" s="44" t="s">
        <v>3021</v>
      </c>
      <c r="Z138" s="44"/>
      <c r="AA138" s="115"/>
      <c r="AB138" s="115"/>
      <c r="AC138" s="380"/>
      <c r="AD138" s="68"/>
      <c r="AE138" s="115"/>
      <c r="AF138" s="115"/>
      <c r="AG138" s="115"/>
      <c r="AH138" s="115"/>
      <c r="AI138" s="115"/>
      <c r="AJ138" s="115"/>
      <c r="AK138" s="115"/>
    </row>
    <row r="139" spans="2:37" ht="10.5" customHeight="1">
      <c r="B139" s="236"/>
      <c r="C139" s="309" t="s">
        <v>1654</v>
      </c>
      <c r="D139" s="353"/>
      <c r="E139" s="236"/>
      <c r="F139" s="236" t="s">
        <v>783</v>
      </c>
      <c r="G139" s="786" t="s">
        <v>1657</v>
      </c>
      <c r="H139" s="786" t="s">
        <v>1138</v>
      </c>
      <c r="I139" s="790" t="s">
        <v>6729</v>
      </c>
      <c r="J139" s="790" t="s">
        <v>2401</v>
      </c>
      <c r="K139" s="788" t="s">
        <v>6730</v>
      </c>
      <c r="L139" s="789" t="s">
        <v>399</v>
      </c>
      <c r="M139" s="1975" t="s">
        <v>1123</v>
      </c>
      <c r="N139" s="789" t="s">
        <v>1658</v>
      </c>
      <c r="O139" s="1000" t="s">
        <v>3500</v>
      </c>
      <c r="P139" s="241" t="s">
        <v>1930</v>
      </c>
      <c r="Q139" s="241"/>
      <c r="R139" s="147"/>
      <c r="S139" s="236"/>
      <c r="T139" s="392" t="s">
        <v>886</v>
      </c>
      <c r="U139" s="392" t="s">
        <v>1237</v>
      </c>
      <c r="W139" s="44" t="s">
        <v>1931</v>
      </c>
      <c r="X139" s="44" t="s">
        <v>3021</v>
      </c>
      <c r="Z139" s="44"/>
      <c r="AA139" s="115"/>
      <c r="AB139" s="115"/>
      <c r="AC139" s="380"/>
      <c r="AD139" s="68"/>
      <c r="AE139" s="115"/>
      <c r="AF139" s="115"/>
      <c r="AG139" s="115"/>
      <c r="AH139" s="115"/>
      <c r="AI139" s="115"/>
      <c r="AJ139" s="115"/>
      <c r="AK139" s="115"/>
    </row>
    <row r="140" spans="2:37" ht="10.5" customHeight="1">
      <c r="B140" s="236"/>
      <c r="C140" s="309" t="s">
        <v>712</v>
      </c>
      <c r="D140" s="353"/>
      <c r="E140" s="236"/>
      <c r="F140" s="236" t="s">
        <v>785</v>
      </c>
      <c r="G140" s="786" t="s">
        <v>1659</v>
      </c>
      <c r="H140" s="786" t="s">
        <v>1138</v>
      </c>
      <c r="I140" s="790" t="s">
        <v>149</v>
      </c>
      <c r="J140" s="790" t="s">
        <v>2401</v>
      </c>
      <c r="K140" s="788" t="s">
        <v>1095</v>
      </c>
      <c r="L140" s="789" t="s">
        <v>398</v>
      </c>
      <c r="M140" s="1975" t="s">
        <v>2393</v>
      </c>
      <c r="N140" s="789" t="s">
        <v>1243</v>
      </c>
      <c r="O140" s="1000" t="s">
        <v>3501</v>
      </c>
      <c r="P140" s="241" t="s">
        <v>1932</v>
      </c>
      <c r="Q140" s="241"/>
      <c r="R140" s="147"/>
      <c r="S140" s="236"/>
      <c r="T140" s="392" t="s">
        <v>436</v>
      </c>
      <c r="U140" s="392" t="s">
        <v>2328</v>
      </c>
      <c r="W140" s="44" t="s">
        <v>1935</v>
      </c>
      <c r="X140" s="44" t="s">
        <v>3021</v>
      </c>
      <c r="Z140" s="44"/>
      <c r="AA140" s="115"/>
      <c r="AB140" s="115"/>
      <c r="AC140" s="380"/>
      <c r="AD140" s="68"/>
      <c r="AE140" s="115"/>
      <c r="AF140" s="115"/>
      <c r="AG140" s="115"/>
      <c r="AH140" s="115"/>
      <c r="AI140" s="115"/>
      <c r="AJ140" s="115"/>
      <c r="AK140" s="115"/>
    </row>
    <row r="141" spans="2:37" ht="10.5" customHeight="1">
      <c r="B141" s="236"/>
      <c r="C141" s="309" t="s">
        <v>713</v>
      </c>
      <c r="D141" s="353"/>
      <c r="E141" s="236"/>
      <c r="F141" s="236" t="s">
        <v>786</v>
      </c>
      <c r="G141" s="786" t="s">
        <v>1233</v>
      </c>
      <c r="H141" s="786" t="s">
        <v>1234</v>
      </c>
      <c r="I141" s="787" t="s">
        <v>1235</v>
      </c>
      <c r="J141" s="787" t="s">
        <v>2401</v>
      </c>
      <c r="K141" s="788" t="s">
        <v>1691</v>
      </c>
      <c r="L141" s="789" t="s">
        <v>398</v>
      </c>
      <c r="M141" s="1975" t="s">
        <v>2393</v>
      </c>
      <c r="N141" s="789" t="s">
        <v>159</v>
      </c>
      <c r="O141" s="1000" t="s">
        <v>3502</v>
      </c>
      <c r="P141" s="241" t="s">
        <v>1934</v>
      </c>
      <c r="Q141" s="241"/>
      <c r="R141" s="147"/>
      <c r="S141" s="236"/>
      <c r="T141" s="392" t="s">
        <v>1931</v>
      </c>
      <c r="U141" s="392" t="s">
        <v>319</v>
      </c>
      <c r="W141" s="44" t="s">
        <v>1658</v>
      </c>
      <c r="X141" s="44" t="s">
        <v>3021</v>
      </c>
      <c r="Z141" s="44"/>
      <c r="AA141" s="115"/>
      <c r="AB141" s="115"/>
      <c r="AC141" s="380"/>
      <c r="AD141" s="68"/>
      <c r="AE141" s="115"/>
      <c r="AF141" s="115"/>
      <c r="AG141" s="115"/>
      <c r="AH141" s="115"/>
      <c r="AI141" s="115"/>
      <c r="AJ141" s="115"/>
      <c r="AK141" s="115"/>
    </row>
    <row r="142" spans="2:37" ht="10.5" customHeight="1">
      <c r="B142" s="236"/>
      <c r="C142" s="309" t="s">
        <v>1656</v>
      </c>
      <c r="D142" s="353"/>
      <c r="E142" s="236"/>
      <c r="F142" s="236" t="s">
        <v>787</v>
      </c>
      <c r="G142" s="786" t="s">
        <v>1236</v>
      </c>
      <c r="H142" s="786" t="s">
        <v>1234</v>
      </c>
      <c r="I142" s="790" t="s">
        <v>712</v>
      </c>
      <c r="J142" s="790" t="s">
        <v>2402</v>
      </c>
      <c r="K142" s="788" t="s">
        <v>6731</v>
      </c>
      <c r="L142" s="789" t="s">
        <v>399</v>
      </c>
      <c r="M142" s="1975" t="s">
        <v>1123</v>
      </c>
      <c r="N142" s="789" t="s">
        <v>1132</v>
      </c>
      <c r="O142" s="1000" t="s">
        <v>3503</v>
      </c>
      <c r="P142" s="241" t="s">
        <v>1936</v>
      </c>
      <c r="Q142" s="241"/>
      <c r="R142" s="147"/>
      <c r="S142" s="236"/>
      <c r="T142" s="392" t="s">
        <v>1933</v>
      </c>
      <c r="U142" s="392" t="s">
        <v>177</v>
      </c>
      <c r="W142" s="44" t="s">
        <v>418</v>
      </c>
      <c r="X142" s="44" t="s">
        <v>3021</v>
      </c>
      <c r="Z142" s="44"/>
      <c r="AA142" s="115"/>
      <c r="AB142" s="115"/>
      <c r="AC142" s="380"/>
      <c r="AD142" s="68"/>
      <c r="AE142" s="115"/>
      <c r="AF142" s="115"/>
      <c r="AG142" s="115"/>
      <c r="AH142" s="115"/>
      <c r="AI142" s="115"/>
      <c r="AJ142" s="115"/>
      <c r="AK142" s="115"/>
    </row>
    <row r="143" spans="2:37" ht="10.5" customHeight="1">
      <c r="B143" s="236"/>
      <c r="C143" s="309" t="s">
        <v>149</v>
      </c>
      <c r="D143" s="353"/>
      <c r="E143" s="236"/>
      <c r="F143" s="236" t="s">
        <v>789</v>
      </c>
      <c r="G143" s="786" t="s">
        <v>1237</v>
      </c>
      <c r="H143" s="786" t="s">
        <v>1234</v>
      </c>
      <c r="I143" s="790" t="s">
        <v>712</v>
      </c>
      <c r="J143" s="790" t="s">
        <v>2402</v>
      </c>
      <c r="K143" s="788" t="s">
        <v>6731</v>
      </c>
      <c r="L143" s="789" t="s">
        <v>399</v>
      </c>
      <c r="M143" s="1975" t="s">
        <v>1123</v>
      </c>
      <c r="N143" s="789" t="s">
        <v>1132</v>
      </c>
      <c r="O143" s="1000" t="s">
        <v>3504</v>
      </c>
      <c r="P143" s="241" t="s">
        <v>1938</v>
      </c>
      <c r="Q143" s="241"/>
      <c r="R143" s="147"/>
      <c r="S143" s="236"/>
      <c r="T143" s="392" t="s">
        <v>1935</v>
      </c>
      <c r="U143" s="392" t="s">
        <v>106</v>
      </c>
      <c r="W143" s="44" t="s">
        <v>420</v>
      </c>
      <c r="X143" s="44" t="s">
        <v>3021</v>
      </c>
      <c r="Z143" s="44"/>
      <c r="AA143" s="115"/>
      <c r="AB143" s="115"/>
      <c r="AC143" s="380"/>
      <c r="AD143" s="68"/>
      <c r="AE143" s="115"/>
      <c r="AF143" s="115"/>
      <c r="AG143" s="115"/>
      <c r="AH143" s="115"/>
      <c r="AI143" s="115"/>
      <c r="AJ143" s="115"/>
      <c r="AK143" s="115"/>
    </row>
    <row r="144" spans="2:37" ht="10.5" customHeight="1">
      <c r="B144" s="236"/>
      <c r="C144" s="309" t="s">
        <v>1235</v>
      </c>
      <c r="D144" s="353"/>
      <c r="E144" s="236"/>
      <c r="F144" s="236" t="s">
        <v>788</v>
      </c>
      <c r="G144" s="786" t="s">
        <v>1238</v>
      </c>
      <c r="H144" s="786" t="s">
        <v>1138</v>
      </c>
      <c r="I144" s="787" t="s">
        <v>1239</v>
      </c>
      <c r="J144" s="787" t="s">
        <v>2401</v>
      </c>
      <c r="K144" s="788" t="s">
        <v>2374</v>
      </c>
      <c r="L144" s="789" t="s">
        <v>398</v>
      </c>
      <c r="M144" s="1975" t="s">
        <v>2393</v>
      </c>
      <c r="N144" s="789" t="s">
        <v>1658</v>
      </c>
      <c r="O144" s="1000" t="s">
        <v>3505</v>
      </c>
      <c r="P144" s="241" t="s">
        <v>1822</v>
      </c>
      <c r="Q144" s="392"/>
      <c r="R144" s="147"/>
      <c r="S144" s="236"/>
      <c r="T144" s="392" t="s">
        <v>1937</v>
      </c>
      <c r="U144" s="392" t="s">
        <v>1240</v>
      </c>
      <c r="W144" s="44" t="s">
        <v>1712</v>
      </c>
      <c r="X144" s="44" t="s">
        <v>3021</v>
      </c>
      <c r="Z144" s="44"/>
      <c r="AA144" s="115"/>
      <c r="AB144" s="115"/>
      <c r="AC144" s="380"/>
      <c r="AD144" s="68"/>
      <c r="AE144" s="115"/>
      <c r="AF144" s="115"/>
      <c r="AG144" s="115"/>
      <c r="AH144" s="115"/>
      <c r="AI144" s="115"/>
      <c r="AJ144" s="115"/>
      <c r="AK144" s="115"/>
    </row>
    <row r="145" spans="2:37" ht="10.5" customHeight="1">
      <c r="B145" s="236"/>
      <c r="C145" s="310" t="s">
        <v>975</v>
      </c>
      <c r="D145" s="353"/>
      <c r="E145" s="236"/>
      <c r="F145" s="236" t="s">
        <v>790</v>
      </c>
      <c r="G145" s="786" t="s">
        <v>1240</v>
      </c>
      <c r="H145" s="786" t="s">
        <v>1138</v>
      </c>
      <c r="I145" s="787" t="s">
        <v>1241</v>
      </c>
      <c r="J145" s="787" t="s">
        <v>2401</v>
      </c>
      <c r="K145" s="788" t="s">
        <v>2375</v>
      </c>
      <c r="L145" s="789" t="s">
        <v>398</v>
      </c>
      <c r="M145" s="1975" t="s">
        <v>2393</v>
      </c>
      <c r="N145" s="789" t="s">
        <v>1578</v>
      </c>
      <c r="O145" s="1000" t="s">
        <v>3506</v>
      </c>
      <c r="P145" s="241" t="s">
        <v>173</v>
      </c>
      <c r="Q145" s="392"/>
      <c r="R145" s="236"/>
      <c r="S145" s="236"/>
      <c r="T145" s="392" t="s">
        <v>1658</v>
      </c>
      <c r="U145" s="392" t="s">
        <v>895</v>
      </c>
      <c r="W145" s="44" t="s">
        <v>2346</v>
      </c>
      <c r="X145" s="44" t="s">
        <v>3021</v>
      </c>
      <c r="Z145" s="44"/>
      <c r="AA145" s="115"/>
      <c r="AB145" s="115"/>
      <c r="AC145" s="380"/>
      <c r="AD145" s="68"/>
      <c r="AE145" s="115"/>
      <c r="AF145" s="115"/>
      <c r="AG145" s="115"/>
      <c r="AH145" s="115"/>
      <c r="AI145" s="115"/>
      <c r="AJ145" s="115"/>
      <c r="AK145" s="115"/>
    </row>
    <row r="146" spans="2:37" ht="10.5" customHeight="1">
      <c r="B146" s="236"/>
      <c r="C146" s="310" t="s">
        <v>1241</v>
      </c>
      <c r="D146" s="353"/>
      <c r="E146" s="236"/>
      <c r="F146" s="236" t="s">
        <v>791</v>
      </c>
      <c r="G146" s="786" t="s">
        <v>1242</v>
      </c>
      <c r="H146" s="786" t="s">
        <v>1670</v>
      </c>
      <c r="I146" s="790" t="s">
        <v>1243</v>
      </c>
      <c r="J146" s="790" t="s">
        <v>2402</v>
      </c>
      <c r="K146" s="788" t="s">
        <v>6732</v>
      </c>
      <c r="L146" s="789" t="s">
        <v>399</v>
      </c>
      <c r="M146" s="1975" t="s">
        <v>1123</v>
      </c>
      <c r="N146" s="789" t="s">
        <v>1243</v>
      </c>
      <c r="O146" s="1000" t="s">
        <v>3507</v>
      </c>
      <c r="P146" s="241" t="s">
        <v>175</v>
      </c>
      <c r="Q146" s="392"/>
      <c r="R146" s="147"/>
      <c r="S146" s="236"/>
      <c r="T146" s="392" t="s">
        <v>1823</v>
      </c>
      <c r="U146" s="392" t="s">
        <v>404</v>
      </c>
      <c r="W146" s="44" t="s">
        <v>2352</v>
      </c>
      <c r="X146" s="44" t="s">
        <v>3021</v>
      </c>
      <c r="Z146" s="44"/>
      <c r="AA146" s="115"/>
      <c r="AB146" s="115"/>
      <c r="AC146" s="380"/>
      <c r="AD146" s="68"/>
      <c r="AE146" s="115"/>
      <c r="AF146" s="115"/>
      <c r="AG146" s="115"/>
      <c r="AH146" s="115"/>
      <c r="AI146" s="115"/>
      <c r="AJ146" s="115"/>
      <c r="AK146" s="115"/>
    </row>
    <row r="147" spans="2:37" ht="10.5" customHeight="1">
      <c r="B147" s="236"/>
      <c r="C147" s="310" t="s">
        <v>1245</v>
      </c>
      <c r="D147" s="353"/>
      <c r="E147" s="236"/>
      <c r="F147" s="236" t="s">
        <v>792</v>
      </c>
      <c r="G147" s="786" t="s">
        <v>1244</v>
      </c>
      <c r="H147" s="786" t="s">
        <v>1138</v>
      </c>
      <c r="I147" s="790" t="s">
        <v>1245</v>
      </c>
      <c r="J147" s="790" t="s">
        <v>2401</v>
      </c>
      <c r="K147" s="788" t="s">
        <v>2376</v>
      </c>
      <c r="L147" s="789" t="s">
        <v>398</v>
      </c>
      <c r="M147" s="1975" t="s">
        <v>2393</v>
      </c>
      <c r="N147" s="789" t="s">
        <v>1243</v>
      </c>
      <c r="O147" s="1000" t="s">
        <v>3508</v>
      </c>
      <c r="P147" s="241" t="s">
        <v>417</v>
      </c>
      <c r="Q147" s="241"/>
      <c r="R147" s="147"/>
      <c r="S147" s="236"/>
      <c r="T147" s="392" t="s">
        <v>174</v>
      </c>
      <c r="U147" s="392" t="s">
        <v>1367</v>
      </c>
      <c r="W147" s="44" t="s">
        <v>2357</v>
      </c>
      <c r="X147" s="44" t="s">
        <v>3021</v>
      </c>
      <c r="Z147" s="44"/>
      <c r="AA147" s="115"/>
      <c r="AB147" s="115"/>
      <c r="AC147" s="380"/>
      <c r="AD147" s="68"/>
      <c r="AE147" s="115"/>
      <c r="AF147" s="115"/>
      <c r="AG147" s="115"/>
      <c r="AH147" s="115"/>
      <c r="AI147" s="115"/>
      <c r="AJ147" s="115"/>
      <c r="AK147" s="115"/>
    </row>
    <row r="148" spans="2:37" ht="10.5" customHeight="1">
      <c r="B148" s="236"/>
      <c r="C148" s="309" t="s">
        <v>8</v>
      </c>
      <c r="D148" s="353"/>
      <c r="E148" s="236"/>
      <c r="F148" s="236" t="s">
        <v>796</v>
      </c>
      <c r="G148" s="786" t="s">
        <v>1246</v>
      </c>
      <c r="H148" s="786" t="s">
        <v>1138</v>
      </c>
      <c r="I148" s="787" t="s">
        <v>8</v>
      </c>
      <c r="J148" s="787" t="s">
        <v>2402</v>
      </c>
      <c r="K148" s="788" t="s">
        <v>2377</v>
      </c>
      <c r="L148" s="789" t="s">
        <v>399</v>
      </c>
      <c r="M148" s="1975" t="s">
        <v>1123</v>
      </c>
      <c r="N148" s="789" t="s">
        <v>1578</v>
      </c>
      <c r="O148" s="1000" t="s">
        <v>3509</v>
      </c>
      <c r="P148" s="241" t="s">
        <v>419</v>
      </c>
      <c r="Q148" s="241"/>
      <c r="R148" s="147"/>
      <c r="S148" s="236"/>
      <c r="T148" s="392" t="s">
        <v>176</v>
      </c>
      <c r="U148" s="392" t="s">
        <v>2211</v>
      </c>
      <c r="W148" s="44" t="s">
        <v>159</v>
      </c>
      <c r="X148" s="44" t="s">
        <v>3021</v>
      </c>
      <c r="Z148" s="44"/>
      <c r="AA148" s="115"/>
      <c r="AB148" s="115"/>
      <c r="AC148" s="380"/>
      <c r="AD148" s="68"/>
      <c r="AE148" s="115"/>
      <c r="AF148" s="115"/>
      <c r="AG148" s="115"/>
      <c r="AH148" s="115"/>
      <c r="AI148" s="115"/>
      <c r="AJ148" s="115"/>
      <c r="AK148" s="115"/>
    </row>
    <row r="149" spans="2:37" ht="10.5" customHeight="1">
      <c r="B149" s="236"/>
      <c r="C149" s="310" t="s">
        <v>1251</v>
      </c>
      <c r="D149" s="353"/>
      <c r="E149" s="236"/>
      <c r="F149" s="236" t="s">
        <v>793</v>
      </c>
      <c r="G149" s="786" t="s">
        <v>1247</v>
      </c>
      <c r="H149" s="786" t="s">
        <v>1138</v>
      </c>
      <c r="I149" s="787" t="s">
        <v>1578</v>
      </c>
      <c r="J149" s="787" t="s">
        <v>2402</v>
      </c>
      <c r="K149" s="788" t="s">
        <v>2378</v>
      </c>
      <c r="L149" s="789" t="s">
        <v>399</v>
      </c>
      <c r="M149" s="1975" t="s">
        <v>1123</v>
      </c>
      <c r="N149" s="789" t="s">
        <v>1578</v>
      </c>
      <c r="O149" s="1000" t="s">
        <v>3510</v>
      </c>
      <c r="P149" s="241" t="s">
        <v>421</v>
      </c>
      <c r="Q149" s="241"/>
      <c r="R149" s="147"/>
      <c r="S149" s="236"/>
      <c r="T149" s="392" t="s">
        <v>418</v>
      </c>
      <c r="U149" s="392" t="s">
        <v>1655</v>
      </c>
      <c r="W149" s="44" t="s">
        <v>1132</v>
      </c>
      <c r="X149" s="44" t="s">
        <v>3021</v>
      </c>
      <c r="Z149" s="44"/>
      <c r="AA149" s="115"/>
      <c r="AB149" s="115"/>
      <c r="AC149" s="380"/>
      <c r="AD149" s="68"/>
      <c r="AE149" s="115"/>
      <c r="AF149" s="115"/>
      <c r="AG149" s="115"/>
      <c r="AH149" s="115"/>
      <c r="AI149" s="115"/>
      <c r="AJ149" s="115"/>
      <c r="AK149" s="115"/>
    </row>
    <row r="150" spans="2:37" ht="10.5" customHeight="1">
      <c r="B150" s="236"/>
      <c r="C150" s="309" t="s">
        <v>973</v>
      </c>
      <c r="D150" s="353"/>
      <c r="E150" s="236"/>
      <c r="F150" s="236" t="s">
        <v>794</v>
      </c>
      <c r="G150" s="786" t="s">
        <v>1248</v>
      </c>
      <c r="H150" s="786" t="s">
        <v>1138</v>
      </c>
      <c r="I150" s="790" t="s">
        <v>1249</v>
      </c>
      <c r="J150" s="790" t="s">
        <v>2402</v>
      </c>
      <c r="K150" s="788" t="s">
        <v>1373</v>
      </c>
      <c r="L150" s="789" t="s">
        <v>399</v>
      </c>
      <c r="M150" s="1975" t="s">
        <v>1123</v>
      </c>
      <c r="N150" s="789" t="s">
        <v>1249</v>
      </c>
      <c r="O150" s="1000" t="s">
        <v>3511</v>
      </c>
      <c r="P150" s="241" t="s">
        <v>423</v>
      </c>
      <c r="Q150" s="241"/>
      <c r="R150" s="147"/>
      <c r="S150" s="236"/>
      <c r="T150" s="392" t="s">
        <v>420</v>
      </c>
      <c r="U150" s="392" t="s">
        <v>1133</v>
      </c>
      <c r="W150" s="44" t="s">
        <v>1921</v>
      </c>
      <c r="X150" s="44" t="s">
        <v>3021</v>
      </c>
      <c r="Z150" s="44"/>
      <c r="AA150" s="115"/>
      <c r="AB150" s="115"/>
      <c r="AC150" s="380"/>
      <c r="AD150" s="68"/>
      <c r="AE150" s="115"/>
      <c r="AF150" s="115"/>
      <c r="AG150" s="115"/>
      <c r="AH150" s="115"/>
      <c r="AI150" s="115"/>
      <c r="AJ150" s="115"/>
      <c r="AK150" s="115"/>
    </row>
    <row r="151" spans="2:37" ht="10.5" customHeight="1">
      <c r="B151" s="236"/>
      <c r="C151" s="310" t="s">
        <v>1256</v>
      </c>
      <c r="D151" s="353"/>
      <c r="E151" s="236"/>
      <c r="F151" s="236" t="s">
        <v>795</v>
      </c>
      <c r="G151" s="786" t="s">
        <v>1250</v>
      </c>
      <c r="H151" s="786" t="s">
        <v>1138</v>
      </c>
      <c r="I151" s="790" t="s">
        <v>1251</v>
      </c>
      <c r="J151" s="790" t="s">
        <v>2401</v>
      </c>
      <c r="K151" s="788" t="s">
        <v>2392</v>
      </c>
      <c r="L151" s="789" t="s">
        <v>398</v>
      </c>
      <c r="M151" s="1975" t="s">
        <v>2393</v>
      </c>
      <c r="N151" s="789" t="s">
        <v>1249</v>
      </c>
      <c r="O151" s="1000" t="s">
        <v>3512</v>
      </c>
      <c r="P151" s="241" t="s">
        <v>2091</v>
      </c>
      <c r="Q151" s="241"/>
      <c r="R151" s="147"/>
      <c r="S151" s="236"/>
      <c r="T151" s="392" t="s">
        <v>422</v>
      </c>
      <c r="U151" s="392" t="s">
        <v>177</v>
      </c>
      <c r="W151" s="44" t="s">
        <v>1253</v>
      </c>
      <c r="X151" s="44" t="s">
        <v>3021</v>
      </c>
      <c r="Z151" s="44"/>
      <c r="AA151" s="115"/>
      <c r="AB151" s="115"/>
      <c r="AC151" s="380"/>
      <c r="AD151" s="68"/>
      <c r="AE151" s="115"/>
      <c r="AF151" s="115"/>
      <c r="AG151" s="115"/>
      <c r="AH151" s="115"/>
      <c r="AI151" s="115"/>
      <c r="AJ151" s="115"/>
      <c r="AK151" s="115"/>
    </row>
    <row r="152" spans="2:37" ht="10.5" customHeight="1">
      <c r="B152" s="236"/>
      <c r="C152" s="310" t="s">
        <v>683</v>
      </c>
      <c r="D152" s="353"/>
      <c r="E152" s="236"/>
      <c r="F152" s="236" t="s">
        <v>797</v>
      </c>
      <c r="G152" s="786" t="s">
        <v>1252</v>
      </c>
      <c r="H152" s="786" t="s">
        <v>1138</v>
      </c>
      <c r="I152" s="790" t="s">
        <v>713</v>
      </c>
      <c r="J152" s="790" t="s">
        <v>2402</v>
      </c>
      <c r="K152" s="788" t="s">
        <v>6733</v>
      </c>
      <c r="L152" s="789" t="s">
        <v>399</v>
      </c>
      <c r="M152" s="1975" t="s">
        <v>2393</v>
      </c>
      <c r="N152" s="789" t="s">
        <v>1253</v>
      </c>
      <c r="O152" s="1000" t="s">
        <v>3513</v>
      </c>
      <c r="P152" s="241" t="s">
        <v>2093</v>
      </c>
      <c r="Q152" s="241"/>
      <c r="R152" s="147"/>
      <c r="S152" s="236"/>
      <c r="T152" s="392" t="s">
        <v>424</v>
      </c>
      <c r="U152" s="392" t="s">
        <v>116</v>
      </c>
      <c r="W152" s="44" t="s">
        <v>1924</v>
      </c>
      <c r="X152" s="44" t="s">
        <v>3021</v>
      </c>
      <c r="Z152" s="44"/>
      <c r="AA152" s="115"/>
      <c r="AB152" s="115"/>
      <c r="AC152" s="380"/>
      <c r="AD152" s="68"/>
      <c r="AE152" s="115"/>
      <c r="AF152" s="115"/>
      <c r="AG152" s="115"/>
      <c r="AH152" s="115"/>
      <c r="AI152" s="115"/>
      <c r="AJ152" s="115"/>
      <c r="AK152" s="115"/>
    </row>
    <row r="153" spans="2:37" ht="10.5" customHeight="1">
      <c r="B153" s="236"/>
      <c r="C153" s="310" t="s">
        <v>685</v>
      </c>
      <c r="D153" s="353"/>
      <c r="E153" s="236"/>
      <c r="F153" s="236" t="s">
        <v>798</v>
      </c>
      <c r="G153" s="786" t="s">
        <v>1254</v>
      </c>
      <c r="H153" s="786" t="s">
        <v>1234</v>
      </c>
      <c r="I153" s="790" t="s">
        <v>973</v>
      </c>
      <c r="J153" s="790" t="s">
        <v>2402</v>
      </c>
      <c r="K153" s="788" t="s">
        <v>1184</v>
      </c>
      <c r="L153" s="789" t="s">
        <v>399</v>
      </c>
      <c r="M153" s="1975" t="s">
        <v>2393</v>
      </c>
      <c r="N153" s="789" t="s">
        <v>1132</v>
      </c>
      <c r="O153" s="1000" t="s">
        <v>3514</v>
      </c>
      <c r="P153" s="241" t="s">
        <v>348</v>
      </c>
      <c r="Q153" s="241"/>
      <c r="R153" s="147"/>
      <c r="S153" s="236"/>
      <c r="T153" s="392" t="s">
        <v>2092</v>
      </c>
      <c r="U153" s="392" t="s">
        <v>2292</v>
      </c>
      <c r="W153" s="44" t="s">
        <v>1956</v>
      </c>
      <c r="X153" s="44" t="s">
        <v>3021</v>
      </c>
      <c r="Z153" s="44"/>
      <c r="AA153" s="115"/>
      <c r="AB153" s="115"/>
      <c r="AC153" s="380"/>
      <c r="AD153" s="68"/>
      <c r="AE153" s="115"/>
      <c r="AF153" s="115"/>
      <c r="AG153" s="115"/>
      <c r="AH153" s="115"/>
      <c r="AI153" s="115"/>
      <c r="AJ153" s="115"/>
      <c r="AK153" s="115"/>
    </row>
    <row r="154" spans="2:37" ht="10.5" customHeight="1">
      <c r="B154" s="236"/>
      <c r="C154" s="309" t="s">
        <v>151</v>
      </c>
      <c r="D154" s="353"/>
      <c r="E154" s="236"/>
      <c r="F154" s="236" t="s">
        <v>799</v>
      </c>
      <c r="G154" s="786" t="s">
        <v>1255</v>
      </c>
      <c r="H154" s="786" t="s">
        <v>1138</v>
      </c>
      <c r="I154" s="787" t="s">
        <v>1256</v>
      </c>
      <c r="J154" s="787" t="s">
        <v>2401</v>
      </c>
      <c r="K154" s="788" t="s">
        <v>1185</v>
      </c>
      <c r="L154" s="789" t="s">
        <v>398</v>
      </c>
      <c r="M154" s="1975" t="s">
        <v>2393</v>
      </c>
      <c r="N154" s="789" t="s">
        <v>1658</v>
      </c>
      <c r="O154" s="1000" t="s">
        <v>3515</v>
      </c>
      <c r="P154" s="241" t="s">
        <v>350</v>
      </c>
      <c r="Q154" s="241"/>
      <c r="R154" s="147"/>
      <c r="S154" s="236"/>
      <c r="T154" s="392" t="s">
        <v>1712</v>
      </c>
      <c r="U154" s="392" t="s">
        <v>2021</v>
      </c>
      <c r="W154" s="44" t="s">
        <v>1960</v>
      </c>
      <c r="X154" s="44" t="s">
        <v>3021</v>
      </c>
      <c r="Z154" s="44"/>
      <c r="AA154" s="115"/>
      <c r="AB154" s="115"/>
      <c r="AC154" s="380"/>
      <c r="AD154" s="68"/>
      <c r="AE154" s="115"/>
      <c r="AF154" s="115"/>
      <c r="AG154" s="115"/>
      <c r="AH154" s="115"/>
      <c r="AI154" s="115"/>
      <c r="AJ154" s="115"/>
      <c r="AK154" s="115"/>
    </row>
    <row r="155" spans="2:37" ht="10.5" customHeight="1">
      <c r="B155" s="236"/>
      <c r="C155" s="309" t="s">
        <v>1425</v>
      </c>
      <c r="D155" s="353"/>
      <c r="E155" s="236"/>
      <c r="F155" s="236" t="s">
        <v>802</v>
      </c>
      <c r="G155" s="786" t="s">
        <v>1257</v>
      </c>
      <c r="H155" s="786" t="s">
        <v>1138</v>
      </c>
      <c r="I155" s="790" t="s">
        <v>683</v>
      </c>
      <c r="J155" s="790" t="s">
        <v>2401</v>
      </c>
      <c r="K155" s="788" t="s">
        <v>1186</v>
      </c>
      <c r="L155" s="789" t="s">
        <v>398</v>
      </c>
      <c r="M155" s="1975" t="s">
        <v>2393</v>
      </c>
      <c r="N155" s="789" t="s">
        <v>1578</v>
      </c>
      <c r="O155" s="1000" t="s">
        <v>3516</v>
      </c>
      <c r="P155" s="241" t="s">
        <v>2343</v>
      </c>
      <c r="Q155" s="241"/>
      <c r="R155" s="147"/>
      <c r="S155" s="236"/>
      <c r="T155" s="392" t="s">
        <v>349</v>
      </c>
      <c r="U155" s="392" t="s">
        <v>2021</v>
      </c>
      <c r="W155" s="44" t="s">
        <v>1659</v>
      </c>
      <c r="X155" s="44" t="s">
        <v>3021</v>
      </c>
      <c r="Z155" s="44"/>
      <c r="AA155" s="115"/>
      <c r="AB155" s="115"/>
      <c r="AC155" s="380"/>
      <c r="AD155" s="68"/>
      <c r="AE155" s="115"/>
      <c r="AF155" s="115"/>
      <c r="AG155" s="115"/>
      <c r="AH155" s="115"/>
      <c r="AI155" s="115"/>
      <c r="AJ155" s="115"/>
      <c r="AK155" s="115"/>
    </row>
    <row r="156" spans="2:37" ht="10.5" customHeight="1">
      <c r="B156" s="236"/>
      <c r="C156" s="309" t="s">
        <v>156</v>
      </c>
      <c r="D156" s="353"/>
      <c r="E156" s="236"/>
      <c r="F156" s="236" t="s">
        <v>801</v>
      </c>
      <c r="G156" s="786" t="s">
        <v>684</v>
      </c>
      <c r="H156" s="786" t="s">
        <v>1138</v>
      </c>
      <c r="I156" s="787" t="s">
        <v>685</v>
      </c>
      <c r="J156" s="787" t="s">
        <v>2401</v>
      </c>
      <c r="K156" s="788" t="s">
        <v>1593</v>
      </c>
      <c r="L156" s="789" t="s">
        <v>398</v>
      </c>
      <c r="M156" s="1975" t="s">
        <v>2393</v>
      </c>
      <c r="N156" s="789" t="s">
        <v>1249</v>
      </c>
      <c r="O156" s="1000" t="s">
        <v>3517</v>
      </c>
      <c r="P156" s="241" t="s">
        <v>2345</v>
      </c>
      <c r="Q156" s="241"/>
      <c r="R156" s="147"/>
      <c r="S156" s="236"/>
      <c r="T156" s="392" t="s">
        <v>1137</v>
      </c>
      <c r="U156" s="392" t="s">
        <v>2327</v>
      </c>
      <c r="W156" s="44" t="s">
        <v>944</v>
      </c>
      <c r="X156" s="44" t="s">
        <v>3021</v>
      </c>
      <c r="Z156" s="44"/>
      <c r="AA156" s="115"/>
      <c r="AB156" s="115"/>
      <c r="AC156" s="380"/>
      <c r="AD156" s="68"/>
      <c r="AE156" s="115"/>
      <c r="AF156" s="115"/>
      <c r="AG156" s="115"/>
      <c r="AH156" s="115"/>
      <c r="AI156" s="115"/>
      <c r="AJ156" s="115"/>
      <c r="AK156" s="115"/>
    </row>
    <row r="157" spans="2:37" ht="10.5" customHeight="1">
      <c r="B157" s="236"/>
      <c r="C157" s="309" t="s">
        <v>2287</v>
      </c>
      <c r="D157" s="353"/>
      <c r="E157" s="236"/>
      <c r="F157" s="236" t="s">
        <v>800</v>
      </c>
      <c r="G157" s="786" t="s">
        <v>686</v>
      </c>
      <c r="H157" s="786" t="s">
        <v>1234</v>
      </c>
      <c r="I157" s="790" t="s">
        <v>712</v>
      </c>
      <c r="J157" s="790" t="s">
        <v>2402</v>
      </c>
      <c r="K157" s="788" t="s">
        <v>6731</v>
      </c>
      <c r="L157" s="789" t="s">
        <v>399</v>
      </c>
      <c r="M157" s="1975" t="s">
        <v>1123</v>
      </c>
      <c r="N157" s="789" t="s">
        <v>1132</v>
      </c>
      <c r="O157" s="1000" t="s">
        <v>3518</v>
      </c>
      <c r="P157" s="241" t="s">
        <v>2347</v>
      </c>
      <c r="Q157" s="241"/>
      <c r="R157" s="147"/>
      <c r="S157" s="236"/>
      <c r="T157" s="392" t="s">
        <v>2344</v>
      </c>
      <c r="U157" s="392" t="s">
        <v>2332</v>
      </c>
      <c r="W157" s="44" t="s">
        <v>2251</v>
      </c>
      <c r="X157" s="44" t="s">
        <v>3021</v>
      </c>
      <c r="Z157" s="44"/>
      <c r="AA157" s="115"/>
      <c r="AB157" s="115"/>
      <c r="AC157" s="380"/>
      <c r="AD157" s="68"/>
      <c r="AE157" s="115"/>
      <c r="AF157" s="115"/>
      <c r="AG157" s="115"/>
      <c r="AH157" s="115"/>
      <c r="AI157" s="115"/>
      <c r="AJ157" s="115"/>
      <c r="AK157" s="115"/>
    </row>
    <row r="158" spans="2:37" ht="10.5" customHeight="1">
      <c r="B158" s="236"/>
      <c r="C158" s="310" t="s">
        <v>2290</v>
      </c>
      <c r="D158" s="353"/>
      <c r="E158" s="236"/>
      <c r="F158" s="236" t="s">
        <v>803</v>
      </c>
      <c r="G158" s="786" t="s">
        <v>1424</v>
      </c>
      <c r="H158" s="786" t="s">
        <v>1234</v>
      </c>
      <c r="I158" s="790" t="s">
        <v>1425</v>
      </c>
      <c r="J158" s="790" t="s">
        <v>2402</v>
      </c>
      <c r="K158" s="788" t="s">
        <v>1563</v>
      </c>
      <c r="L158" s="789" t="s">
        <v>399</v>
      </c>
      <c r="M158" s="1975" t="s">
        <v>2393</v>
      </c>
      <c r="N158" s="789" t="s">
        <v>1425</v>
      </c>
      <c r="O158" s="1000" t="s">
        <v>3519</v>
      </c>
      <c r="P158" s="241" t="s">
        <v>2349</v>
      </c>
      <c r="Q158" s="241"/>
      <c r="R158" s="147"/>
      <c r="S158" s="236"/>
      <c r="T158" s="392" t="s">
        <v>2346</v>
      </c>
      <c r="U158" s="392" t="s">
        <v>1033</v>
      </c>
      <c r="W158" s="44" t="s">
        <v>2253</v>
      </c>
      <c r="X158" s="44" t="s">
        <v>3021</v>
      </c>
      <c r="Z158" s="44"/>
      <c r="AA158" s="115"/>
      <c r="AB158" s="115"/>
      <c r="AC158" s="380"/>
      <c r="AD158" s="68"/>
      <c r="AE158" s="115"/>
      <c r="AF158" s="115"/>
      <c r="AG158" s="115"/>
      <c r="AH158" s="115"/>
      <c r="AI158" s="115"/>
      <c r="AJ158" s="115"/>
      <c r="AK158" s="115"/>
    </row>
    <row r="159" spans="2:37" ht="10.5" customHeight="1">
      <c r="B159" s="236"/>
      <c r="C159" s="310" t="s">
        <v>2293</v>
      </c>
      <c r="D159" s="353"/>
      <c r="E159" s="236"/>
      <c r="F159" s="236" t="s">
        <v>804</v>
      </c>
      <c r="G159" s="786" t="s">
        <v>150</v>
      </c>
      <c r="H159" s="786" t="s">
        <v>1138</v>
      </c>
      <c r="I159" s="787" t="s">
        <v>151</v>
      </c>
      <c r="J159" s="787" t="s">
        <v>2401</v>
      </c>
      <c r="K159" s="788" t="s">
        <v>1564</v>
      </c>
      <c r="L159" s="789" t="s">
        <v>398</v>
      </c>
      <c r="M159" s="1975" t="s">
        <v>2393</v>
      </c>
      <c r="N159" s="789" t="s">
        <v>1578</v>
      </c>
      <c r="O159" s="1000" t="s">
        <v>3520</v>
      </c>
      <c r="P159" s="241" t="s">
        <v>2351</v>
      </c>
      <c r="Q159" s="241"/>
      <c r="R159" s="147"/>
      <c r="S159" s="236"/>
      <c r="T159" s="392" t="s">
        <v>2348</v>
      </c>
      <c r="U159" s="392" t="s">
        <v>310</v>
      </c>
      <c r="W159" s="44" t="s">
        <v>2255</v>
      </c>
      <c r="X159" s="44" t="s">
        <v>3021</v>
      </c>
      <c r="Z159" s="44"/>
      <c r="AA159" s="115"/>
      <c r="AB159" s="115"/>
      <c r="AC159" s="380"/>
      <c r="AD159" s="68"/>
      <c r="AE159" s="115"/>
      <c r="AF159" s="115"/>
      <c r="AG159" s="115"/>
      <c r="AH159" s="115"/>
      <c r="AI159" s="115"/>
      <c r="AJ159" s="115"/>
      <c r="AK159" s="115"/>
    </row>
    <row r="160" spans="2:37" ht="10.5" customHeight="1">
      <c r="B160" s="236"/>
      <c r="C160" s="310" t="s">
        <v>2326</v>
      </c>
      <c r="D160" s="353"/>
      <c r="E160" s="236"/>
      <c r="F160" s="236" t="s">
        <v>1264</v>
      </c>
      <c r="G160" s="786" t="s">
        <v>152</v>
      </c>
      <c r="H160" s="786" t="s">
        <v>1670</v>
      </c>
      <c r="I160" s="790" t="s">
        <v>1249</v>
      </c>
      <c r="J160" s="790" t="s">
        <v>2402</v>
      </c>
      <c r="K160" s="788" t="s">
        <v>1373</v>
      </c>
      <c r="L160" s="789" t="s">
        <v>399</v>
      </c>
      <c r="M160" s="1975" t="s">
        <v>1123</v>
      </c>
      <c r="N160" s="789" t="s">
        <v>1249</v>
      </c>
      <c r="O160" s="1000" t="s">
        <v>3521</v>
      </c>
      <c r="P160" s="241" t="s">
        <v>2353</v>
      </c>
      <c r="Q160" s="241"/>
      <c r="R160" s="147"/>
      <c r="S160" s="236"/>
      <c r="T160" s="392" t="s">
        <v>2350</v>
      </c>
      <c r="U160" s="392" t="s">
        <v>2289</v>
      </c>
      <c r="W160" s="44" t="s">
        <v>2258</v>
      </c>
      <c r="X160" s="44" t="s">
        <v>3021</v>
      </c>
      <c r="Z160" s="44"/>
      <c r="AA160" s="115"/>
      <c r="AB160" s="115"/>
      <c r="AC160" s="380"/>
      <c r="AD160" s="68"/>
      <c r="AE160" s="115"/>
      <c r="AF160" s="115"/>
      <c r="AG160" s="115"/>
      <c r="AH160" s="115"/>
      <c r="AI160" s="115"/>
      <c r="AJ160" s="115"/>
      <c r="AK160" s="115"/>
    </row>
    <row r="161" spans="2:37" ht="10.5" customHeight="1">
      <c r="B161" s="236"/>
      <c r="C161" s="309" t="s">
        <v>154</v>
      </c>
      <c r="D161" s="353"/>
      <c r="E161" s="236"/>
      <c r="F161" s="236" t="s">
        <v>805</v>
      </c>
      <c r="G161" s="786" t="s">
        <v>153</v>
      </c>
      <c r="H161" s="786" t="s">
        <v>1138</v>
      </c>
      <c r="I161" s="790" t="s">
        <v>154</v>
      </c>
      <c r="J161" s="790" t="s">
        <v>2402</v>
      </c>
      <c r="K161" s="788" t="s">
        <v>6734</v>
      </c>
      <c r="L161" s="789" t="s">
        <v>399</v>
      </c>
      <c r="M161" s="1975" t="s">
        <v>2393</v>
      </c>
      <c r="N161" s="789" t="s">
        <v>154</v>
      </c>
      <c r="O161" s="1000" t="s">
        <v>3522</v>
      </c>
      <c r="P161" s="241" t="s">
        <v>2354</v>
      </c>
      <c r="Q161" s="241"/>
      <c r="R161" s="147"/>
      <c r="S161" s="236"/>
      <c r="T161" s="392" t="s">
        <v>2352</v>
      </c>
      <c r="U161" s="392" t="s">
        <v>1255</v>
      </c>
      <c r="W161" s="44" t="s">
        <v>2064</v>
      </c>
      <c r="X161" s="44" t="s">
        <v>3021</v>
      </c>
      <c r="Z161" s="44"/>
      <c r="AA161" s="115"/>
      <c r="AB161" s="115"/>
      <c r="AC161" s="380"/>
      <c r="AD161" s="68"/>
      <c r="AE161" s="115"/>
      <c r="AF161" s="115"/>
      <c r="AG161" s="115"/>
      <c r="AH161" s="115"/>
      <c r="AI161" s="115"/>
      <c r="AJ161" s="115"/>
      <c r="AK161" s="115"/>
    </row>
    <row r="162" spans="2:37" ht="10.5" customHeight="1">
      <c r="B162" s="236"/>
      <c r="C162" s="310" t="s">
        <v>2329</v>
      </c>
      <c r="D162" s="353"/>
      <c r="E162" s="236"/>
      <c r="F162" s="236" t="s">
        <v>1265</v>
      </c>
      <c r="G162" s="786" t="s">
        <v>155</v>
      </c>
      <c r="H162" s="786" t="s">
        <v>1234</v>
      </c>
      <c r="I162" s="787" t="s">
        <v>156</v>
      </c>
      <c r="J162" s="787" t="s">
        <v>2401</v>
      </c>
      <c r="K162" s="788" t="s">
        <v>1565</v>
      </c>
      <c r="L162" s="789" t="s">
        <v>398</v>
      </c>
      <c r="M162" s="1975" t="s">
        <v>2393</v>
      </c>
      <c r="N162" s="789" t="s">
        <v>1425</v>
      </c>
      <c r="O162" s="1000" t="s">
        <v>3523</v>
      </c>
      <c r="P162" s="241" t="s">
        <v>2356</v>
      </c>
      <c r="Q162" s="241"/>
      <c r="R162" s="147"/>
      <c r="S162" s="236"/>
      <c r="T162" s="392" t="s">
        <v>2355</v>
      </c>
      <c r="U162" s="392" t="s">
        <v>2386</v>
      </c>
      <c r="W162" s="44" t="s">
        <v>2152</v>
      </c>
      <c r="X162" s="44" t="s">
        <v>3021</v>
      </c>
      <c r="Z162" s="44"/>
      <c r="AA162" s="115"/>
      <c r="AB162" s="115"/>
      <c r="AC162" s="380"/>
      <c r="AD162" s="68"/>
      <c r="AE162" s="115"/>
      <c r="AF162" s="115"/>
      <c r="AG162" s="115"/>
      <c r="AH162" s="115"/>
      <c r="AI162" s="115"/>
      <c r="AJ162" s="115"/>
      <c r="AK162" s="115"/>
    </row>
    <row r="163" spans="2:37" ht="10.5" customHeight="1">
      <c r="B163" s="236"/>
      <c r="C163" s="310" t="s">
        <v>186</v>
      </c>
      <c r="D163" s="353"/>
      <c r="E163" s="236"/>
      <c r="F163" s="236" t="s">
        <v>1272</v>
      </c>
      <c r="G163" s="786" t="s">
        <v>157</v>
      </c>
      <c r="H163" s="786" t="s">
        <v>1234</v>
      </c>
      <c r="I163" s="790" t="s">
        <v>712</v>
      </c>
      <c r="J163" s="790" t="s">
        <v>2402</v>
      </c>
      <c r="K163" s="788" t="s">
        <v>6731</v>
      </c>
      <c r="L163" s="789" t="s">
        <v>399</v>
      </c>
      <c r="M163" s="1975" t="s">
        <v>1123</v>
      </c>
      <c r="N163" s="789" t="s">
        <v>1132</v>
      </c>
      <c r="O163" s="1000" t="s">
        <v>3524</v>
      </c>
      <c r="P163" s="241" t="s">
        <v>392</v>
      </c>
      <c r="Q163" s="241"/>
      <c r="R163" s="147"/>
      <c r="S163" s="236"/>
      <c r="T163" s="392" t="s">
        <v>2357</v>
      </c>
      <c r="U163" s="392" t="s">
        <v>1778</v>
      </c>
      <c r="W163" s="44" t="s">
        <v>292</v>
      </c>
      <c r="X163" s="44" t="s">
        <v>3021</v>
      </c>
      <c r="Z163" s="44"/>
      <c r="AA163" s="115"/>
      <c r="AB163" s="115"/>
      <c r="AC163" s="380"/>
      <c r="AD163" s="68"/>
      <c r="AE163" s="115"/>
      <c r="AF163" s="115"/>
      <c r="AG163" s="115"/>
      <c r="AH163" s="115"/>
      <c r="AI163" s="115"/>
      <c r="AJ163" s="115"/>
      <c r="AK163" s="115"/>
    </row>
    <row r="164" spans="2:37" ht="10.5" customHeight="1">
      <c r="B164" s="236"/>
      <c r="C164" s="310" t="s">
        <v>322</v>
      </c>
      <c r="D164" s="353"/>
      <c r="E164" s="236"/>
      <c r="F164" s="236" t="s">
        <v>1273</v>
      </c>
      <c r="G164" s="786" t="s">
        <v>158</v>
      </c>
      <c r="H164" s="786" t="s">
        <v>1234</v>
      </c>
      <c r="I164" s="787" t="s">
        <v>1894</v>
      </c>
      <c r="J164" s="787" t="s">
        <v>2402</v>
      </c>
      <c r="K164" s="788" t="s">
        <v>577</v>
      </c>
      <c r="L164" s="789" t="s">
        <v>399</v>
      </c>
      <c r="M164" s="1975" t="s">
        <v>1123</v>
      </c>
      <c r="N164" s="789" t="s">
        <v>159</v>
      </c>
      <c r="O164" s="1000" t="s">
        <v>3525</v>
      </c>
      <c r="P164" s="241" t="s">
        <v>393</v>
      </c>
      <c r="Q164" s="241"/>
      <c r="R164" s="236"/>
      <c r="S164" s="236"/>
      <c r="T164" s="392" t="s">
        <v>159</v>
      </c>
      <c r="U164" s="392" t="s">
        <v>158</v>
      </c>
      <c r="W164" s="44" t="s">
        <v>8</v>
      </c>
      <c r="X164" s="44" t="s">
        <v>3021</v>
      </c>
      <c r="Z164" s="44"/>
      <c r="AA164" s="115"/>
      <c r="AB164" s="115"/>
      <c r="AC164" s="380"/>
      <c r="AD164" s="68"/>
      <c r="AE164" s="115"/>
      <c r="AF164" s="115"/>
      <c r="AG164" s="115"/>
      <c r="AH164" s="115"/>
      <c r="AI164" s="115"/>
      <c r="AJ164" s="115"/>
      <c r="AK164" s="115"/>
    </row>
    <row r="165" spans="2:37" ht="10.5" customHeight="1">
      <c r="B165" s="236"/>
      <c r="C165" s="309" t="s">
        <v>190</v>
      </c>
      <c r="D165" s="353"/>
      <c r="E165" s="236"/>
      <c r="F165" s="236" t="s">
        <v>1266</v>
      </c>
      <c r="G165" s="786" t="s">
        <v>2286</v>
      </c>
      <c r="H165" s="786" t="s">
        <v>1138</v>
      </c>
      <c r="I165" s="787" t="s">
        <v>2287</v>
      </c>
      <c r="J165" s="787" t="s">
        <v>2401</v>
      </c>
      <c r="K165" s="788" t="s">
        <v>578</v>
      </c>
      <c r="L165" s="789" t="s">
        <v>398</v>
      </c>
      <c r="M165" s="1975" t="s">
        <v>2393</v>
      </c>
      <c r="N165" s="789" t="s">
        <v>1658</v>
      </c>
      <c r="O165" s="1000" t="s">
        <v>3526</v>
      </c>
      <c r="P165" s="241" t="s">
        <v>724</v>
      </c>
      <c r="Q165" s="392"/>
      <c r="R165" s="147"/>
      <c r="S165" s="236"/>
      <c r="T165" s="392" t="s">
        <v>1132</v>
      </c>
      <c r="U165" s="392" t="s">
        <v>1133</v>
      </c>
      <c r="W165" s="44" t="s">
        <v>10</v>
      </c>
      <c r="X165" s="44" t="s">
        <v>3021</v>
      </c>
      <c r="Z165" s="44"/>
      <c r="AA165" s="115"/>
      <c r="AB165" s="115"/>
      <c r="AC165" s="380"/>
      <c r="AD165" s="68"/>
      <c r="AE165" s="115"/>
      <c r="AF165" s="115"/>
      <c r="AG165" s="115"/>
      <c r="AH165" s="115"/>
      <c r="AI165" s="115"/>
      <c r="AJ165" s="115"/>
      <c r="AK165" s="115"/>
    </row>
    <row r="166" spans="2:37" ht="10.5" customHeight="1">
      <c r="B166" s="236"/>
      <c r="C166" s="309" t="s">
        <v>892</v>
      </c>
      <c r="D166" s="353"/>
      <c r="E166" s="236"/>
      <c r="F166" s="236" t="s">
        <v>1268</v>
      </c>
      <c r="G166" s="786" t="s">
        <v>2288</v>
      </c>
      <c r="H166" s="786" t="s">
        <v>1670</v>
      </c>
      <c r="I166" s="790" t="s">
        <v>712</v>
      </c>
      <c r="J166" s="790" t="s">
        <v>2402</v>
      </c>
      <c r="K166" s="788" t="s">
        <v>6731</v>
      </c>
      <c r="L166" s="789" t="s">
        <v>399</v>
      </c>
      <c r="M166" s="1975" t="s">
        <v>1123</v>
      </c>
      <c r="N166" s="789" t="s">
        <v>1132</v>
      </c>
      <c r="O166" s="1000" t="s">
        <v>3527</v>
      </c>
      <c r="P166" s="241" t="s">
        <v>726</v>
      </c>
      <c r="Q166" s="392"/>
      <c r="R166" s="147"/>
      <c r="S166" s="236"/>
      <c r="T166" s="392" t="s">
        <v>725</v>
      </c>
      <c r="U166" s="392" t="s">
        <v>189</v>
      </c>
      <c r="W166" s="44" t="s">
        <v>54</v>
      </c>
      <c r="X166" s="44" t="s">
        <v>3021</v>
      </c>
      <c r="Z166" s="44"/>
      <c r="AA166" s="115"/>
      <c r="AB166" s="115"/>
      <c r="AC166" s="380"/>
      <c r="AD166" s="68"/>
      <c r="AE166" s="115"/>
      <c r="AF166" s="115"/>
      <c r="AG166" s="115"/>
      <c r="AH166" s="115"/>
      <c r="AI166" s="115"/>
      <c r="AJ166" s="115"/>
      <c r="AK166" s="115"/>
    </row>
    <row r="167" spans="2:37" ht="10.5" customHeight="1">
      <c r="B167" s="236"/>
      <c r="C167" s="310" t="s">
        <v>894</v>
      </c>
      <c r="D167" s="353"/>
      <c r="E167" s="236"/>
      <c r="F167" s="236" t="s">
        <v>1269</v>
      </c>
      <c r="G167" s="786" t="s">
        <v>2289</v>
      </c>
      <c r="H167" s="786" t="s">
        <v>1138</v>
      </c>
      <c r="I167" s="787" t="s">
        <v>2290</v>
      </c>
      <c r="J167" s="787" t="s">
        <v>2401</v>
      </c>
      <c r="K167" s="788" t="s">
        <v>579</v>
      </c>
      <c r="L167" s="789" t="s">
        <v>398</v>
      </c>
      <c r="M167" s="1975" t="s">
        <v>2393</v>
      </c>
      <c r="N167" s="789" t="s">
        <v>1578</v>
      </c>
      <c r="O167" s="1000" t="s">
        <v>3528</v>
      </c>
      <c r="P167" s="241" t="s">
        <v>1922</v>
      </c>
      <c r="Q167" s="392"/>
      <c r="R167" s="147"/>
      <c r="S167" s="236"/>
      <c r="T167" s="392" t="s">
        <v>1921</v>
      </c>
      <c r="U167" s="392" t="s">
        <v>1236</v>
      </c>
      <c r="W167" s="44" t="s">
        <v>56</v>
      </c>
      <c r="X167" s="44" t="s">
        <v>3021</v>
      </c>
      <c r="Z167" s="44"/>
      <c r="AA167" s="115"/>
      <c r="AB167" s="115"/>
      <c r="AC167" s="380"/>
      <c r="AD167" s="68"/>
      <c r="AE167" s="115"/>
      <c r="AF167" s="115"/>
      <c r="AG167" s="115"/>
      <c r="AH167" s="115"/>
      <c r="AI167" s="115"/>
      <c r="AJ167" s="115"/>
      <c r="AK167" s="115"/>
    </row>
    <row r="168" spans="2:37" ht="10.5" customHeight="1">
      <c r="B168" s="236"/>
      <c r="C168" s="309" t="s">
        <v>817</v>
      </c>
      <c r="D168" s="353"/>
      <c r="E168" s="236"/>
      <c r="F168" s="236" t="s">
        <v>1270</v>
      </c>
      <c r="G168" s="786" t="s">
        <v>2291</v>
      </c>
      <c r="H168" s="786" t="s">
        <v>1670</v>
      </c>
      <c r="I168" s="790" t="s">
        <v>712</v>
      </c>
      <c r="J168" s="790" t="s">
        <v>2402</v>
      </c>
      <c r="K168" s="788" t="s">
        <v>6731</v>
      </c>
      <c r="L168" s="789" t="s">
        <v>399</v>
      </c>
      <c r="M168" s="1975" t="s">
        <v>1123</v>
      </c>
      <c r="N168" s="789" t="s">
        <v>1132</v>
      </c>
      <c r="O168" s="1000" t="s">
        <v>3529</v>
      </c>
      <c r="P168" s="241" t="s">
        <v>1923</v>
      </c>
      <c r="Q168" s="392"/>
      <c r="R168" s="147"/>
      <c r="S168" s="236"/>
      <c r="T168" s="392" t="s">
        <v>1253</v>
      </c>
      <c r="U168" s="392" t="s">
        <v>1045</v>
      </c>
      <c r="W168" s="44" t="s">
        <v>336</v>
      </c>
      <c r="X168" s="44" t="s">
        <v>3021</v>
      </c>
      <c r="Z168" s="44"/>
      <c r="AA168" s="115"/>
      <c r="AB168" s="115"/>
      <c r="AC168" s="380"/>
      <c r="AD168" s="68"/>
      <c r="AE168" s="115"/>
      <c r="AF168" s="115"/>
      <c r="AG168" s="115"/>
      <c r="AH168" s="115"/>
      <c r="AI168" s="115"/>
      <c r="AJ168" s="115"/>
      <c r="AK168" s="115"/>
    </row>
    <row r="169" spans="2:37" ht="10.5" customHeight="1">
      <c r="B169" s="236"/>
      <c r="C169" s="310" t="s">
        <v>821</v>
      </c>
      <c r="D169" s="353"/>
      <c r="E169" s="236"/>
      <c r="F169" s="236" t="s">
        <v>1267</v>
      </c>
      <c r="G169" s="786" t="s">
        <v>2292</v>
      </c>
      <c r="H169" s="786" t="s">
        <v>1138</v>
      </c>
      <c r="I169" s="787" t="s">
        <v>2293</v>
      </c>
      <c r="J169" s="787" t="s">
        <v>2401</v>
      </c>
      <c r="K169" s="788" t="s">
        <v>580</v>
      </c>
      <c r="L169" s="789" t="s">
        <v>398</v>
      </c>
      <c r="M169" s="1975" t="s">
        <v>2393</v>
      </c>
      <c r="N169" s="789" t="s">
        <v>1578</v>
      </c>
      <c r="O169" s="1000" t="s">
        <v>3530</v>
      </c>
      <c r="P169" s="241" t="s">
        <v>1925</v>
      </c>
      <c r="Q169" s="392"/>
      <c r="R169" s="147"/>
      <c r="S169" s="236"/>
      <c r="T169" s="392" t="s">
        <v>1924</v>
      </c>
      <c r="U169" s="392" t="s">
        <v>2291</v>
      </c>
      <c r="W169" s="44" t="s">
        <v>340</v>
      </c>
      <c r="X169" s="44" t="s">
        <v>3021</v>
      </c>
      <c r="Z169" s="44"/>
      <c r="AA169" s="115"/>
      <c r="AB169" s="115"/>
      <c r="AC169" s="380"/>
      <c r="AD169" s="68"/>
      <c r="AE169" s="115"/>
      <c r="AF169" s="115"/>
      <c r="AG169" s="115"/>
      <c r="AH169" s="115"/>
      <c r="AI169" s="115"/>
      <c r="AJ169" s="115"/>
      <c r="AK169" s="115"/>
    </row>
    <row r="170" spans="2:37" ht="10.5" customHeight="1">
      <c r="B170" s="236"/>
      <c r="C170" s="310" t="s">
        <v>2075</v>
      </c>
      <c r="D170" s="353"/>
      <c r="E170" s="236"/>
      <c r="F170" s="236" t="s">
        <v>1271</v>
      </c>
      <c r="G170" s="786" t="s">
        <v>2294</v>
      </c>
      <c r="H170" s="786" t="s">
        <v>1138</v>
      </c>
      <c r="I170" s="787" t="s">
        <v>2326</v>
      </c>
      <c r="J170" s="787" t="s">
        <v>2401</v>
      </c>
      <c r="K170" s="788" t="s">
        <v>581</v>
      </c>
      <c r="L170" s="789" t="s">
        <v>398</v>
      </c>
      <c r="M170" s="1975" t="s">
        <v>2393</v>
      </c>
      <c r="N170" s="789" t="s">
        <v>1658</v>
      </c>
      <c r="O170" s="1000" t="s">
        <v>3531</v>
      </c>
      <c r="P170" s="241" t="s">
        <v>1955</v>
      </c>
      <c r="Q170" s="392"/>
      <c r="R170" s="147"/>
      <c r="S170" s="236"/>
      <c r="T170" s="392" t="s">
        <v>1855</v>
      </c>
      <c r="U170" s="392" t="s">
        <v>2017</v>
      </c>
      <c r="W170" s="44" t="s">
        <v>2116</v>
      </c>
      <c r="X170" s="44" t="s">
        <v>3021</v>
      </c>
      <c r="Z170" s="44"/>
      <c r="AA170" s="115"/>
      <c r="AB170" s="115"/>
      <c r="AC170" s="380"/>
      <c r="AD170" s="68"/>
      <c r="AE170" s="115"/>
      <c r="AF170" s="115"/>
      <c r="AG170" s="115"/>
      <c r="AH170" s="115"/>
      <c r="AI170" s="115"/>
      <c r="AJ170" s="115"/>
      <c r="AK170" s="115"/>
    </row>
    <row r="171" spans="2:37" ht="10.5" customHeight="1">
      <c r="B171" s="236"/>
      <c r="C171" s="310" t="s">
        <v>608</v>
      </c>
      <c r="D171" s="353"/>
      <c r="E171" s="236"/>
      <c r="F171" s="236" t="s">
        <v>1274</v>
      </c>
      <c r="G171" s="786" t="s">
        <v>2327</v>
      </c>
      <c r="H171" s="786" t="s">
        <v>1234</v>
      </c>
      <c r="I171" s="790" t="s">
        <v>713</v>
      </c>
      <c r="J171" s="790" t="s">
        <v>2402</v>
      </c>
      <c r="K171" s="788" t="s">
        <v>6733</v>
      </c>
      <c r="L171" s="789" t="s">
        <v>399</v>
      </c>
      <c r="M171" s="1975" t="s">
        <v>2393</v>
      </c>
      <c r="N171" s="789" t="s">
        <v>1253</v>
      </c>
      <c r="O171" s="1000" t="s">
        <v>3532</v>
      </c>
      <c r="P171" s="241" t="s">
        <v>1957</v>
      </c>
      <c r="Q171" s="392"/>
      <c r="R171" s="147"/>
      <c r="S171" s="236"/>
      <c r="T171" s="392" t="s">
        <v>1926</v>
      </c>
      <c r="U171" s="392" t="s">
        <v>315</v>
      </c>
      <c r="W171" s="44" t="s">
        <v>1255</v>
      </c>
      <c r="X171" s="44" t="s">
        <v>3021</v>
      </c>
      <c r="Z171" s="44"/>
      <c r="AA171" s="115"/>
      <c r="AB171" s="115"/>
      <c r="AC171" s="380"/>
      <c r="AD171" s="68"/>
      <c r="AE171" s="115"/>
      <c r="AF171" s="115"/>
      <c r="AG171" s="115"/>
      <c r="AH171" s="115"/>
      <c r="AI171" s="115"/>
      <c r="AJ171" s="115"/>
      <c r="AK171" s="115"/>
    </row>
    <row r="172" spans="2:37" ht="10.5" customHeight="1">
      <c r="B172" s="236"/>
      <c r="C172" s="310" t="s">
        <v>610</v>
      </c>
      <c r="D172" s="353"/>
      <c r="E172" s="236"/>
      <c r="F172" s="236" t="s">
        <v>1275</v>
      </c>
      <c r="G172" s="786" t="s">
        <v>2328</v>
      </c>
      <c r="H172" s="786" t="s">
        <v>1138</v>
      </c>
      <c r="I172" s="787" t="s">
        <v>2329</v>
      </c>
      <c r="J172" s="787" t="s">
        <v>2401</v>
      </c>
      <c r="K172" s="788" t="s">
        <v>582</v>
      </c>
      <c r="L172" s="789" t="s">
        <v>398</v>
      </c>
      <c r="M172" s="1975" t="s">
        <v>2393</v>
      </c>
      <c r="N172" s="789" t="s">
        <v>1578</v>
      </c>
      <c r="O172" s="1000" t="s">
        <v>3533</v>
      </c>
      <c r="P172" s="241" t="s">
        <v>1959</v>
      </c>
      <c r="Q172" s="392"/>
      <c r="R172" s="147"/>
      <c r="S172" s="236"/>
      <c r="T172" s="392" t="s">
        <v>1956</v>
      </c>
      <c r="U172" s="392" t="s">
        <v>585</v>
      </c>
      <c r="W172" s="44" t="s">
        <v>1458</v>
      </c>
      <c r="X172" s="44" t="s">
        <v>3021</v>
      </c>
      <c r="Z172" s="44"/>
      <c r="AA172" s="115"/>
      <c r="AB172" s="115"/>
      <c r="AC172" s="380"/>
      <c r="AD172" s="68"/>
      <c r="AE172" s="115"/>
      <c r="AF172" s="115"/>
      <c r="AG172" s="115"/>
      <c r="AH172" s="115"/>
      <c r="AI172" s="115"/>
      <c r="AJ172" s="115"/>
      <c r="AK172" s="115"/>
    </row>
    <row r="173" spans="2:37" ht="10.5" customHeight="1">
      <c r="B173" s="236"/>
      <c r="C173" s="310" t="s">
        <v>615</v>
      </c>
      <c r="D173" s="353"/>
      <c r="E173" s="236"/>
      <c r="F173" s="236" t="s">
        <v>1276</v>
      </c>
      <c r="G173" s="786" t="s">
        <v>2330</v>
      </c>
      <c r="H173" s="786" t="s">
        <v>1138</v>
      </c>
      <c r="I173" s="790" t="s">
        <v>712</v>
      </c>
      <c r="J173" s="790" t="s">
        <v>2402</v>
      </c>
      <c r="K173" s="788" t="s">
        <v>6731</v>
      </c>
      <c r="L173" s="789" t="s">
        <v>399</v>
      </c>
      <c r="M173" s="1975" t="s">
        <v>1123</v>
      </c>
      <c r="N173" s="789" t="s">
        <v>1132</v>
      </c>
      <c r="O173" s="1000" t="s">
        <v>3534</v>
      </c>
      <c r="P173" s="241" t="s">
        <v>1961</v>
      </c>
      <c r="Q173" s="392"/>
      <c r="R173" s="147"/>
      <c r="S173" s="236"/>
      <c r="T173" s="392" t="s">
        <v>1958</v>
      </c>
      <c r="U173" s="392" t="s">
        <v>1527</v>
      </c>
      <c r="W173" s="44" t="s">
        <v>1462</v>
      </c>
      <c r="X173" s="44" t="s">
        <v>3021</v>
      </c>
      <c r="Z173" s="44"/>
      <c r="AA173" s="115"/>
      <c r="AB173" s="115"/>
      <c r="AC173" s="380"/>
      <c r="AD173" s="68"/>
      <c r="AE173" s="115"/>
      <c r="AF173" s="115"/>
      <c r="AG173" s="115"/>
      <c r="AH173" s="115"/>
      <c r="AI173" s="115"/>
      <c r="AJ173" s="115"/>
      <c r="AK173" s="115"/>
    </row>
    <row r="174" spans="2:37" ht="10.5" customHeight="1">
      <c r="B174" s="236"/>
      <c r="C174" s="310" t="s">
        <v>1148</v>
      </c>
      <c r="D174" s="353"/>
      <c r="E174" s="236"/>
      <c r="F174" s="236" t="s">
        <v>1277</v>
      </c>
      <c r="G174" s="786" t="s">
        <v>2331</v>
      </c>
      <c r="H174" s="786" t="s">
        <v>1234</v>
      </c>
      <c r="I174" s="790" t="s">
        <v>1243</v>
      </c>
      <c r="J174" s="790" t="s">
        <v>2402</v>
      </c>
      <c r="K174" s="788" t="s">
        <v>6732</v>
      </c>
      <c r="L174" s="789" t="s">
        <v>399</v>
      </c>
      <c r="M174" s="1975" t="s">
        <v>2393</v>
      </c>
      <c r="N174" s="789" t="s">
        <v>1243</v>
      </c>
      <c r="O174" s="1000" t="s">
        <v>3535</v>
      </c>
      <c r="P174" s="241" t="s">
        <v>2338</v>
      </c>
      <c r="Q174" s="392"/>
      <c r="R174" s="147"/>
      <c r="S174" s="236"/>
      <c r="T174" s="392" t="s">
        <v>1960</v>
      </c>
      <c r="U174" s="392" t="s">
        <v>189</v>
      </c>
      <c r="W174" s="44" t="s">
        <v>1623</v>
      </c>
      <c r="X174" s="44" t="s">
        <v>3021</v>
      </c>
      <c r="Z174" s="44"/>
      <c r="AA174" s="115"/>
      <c r="AB174" s="115"/>
      <c r="AC174" s="380"/>
      <c r="AD174" s="68"/>
      <c r="AE174" s="115"/>
      <c r="AF174" s="115"/>
      <c r="AG174" s="115"/>
      <c r="AH174" s="115"/>
      <c r="AI174" s="115"/>
      <c r="AJ174" s="115"/>
      <c r="AK174" s="115"/>
    </row>
    <row r="175" spans="2:37" ht="10.5" customHeight="1">
      <c r="B175" s="236"/>
      <c r="C175" s="310" t="s">
        <v>617</v>
      </c>
      <c r="D175" s="353"/>
      <c r="E175" s="236"/>
      <c r="F175" s="236" t="s">
        <v>1278</v>
      </c>
      <c r="G175" s="786" t="s">
        <v>2332</v>
      </c>
      <c r="H175" s="786" t="s">
        <v>1138</v>
      </c>
      <c r="I175" s="787" t="s">
        <v>186</v>
      </c>
      <c r="J175" s="787" t="s">
        <v>2401</v>
      </c>
      <c r="K175" s="788" t="s">
        <v>583</v>
      </c>
      <c r="L175" s="789" t="s">
        <v>398</v>
      </c>
      <c r="M175" s="1975" t="s">
        <v>2393</v>
      </c>
      <c r="N175" s="789" t="s">
        <v>1658</v>
      </c>
      <c r="O175" s="1000" t="s">
        <v>3536</v>
      </c>
      <c r="P175" s="241" t="s">
        <v>943</v>
      </c>
      <c r="Q175" s="392"/>
      <c r="R175" s="147"/>
      <c r="S175" s="236"/>
      <c r="T175" s="392" t="s">
        <v>1659</v>
      </c>
      <c r="U175" s="392" t="s">
        <v>116</v>
      </c>
      <c r="W175" s="44" t="s">
        <v>959</v>
      </c>
      <c r="X175" s="44" t="s">
        <v>3021</v>
      </c>
      <c r="Z175" s="44"/>
      <c r="AA175" s="115"/>
      <c r="AB175" s="115"/>
      <c r="AC175" s="380"/>
      <c r="AD175" s="68"/>
      <c r="AE175" s="115"/>
      <c r="AF175" s="115"/>
      <c r="AG175" s="115"/>
      <c r="AH175" s="115"/>
      <c r="AI175" s="115"/>
      <c r="AJ175" s="115"/>
      <c r="AK175" s="115"/>
    </row>
    <row r="176" spans="2:37" ht="10.5" customHeight="1">
      <c r="B176" s="236"/>
      <c r="C176" s="310" t="s">
        <v>619</v>
      </c>
      <c r="D176" s="353"/>
      <c r="E176" s="236"/>
      <c r="F176" s="236" t="s">
        <v>1279</v>
      </c>
      <c r="G176" s="786" t="s">
        <v>187</v>
      </c>
      <c r="H176" s="786" t="s">
        <v>1234</v>
      </c>
      <c r="I176" s="790" t="s">
        <v>1425</v>
      </c>
      <c r="J176" s="790" t="s">
        <v>2402</v>
      </c>
      <c r="K176" s="788" t="s">
        <v>1563</v>
      </c>
      <c r="L176" s="789" t="s">
        <v>399</v>
      </c>
      <c r="M176" s="1975" t="s">
        <v>2393</v>
      </c>
      <c r="N176" s="789" t="s">
        <v>1425</v>
      </c>
      <c r="O176" s="1000" t="s">
        <v>3537</v>
      </c>
      <c r="P176" s="241" t="s">
        <v>1858</v>
      </c>
      <c r="Q176" s="392"/>
      <c r="R176" s="147"/>
      <c r="S176" s="236"/>
      <c r="T176" s="392" t="s">
        <v>2339</v>
      </c>
      <c r="U176" s="392" t="s">
        <v>157</v>
      </c>
      <c r="W176" s="44" t="s">
        <v>962</v>
      </c>
      <c r="X176" s="44" t="s">
        <v>3021</v>
      </c>
      <c r="Z176" s="44"/>
      <c r="AA176" s="115"/>
      <c r="AB176" s="115"/>
      <c r="AC176" s="380"/>
      <c r="AD176" s="68"/>
      <c r="AE176" s="115"/>
      <c r="AF176" s="115"/>
      <c r="AG176" s="115"/>
      <c r="AH176" s="115"/>
      <c r="AI176" s="115"/>
      <c r="AJ176" s="115"/>
      <c r="AK176" s="115"/>
    </row>
    <row r="177" spans="2:37" ht="10.5" customHeight="1">
      <c r="B177" s="236"/>
      <c r="C177" s="310" t="s">
        <v>622</v>
      </c>
      <c r="D177" s="353"/>
      <c r="E177" s="236"/>
      <c r="F177" s="236" t="s">
        <v>1280</v>
      </c>
      <c r="G177" s="786" t="s">
        <v>188</v>
      </c>
      <c r="H177" s="786" t="s">
        <v>1234</v>
      </c>
      <c r="I177" s="790" t="s">
        <v>712</v>
      </c>
      <c r="J177" s="790" t="s">
        <v>2402</v>
      </c>
      <c r="K177" s="788" t="s">
        <v>6731</v>
      </c>
      <c r="L177" s="789" t="s">
        <v>399</v>
      </c>
      <c r="M177" s="1975" t="s">
        <v>1123</v>
      </c>
      <c r="N177" s="789" t="s">
        <v>1132</v>
      </c>
      <c r="O177" s="1000" t="s">
        <v>3538</v>
      </c>
      <c r="P177" s="241" t="s">
        <v>12</v>
      </c>
      <c r="Q177" s="392"/>
      <c r="R177" s="147"/>
      <c r="S177" s="236"/>
      <c r="T177" s="392" t="s">
        <v>944</v>
      </c>
      <c r="U177" s="392" t="s">
        <v>404</v>
      </c>
      <c r="W177" s="44" t="s">
        <v>1634</v>
      </c>
      <c r="X177" s="44" t="s">
        <v>3021</v>
      </c>
      <c r="Z177" s="44"/>
      <c r="AA177" s="115"/>
      <c r="AB177" s="115"/>
      <c r="AC177" s="380"/>
      <c r="AD177" s="68"/>
      <c r="AE177" s="115"/>
      <c r="AF177" s="115"/>
      <c r="AG177" s="115"/>
      <c r="AH177" s="115"/>
      <c r="AI177" s="115"/>
      <c r="AJ177" s="115"/>
      <c r="AK177" s="115"/>
    </row>
    <row r="178" spans="2:37" ht="10.5" customHeight="1">
      <c r="B178" s="236"/>
      <c r="C178" s="310" t="s">
        <v>624</v>
      </c>
      <c r="D178" s="353"/>
      <c r="E178" s="236"/>
      <c r="F178" s="236" t="s">
        <v>1281</v>
      </c>
      <c r="G178" s="786" t="s">
        <v>189</v>
      </c>
      <c r="H178" s="786" t="s">
        <v>1138</v>
      </c>
      <c r="I178" s="787" t="s">
        <v>190</v>
      </c>
      <c r="J178" s="787" t="s">
        <v>2401</v>
      </c>
      <c r="K178" s="788" t="s">
        <v>584</v>
      </c>
      <c r="L178" s="789" t="s">
        <v>398</v>
      </c>
      <c r="M178" s="1975" t="s">
        <v>2393</v>
      </c>
      <c r="N178" s="789" t="s">
        <v>1658</v>
      </c>
      <c r="O178" s="1000" t="s">
        <v>3539</v>
      </c>
      <c r="P178" s="241" t="s">
        <v>2067</v>
      </c>
      <c r="Q178" s="392"/>
      <c r="R178" s="147"/>
      <c r="S178" s="236"/>
      <c r="T178" s="392" t="s">
        <v>1237</v>
      </c>
      <c r="U178" s="392" t="s">
        <v>315</v>
      </c>
      <c r="W178" s="44" t="s">
        <v>1914</v>
      </c>
      <c r="X178" s="44" t="s">
        <v>3021</v>
      </c>
      <c r="Z178" s="44"/>
      <c r="AA178" s="115"/>
      <c r="AB178" s="115"/>
      <c r="AC178" s="380"/>
      <c r="AD178" s="68"/>
      <c r="AE178" s="115"/>
      <c r="AF178" s="115"/>
      <c r="AG178" s="115"/>
      <c r="AH178" s="115"/>
      <c r="AI178" s="115"/>
      <c r="AJ178" s="115"/>
      <c r="AK178" s="115"/>
    </row>
    <row r="179" spans="2:37" ht="10.5" customHeight="1">
      <c r="B179" s="236"/>
      <c r="C179" s="310" t="s">
        <v>626</v>
      </c>
      <c r="D179" s="353"/>
      <c r="E179" s="236"/>
      <c r="F179" s="236" t="s">
        <v>1282</v>
      </c>
      <c r="G179" s="786" t="s">
        <v>191</v>
      </c>
      <c r="H179" s="786" t="s">
        <v>1670</v>
      </c>
      <c r="I179" s="790" t="s">
        <v>712</v>
      </c>
      <c r="J179" s="790" t="s">
        <v>2402</v>
      </c>
      <c r="K179" s="788" t="s">
        <v>6731</v>
      </c>
      <c r="L179" s="789" t="s">
        <v>399</v>
      </c>
      <c r="M179" s="1975" t="s">
        <v>1123</v>
      </c>
      <c r="N179" s="789" t="s">
        <v>1132</v>
      </c>
      <c r="O179" s="1000" t="s">
        <v>3540</v>
      </c>
      <c r="P179" s="241" t="s">
        <v>2069</v>
      </c>
      <c r="Q179" s="392"/>
      <c r="R179" s="147"/>
      <c r="S179" s="236"/>
      <c r="T179" s="392" t="s">
        <v>13</v>
      </c>
      <c r="U179" s="392" t="s">
        <v>1553</v>
      </c>
      <c r="W179" s="44" t="s">
        <v>1916</v>
      </c>
      <c r="X179" s="44" t="s">
        <v>3021</v>
      </c>
      <c r="Z179" s="44"/>
      <c r="AA179" s="115"/>
      <c r="AB179" s="115"/>
      <c r="AC179" s="380"/>
      <c r="AD179" s="68"/>
      <c r="AE179" s="115"/>
      <c r="AF179" s="115"/>
      <c r="AG179" s="115"/>
      <c r="AH179" s="115"/>
      <c r="AI179" s="115"/>
      <c r="AJ179" s="115"/>
      <c r="AK179" s="115"/>
    </row>
    <row r="180" spans="2:37" ht="10.5" customHeight="1">
      <c r="B180" s="236"/>
      <c r="C180" s="310" t="s">
        <v>117</v>
      </c>
      <c r="D180" s="353"/>
      <c r="E180" s="236"/>
      <c r="F180" s="236" t="s">
        <v>1283</v>
      </c>
      <c r="G180" s="786" t="s">
        <v>192</v>
      </c>
      <c r="H180" s="786" t="s">
        <v>1138</v>
      </c>
      <c r="I180" s="787" t="s">
        <v>892</v>
      </c>
      <c r="J180" s="787" t="s">
        <v>2401</v>
      </c>
      <c r="K180" s="788" t="s">
        <v>1818</v>
      </c>
      <c r="L180" s="789" t="s">
        <v>398</v>
      </c>
      <c r="M180" s="1975" t="s">
        <v>2393</v>
      </c>
      <c r="N180" s="789" t="s">
        <v>1243</v>
      </c>
      <c r="O180" s="1000" t="s">
        <v>3541</v>
      </c>
      <c r="P180" s="241" t="s">
        <v>2071</v>
      </c>
      <c r="Q180" s="392"/>
      <c r="R180" s="147"/>
      <c r="S180" s="236"/>
      <c r="T180" s="236" t="s">
        <v>2068</v>
      </c>
      <c r="U180" s="236" t="s">
        <v>1137</v>
      </c>
      <c r="W180" s="44" t="s">
        <v>630</v>
      </c>
      <c r="X180" s="44" t="s">
        <v>3021</v>
      </c>
      <c r="Z180" s="44"/>
      <c r="AA180" s="115"/>
      <c r="AB180" s="115"/>
      <c r="AC180" s="68"/>
      <c r="AD180" s="68"/>
      <c r="AE180" s="115"/>
      <c r="AF180" s="115"/>
      <c r="AG180" s="115"/>
      <c r="AH180" s="115"/>
      <c r="AI180" s="115"/>
      <c r="AJ180" s="115"/>
      <c r="AK180" s="115"/>
    </row>
    <row r="181" spans="2:37" ht="10.5" customHeight="1">
      <c r="B181" s="236"/>
      <c r="C181" s="310" t="s">
        <v>300</v>
      </c>
      <c r="D181" s="353"/>
      <c r="E181" s="236"/>
      <c r="F181" s="236" t="s">
        <v>1285</v>
      </c>
      <c r="G181" s="786" t="s">
        <v>893</v>
      </c>
      <c r="H181" s="786" t="s">
        <v>1138</v>
      </c>
      <c r="I181" s="787" t="s">
        <v>894</v>
      </c>
      <c r="J181" s="787" t="s">
        <v>2401</v>
      </c>
      <c r="K181" s="788" t="s">
        <v>1819</v>
      </c>
      <c r="L181" s="789" t="s">
        <v>398</v>
      </c>
      <c r="M181" s="1975" t="s">
        <v>2393</v>
      </c>
      <c r="N181" s="789" t="s">
        <v>1658</v>
      </c>
      <c r="O181" s="1000" t="s">
        <v>3542</v>
      </c>
      <c r="P181" s="241" t="s">
        <v>2098</v>
      </c>
      <c r="Q181" s="392"/>
      <c r="R181" s="147"/>
      <c r="S181" s="236"/>
      <c r="T181" s="392" t="s">
        <v>2070</v>
      </c>
      <c r="U181" s="392" t="s">
        <v>2076</v>
      </c>
      <c r="W181" s="44" t="s">
        <v>1174</v>
      </c>
      <c r="X181" s="44" t="s">
        <v>3021</v>
      </c>
      <c r="Z181" s="44"/>
      <c r="AA181" s="115"/>
      <c r="AB181" s="115"/>
      <c r="AC181" s="380"/>
      <c r="AD181" s="68"/>
      <c r="AE181" s="115"/>
      <c r="AF181" s="115"/>
      <c r="AG181" s="115"/>
      <c r="AH181" s="115"/>
      <c r="AI181" s="115"/>
      <c r="AJ181" s="115"/>
      <c r="AK181" s="115"/>
    </row>
    <row r="182" spans="2:37" ht="10.5" customHeight="1">
      <c r="B182" s="236"/>
      <c r="C182" s="310" t="s">
        <v>714</v>
      </c>
      <c r="D182" s="353"/>
      <c r="E182" s="236"/>
      <c r="F182" s="236" t="s">
        <v>1284</v>
      </c>
      <c r="G182" s="786" t="s">
        <v>895</v>
      </c>
      <c r="H182" s="786" t="s">
        <v>1138</v>
      </c>
      <c r="I182" s="790" t="s">
        <v>1658</v>
      </c>
      <c r="J182" s="790" t="s">
        <v>2402</v>
      </c>
      <c r="K182" s="788" t="s">
        <v>1094</v>
      </c>
      <c r="L182" s="789" t="s">
        <v>399</v>
      </c>
      <c r="M182" s="1975" t="s">
        <v>1123</v>
      </c>
      <c r="N182" s="789" t="s">
        <v>1658</v>
      </c>
      <c r="O182" s="1000" t="s">
        <v>3543</v>
      </c>
      <c r="P182" s="241" t="s">
        <v>1649</v>
      </c>
      <c r="Q182" s="392"/>
      <c r="R182" s="147"/>
      <c r="S182" s="236"/>
      <c r="T182" s="392" t="s">
        <v>2359</v>
      </c>
      <c r="U182" s="392" t="s">
        <v>585</v>
      </c>
      <c r="W182" s="44" t="s">
        <v>1176</v>
      </c>
      <c r="X182" s="44" t="s">
        <v>3021</v>
      </c>
      <c r="Z182" s="44"/>
      <c r="AA182" s="115"/>
      <c r="AB182" s="115"/>
      <c r="AC182" s="380"/>
      <c r="AD182" s="68"/>
      <c r="AE182" s="115"/>
      <c r="AF182" s="115"/>
      <c r="AG182" s="115"/>
      <c r="AH182" s="115"/>
      <c r="AI182" s="115"/>
      <c r="AJ182" s="115"/>
      <c r="AK182" s="115"/>
    </row>
    <row r="183" spans="2:37" ht="10.5" customHeight="1">
      <c r="B183" s="236"/>
      <c r="C183" s="310" t="s">
        <v>304</v>
      </c>
      <c r="D183" s="353"/>
      <c r="E183" s="236"/>
      <c r="F183" s="236" t="s">
        <v>1286</v>
      </c>
      <c r="G183" s="786" t="s">
        <v>815</v>
      </c>
      <c r="H183" s="786" t="s">
        <v>1234</v>
      </c>
      <c r="I183" s="790" t="s">
        <v>712</v>
      </c>
      <c r="J183" s="790" t="s">
        <v>2402</v>
      </c>
      <c r="K183" s="788" t="s">
        <v>6731</v>
      </c>
      <c r="L183" s="789" t="s">
        <v>399</v>
      </c>
      <c r="M183" s="1975" t="s">
        <v>1123</v>
      </c>
      <c r="N183" s="789" t="s">
        <v>1132</v>
      </c>
      <c r="O183" s="1000" t="s">
        <v>3544</v>
      </c>
      <c r="P183" s="241" t="s">
        <v>1651</v>
      </c>
      <c r="Q183" s="392"/>
      <c r="R183" s="147"/>
      <c r="S183" s="236"/>
      <c r="T183" s="392" t="s">
        <v>2072</v>
      </c>
      <c r="U183" s="392" t="s">
        <v>115</v>
      </c>
      <c r="W183" s="44" t="s">
        <v>2288</v>
      </c>
      <c r="X183" s="44" t="s">
        <v>3021</v>
      </c>
      <c r="Z183" s="44"/>
      <c r="AA183" s="115"/>
      <c r="AB183" s="115"/>
      <c r="AC183" s="380"/>
      <c r="AD183" s="68"/>
      <c r="AE183" s="115"/>
      <c r="AF183" s="115"/>
      <c r="AG183" s="115"/>
      <c r="AH183" s="115"/>
      <c r="AI183" s="115"/>
      <c r="AJ183" s="115"/>
      <c r="AK183" s="115"/>
    </row>
    <row r="184" spans="2:37" ht="10.5" customHeight="1">
      <c r="B184" s="236"/>
      <c r="C184" s="310" t="s">
        <v>974</v>
      </c>
      <c r="D184" s="353"/>
      <c r="E184" s="236"/>
      <c r="F184" s="236" t="s">
        <v>1288</v>
      </c>
      <c r="G184" s="786" t="s">
        <v>816</v>
      </c>
      <c r="H184" s="786" t="s">
        <v>1138</v>
      </c>
      <c r="I184" s="787" t="s">
        <v>817</v>
      </c>
      <c r="J184" s="787" t="s">
        <v>2401</v>
      </c>
      <c r="K184" s="788" t="s">
        <v>1820</v>
      </c>
      <c r="L184" s="789" t="s">
        <v>398</v>
      </c>
      <c r="M184" s="1975" t="s">
        <v>2393</v>
      </c>
      <c r="N184" s="789" t="s">
        <v>1658</v>
      </c>
      <c r="O184" s="1000" t="s">
        <v>3545</v>
      </c>
      <c r="P184" s="241" t="s">
        <v>2004</v>
      </c>
      <c r="Q184" s="392"/>
      <c r="R184" s="147"/>
      <c r="S184" s="236"/>
      <c r="T184" s="392" t="s">
        <v>1627</v>
      </c>
      <c r="U184" s="392" t="s">
        <v>2294</v>
      </c>
      <c r="W184" s="44" t="s">
        <v>2297</v>
      </c>
      <c r="X184" s="44" t="s">
        <v>3021</v>
      </c>
      <c r="Z184" s="44"/>
      <c r="AA184" s="115"/>
      <c r="AB184" s="115"/>
      <c r="AC184" s="380"/>
      <c r="AD184" s="68"/>
      <c r="AE184" s="115"/>
      <c r="AF184" s="115"/>
      <c r="AG184" s="115"/>
      <c r="AH184" s="115"/>
      <c r="AI184" s="115"/>
      <c r="AJ184" s="115"/>
      <c r="AK184" s="115"/>
    </row>
    <row r="185" spans="2:37" ht="10.5" customHeight="1">
      <c r="B185" s="236"/>
      <c r="C185" s="310" t="s">
        <v>309</v>
      </c>
      <c r="D185" s="353"/>
      <c r="E185" s="236"/>
      <c r="F185" s="236" t="s">
        <v>1287</v>
      </c>
      <c r="G185" s="786" t="s">
        <v>818</v>
      </c>
      <c r="H185" s="786" t="s">
        <v>1138</v>
      </c>
      <c r="I185" s="787" t="s">
        <v>1578</v>
      </c>
      <c r="J185" s="787" t="s">
        <v>2402</v>
      </c>
      <c r="K185" s="788" t="s">
        <v>2378</v>
      </c>
      <c r="L185" s="789" t="s">
        <v>399</v>
      </c>
      <c r="M185" s="1975" t="s">
        <v>2393</v>
      </c>
      <c r="N185" s="789" t="s">
        <v>1578</v>
      </c>
      <c r="O185" s="1000" t="s">
        <v>3546</v>
      </c>
      <c r="P185" s="241" t="s">
        <v>2005</v>
      </c>
      <c r="Q185" s="392"/>
      <c r="R185" s="147"/>
      <c r="S185" s="236"/>
      <c r="T185" s="392" t="s">
        <v>1650</v>
      </c>
      <c r="U185" s="392" t="s">
        <v>1236</v>
      </c>
      <c r="W185" s="44" t="s">
        <v>82</v>
      </c>
      <c r="X185" s="44" t="s">
        <v>3021</v>
      </c>
      <c r="Z185" s="44"/>
      <c r="AA185" s="115"/>
      <c r="AB185" s="115"/>
      <c r="AC185" s="380"/>
      <c r="AD185" s="68"/>
      <c r="AE185" s="115"/>
      <c r="AF185" s="115"/>
      <c r="AG185" s="115"/>
      <c r="AH185" s="115"/>
      <c r="AI185" s="115"/>
      <c r="AJ185" s="115"/>
      <c r="AK185" s="115"/>
    </row>
    <row r="186" spans="2:37" ht="10.5" customHeight="1">
      <c r="B186" s="236"/>
      <c r="C186" s="309" t="s">
        <v>311</v>
      </c>
      <c r="D186" s="353"/>
      <c r="E186" s="236"/>
      <c r="F186" s="236" t="s">
        <v>1289</v>
      </c>
      <c r="G186" s="786" t="s">
        <v>819</v>
      </c>
      <c r="H186" s="786" t="s">
        <v>1138</v>
      </c>
      <c r="I186" s="790" t="s">
        <v>1249</v>
      </c>
      <c r="J186" s="790" t="s">
        <v>2402</v>
      </c>
      <c r="K186" s="788" t="s">
        <v>1373</v>
      </c>
      <c r="L186" s="789" t="s">
        <v>399</v>
      </c>
      <c r="M186" s="1975" t="s">
        <v>2393</v>
      </c>
      <c r="N186" s="789" t="s">
        <v>1249</v>
      </c>
      <c r="O186" s="1000" t="s">
        <v>3547</v>
      </c>
      <c r="P186" s="241" t="s">
        <v>2250</v>
      </c>
      <c r="Q186" s="241"/>
      <c r="R186" s="147"/>
      <c r="S186" s="236"/>
      <c r="T186" s="392" t="s">
        <v>1652</v>
      </c>
      <c r="U186" s="392" t="s">
        <v>1864</v>
      </c>
      <c r="W186" s="44" t="s">
        <v>1161</v>
      </c>
      <c r="X186" s="44" t="s">
        <v>3021</v>
      </c>
      <c r="Z186" s="44"/>
      <c r="AA186" s="115"/>
      <c r="AB186" s="115"/>
      <c r="AC186" s="380"/>
      <c r="AD186" s="380"/>
      <c r="AE186" s="115"/>
      <c r="AF186" s="115"/>
      <c r="AG186" s="115"/>
      <c r="AH186" s="115"/>
      <c r="AI186" s="115"/>
      <c r="AJ186" s="115"/>
      <c r="AK186" s="115"/>
    </row>
    <row r="187" spans="2:37" ht="10.5" customHeight="1">
      <c r="B187" s="236"/>
      <c r="C187" s="310" t="s">
        <v>314</v>
      </c>
      <c r="D187" s="353"/>
      <c r="E187" s="236"/>
      <c r="F187" s="409"/>
      <c r="G187" s="786" t="s">
        <v>820</v>
      </c>
      <c r="H187" s="786" t="s">
        <v>1234</v>
      </c>
      <c r="I187" s="787" t="s">
        <v>821</v>
      </c>
      <c r="J187" s="787" t="s">
        <v>2401</v>
      </c>
      <c r="K187" s="788" t="s">
        <v>1258</v>
      </c>
      <c r="L187" s="789" t="s">
        <v>398</v>
      </c>
      <c r="M187" s="1975" t="s">
        <v>2393</v>
      </c>
      <c r="N187" s="789" t="s">
        <v>159</v>
      </c>
      <c r="O187" s="1000" t="s">
        <v>3548</v>
      </c>
      <c r="P187" s="241" t="s">
        <v>2252</v>
      </c>
      <c r="Q187" s="241"/>
      <c r="R187" s="147"/>
      <c r="S187" s="236"/>
      <c r="T187" s="392" t="s">
        <v>768</v>
      </c>
      <c r="U187" s="392" t="s">
        <v>2383</v>
      </c>
      <c r="W187" s="44" t="s">
        <v>154</v>
      </c>
      <c r="X187" s="44" t="s">
        <v>3021</v>
      </c>
      <c r="Z187" s="44"/>
      <c r="AA187" s="115"/>
      <c r="AB187" s="115"/>
      <c r="AC187" s="380"/>
      <c r="AD187" s="68"/>
      <c r="AE187" s="115"/>
      <c r="AF187" s="115"/>
      <c r="AG187" s="115"/>
      <c r="AH187" s="115"/>
      <c r="AI187" s="115"/>
      <c r="AJ187" s="115"/>
      <c r="AK187" s="115"/>
    </row>
    <row r="188" spans="2:37" ht="10.5" customHeight="1">
      <c r="B188" s="236"/>
      <c r="C188" s="309" t="s">
        <v>316</v>
      </c>
      <c r="D188" s="353"/>
      <c r="E188" s="236"/>
      <c r="F188" s="409"/>
      <c r="G188" s="786" t="s">
        <v>2074</v>
      </c>
      <c r="H188" s="786" t="s">
        <v>1138</v>
      </c>
      <c r="I188" s="787" t="s">
        <v>2075</v>
      </c>
      <c r="J188" s="787" t="s">
        <v>2401</v>
      </c>
      <c r="K188" s="788" t="s">
        <v>1259</v>
      </c>
      <c r="L188" s="789" t="s">
        <v>398</v>
      </c>
      <c r="M188" s="1975" t="s">
        <v>2393</v>
      </c>
      <c r="N188" s="789" t="s">
        <v>1253</v>
      </c>
      <c r="O188" s="1000" t="s">
        <v>3549</v>
      </c>
      <c r="P188" s="241" t="s">
        <v>2254</v>
      </c>
      <c r="Q188" s="241"/>
      <c r="R188" s="147"/>
      <c r="S188" s="236"/>
      <c r="T188" s="236" t="s">
        <v>2006</v>
      </c>
      <c r="U188" s="236" t="s">
        <v>2385</v>
      </c>
      <c r="W188" s="44" t="s">
        <v>837</v>
      </c>
      <c r="X188" s="44" t="s">
        <v>3021</v>
      </c>
      <c r="Z188" s="44"/>
      <c r="AA188" s="115"/>
      <c r="AB188" s="115"/>
      <c r="AC188" s="68"/>
      <c r="AD188" s="68"/>
      <c r="AE188" s="115"/>
      <c r="AF188" s="115"/>
      <c r="AG188" s="115"/>
      <c r="AH188" s="115"/>
      <c r="AI188" s="115"/>
      <c r="AJ188" s="115"/>
      <c r="AK188" s="115"/>
    </row>
    <row r="189" spans="2:37" ht="10.5" customHeight="1">
      <c r="B189" s="236"/>
      <c r="C189" s="310" t="s">
        <v>318</v>
      </c>
      <c r="D189" s="353"/>
      <c r="E189" s="236"/>
      <c r="F189" s="409"/>
      <c r="G189" s="786" t="s">
        <v>2076</v>
      </c>
      <c r="H189" s="786" t="s">
        <v>1138</v>
      </c>
      <c r="I189" s="787" t="s">
        <v>608</v>
      </c>
      <c r="J189" s="787" t="s">
        <v>2401</v>
      </c>
      <c r="K189" s="788" t="s">
        <v>1260</v>
      </c>
      <c r="L189" s="789" t="s">
        <v>398</v>
      </c>
      <c r="M189" s="1975" t="s">
        <v>2393</v>
      </c>
      <c r="N189" s="789" t="s">
        <v>1249</v>
      </c>
      <c r="O189" s="1000" t="s">
        <v>3550</v>
      </c>
      <c r="P189" s="241" t="s">
        <v>2256</v>
      </c>
      <c r="Q189" s="241"/>
      <c r="R189" s="147"/>
      <c r="S189" s="236"/>
      <c r="T189" s="392" t="s">
        <v>2251</v>
      </c>
      <c r="U189" s="392" t="s">
        <v>1030</v>
      </c>
      <c r="W189" s="44" t="s">
        <v>1987</v>
      </c>
      <c r="X189" s="44" t="s">
        <v>3021</v>
      </c>
      <c r="Z189" s="44"/>
      <c r="AA189" s="115"/>
      <c r="AB189" s="115"/>
      <c r="AC189" s="380"/>
      <c r="AD189" s="714"/>
      <c r="AE189" s="115"/>
      <c r="AF189" s="115"/>
      <c r="AG189" s="115"/>
      <c r="AH189" s="115"/>
      <c r="AI189" s="115"/>
      <c r="AJ189" s="115"/>
      <c r="AK189" s="115"/>
    </row>
    <row r="190" spans="2:37" ht="10.5" customHeight="1">
      <c r="B190" s="236"/>
      <c r="C190" s="310" t="s">
        <v>320</v>
      </c>
      <c r="D190" s="353"/>
      <c r="E190" s="236"/>
      <c r="F190" s="409"/>
      <c r="G190" s="786" t="s">
        <v>609</v>
      </c>
      <c r="H190" s="786" t="s">
        <v>1234</v>
      </c>
      <c r="I190" s="787" t="s">
        <v>610</v>
      </c>
      <c r="J190" s="787" t="s">
        <v>2401</v>
      </c>
      <c r="K190" s="788" t="s">
        <v>1261</v>
      </c>
      <c r="L190" s="789" t="s">
        <v>398</v>
      </c>
      <c r="M190" s="1975" t="s">
        <v>2393</v>
      </c>
      <c r="N190" s="789" t="s">
        <v>1132</v>
      </c>
      <c r="O190" s="1000" t="s">
        <v>3551</v>
      </c>
      <c r="P190" s="241" t="s">
        <v>2257</v>
      </c>
      <c r="Q190" s="241"/>
      <c r="R190" s="147"/>
      <c r="S190" s="236"/>
      <c r="T190" s="392" t="s">
        <v>2360</v>
      </c>
      <c r="U190" s="392" t="s">
        <v>306</v>
      </c>
      <c r="W190" s="44" t="s">
        <v>1908</v>
      </c>
      <c r="X190" s="44" t="s">
        <v>3021</v>
      </c>
      <c r="Z190" s="44"/>
      <c r="AA190" s="115"/>
      <c r="AB190" s="115"/>
      <c r="AC190" s="380"/>
      <c r="AD190" s="68"/>
      <c r="AE190" s="115"/>
      <c r="AF190" s="115"/>
      <c r="AG190" s="115"/>
      <c r="AH190" s="115"/>
      <c r="AI190" s="115"/>
      <c r="AJ190" s="115"/>
      <c r="AK190" s="115"/>
    </row>
    <row r="191" spans="2:37" ht="10.5" customHeight="1">
      <c r="B191" s="236"/>
      <c r="C191" s="310" t="s">
        <v>715</v>
      </c>
      <c r="D191" s="353"/>
      <c r="E191" s="236"/>
      <c r="F191" s="409"/>
      <c r="G191" s="786" t="s">
        <v>611</v>
      </c>
      <c r="H191" s="786" t="s">
        <v>1234</v>
      </c>
      <c r="I191" s="790" t="s">
        <v>712</v>
      </c>
      <c r="J191" s="790" t="s">
        <v>2402</v>
      </c>
      <c r="K191" s="788" t="s">
        <v>6731</v>
      </c>
      <c r="L191" s="789" t="s">
        <v>399</v>
      </c>
      <c r="M191" s="1975" t="s">
        <v>1123</v>
      </c>
      <c r="N191" s="789" t="s">
        <v>1132</v>
      </c>
      <c r="O191" s="1000" t="s">
        <v>3552</v>
      </c>
      <c r="P191" s="241" t="s">
        <v>2063</v>
      </c>
      <c r="Q191" s="241"/>
      <c r="R191" s="147"/>
      <c r="S191" s="236"/>
      <c r="T191" s="392" t="s">
        <v>2253</v>
      </c>
      <c r="U191" s="392" t="s">
        <v>1781</v>
      </c>
      <c r="W191" s="44" t="s">
        <v>557</v>
      </c>
      <c r="X191" s="44" t="s">
        <v>3021</v>
      </c>
      <c r="Z191" s="44"/>
      <c r="AA191" s="115"/>
      <c r="AB191" s="115"/>
      <c r="AC191" s="380"/>
      <c r="AD191" s="68"/>
      <c r="AE191" s="115"/>
      <c r="AF191" s="115"/>
      <c r="AG191" s="115"/>
      <c r="AH191" s="115"/>
      <c r="AI191" s="115"/>
      <c r="AJ191" s="115"/>
      <c r="AK191" s="115"/>
    </row>
    <row r="192" spans="2:37" ht="10.5" customHeight="1">
      <c r="B192" s="236"/>
      <c r="C192" s="310" t="s">
        <v>1365</v>
      </c>
      <c r="D192" s="353"/>
      <c r="E192" s="236"/>
      <c r="F192" s="409"/>
      <c r="G192" s="786" t="s">
        <v>612</v>
      </c>
      <c r="H192" s="786" t="s">
        <v>1234</v>
      </c>
      <c r="I192" s="790" t="s">
        <v>2097</v>
      </c>
      <c r="J192" s="790" t="s">
        <v>2402</v>
      </c>
      <c r="K192" s="788" t="s">
        <v>1262</v>
      </c>
      <c r="L192" s="789" t="s">
        <v>399</v>
      </c>
      <c r="M192" s="1975" t="s">
        <v>1123</v>
      </c>
      <c r="N192" s="789" t="s">
        <v>1132</v>
      </c>
      <c r="O192" s="1000" t="s">
        <v>3553</v>
      </c>
      <c r="P192" s="241" t="s">
        <v>662</v>
      </c>
      <c r="Q192" s="241"/>
      <c r="R192" s="147"/>
      <c r="S192" s="236"/>
      <c r="T192" s="392" t="s">
        <v>2255</v>
      </c>
      <c r="U192" s="392" t="s">
        <v>816</v>
      </c>
      <c r="W192" s="44" t="s">
        <v>559</v>
      </c>
      <c r="X192" s="44" t="s">
        <v>3021</v>
      </c>
      <c r="Z192" s="44"/>
      <c r="AA192" s="115"/>
      <c r="AB192" s="115"/>
      <c r="AC192" s="380"/>
      <c r="AD192" s="68"/>
      <c r="AE192" s="115"/>
      <c r="AF192" s="115"/>
      <c r="AG192" s="115"/>
      <c r="AH192" s="115"/>
      <c r="AI192" s="115"/>
      <c r="AJ192" s="115"/>
      <c r="AK192" s="115"/>
    </row>
    <row r="193" spans="2:37" ht="10.5" customHeight="1">
      <c r="B193" s="236"/>
      <c r="C193" s="310" t="s">
        <v>1369</v>
      </c>
      <c r="D193" s="353"/>
      <c r="E193" s="236"/>
      <c r="F193" s="409"/>
      <c r="G193" s="786" t="s">
        <v>613</v>
      </c>
      <c r="H193" s="786" t="s">
        <v>1234</v>
      </c>
      <c r="I193" s="790" t="s">
        <v>712</v>
      </c>
      <c r="J193" s="790" t="s">
        <v>2402</v>
      </c>
      <c r="K193" s="788" t="s">
        <v>6731</v>
      </c>
      <c r="L193" s="789" t="s">
        <v>399</v>
      </c>
      <c r="M193" s="1975" t="s">
        <v>1123</v>
      </c>
      <c r="N193" s="789" t="s">
        <v>1132</v>
      </c>
      <c r="O193" s="1000" t="s">
        <v>3554</v>
      </c>
      <c r="P193" s="241" t="s">
        <v>664</v>
      </c>
      <c r="Q193" s="241"/>
      <c r="R193" s="147"/>
      <c r="S193" s="236"/>
      <c r="T193" s="392" t="s">
        <v>2258</v>
      </c>
      <c r="U193" s="392" t="s">
        <v>152</v>
      </c>
      <c r="W193" s="44" t="s">
        <v>2331</v>
      </c>
      <c r="X193" s="44" t="s">
        <v>3021</v>
      </c>
      <c r="Z193" s="44"/>
      <c r="AA193" s="115"/>
      <c r="AB193" s="115"/>
      <c r="AC193" s="380"/>
      <c r="AD193" s="68"/>
      <c r="AE193" s="115"/>
      <c r="AF193" s="115"/>
      <c r="AG193" s="115"/>
      <c r="AH193" s="115"/>
      <c r="AI193" s="115"/>
      <c r="AJ193" s="115"/>
      <c r="AK193" s="115"/>
    </row>
    <row r="194" spans="2:37" ht="10.5" customHeight="1">
      <c r="B194" s="236"/>
      <c r="C194" s="310" t="s">
        <v>1371</v>
      </c>
      <c r="D194" s="353"/>
      <c r="E194" s="236"/>
      <c r="F194" s="409"/>
      <c r="G194" s="786" t="s">
        <v>614</v>
      </c>
      <c r="H194" s="786" t="s">
        <v>1234</v>
      </c>
      <c r="I194" s="790" t="s">
        <v>615</v>
      </c>
      <c r="J194" s="790" t="s">
        <v>2401</v>
      </c>
      <c r="K194" s="788" t="s">
        <v>1263</v>
      </c>
      <c r="L194" s="789" t="s">
        <v>398</v>
      </c>
      <c r="M194" s="1975" t="s">
        <v>2393</v>
      </c>
      <c r="N194" s="789" t="s">
        <v>159</v>
      </c>
      <c r="O194" s="1000" t="s">
        <v>3555</v>
      </c>
      <c r="P194" s="241" t="s">
        <v>666</v>
      </c>
      <c r="Q194" s="241"/>
      <c r="R194" s="147"/>
      <c r="S194" s="236"/>
      <c r="T194" s="392" t="s">
        <v>2064</v>
      </c>
      <c r="U194" s="392" t="s">
        <v>609</v>
      </c>
      <c r="W194" s="44" t="s">
        <v>563</v>
      </c>
      <c r="X194" s="44" t="s">
        <v>3021</v>
      </c>
      <c r="Z194" s="44"/>
      <c r="AA194" s="115"/>
      <c r="AB194" s="115"/>
      <c r="AC194" s="380"/>
      <c r="AD194" s="68"/>
      <c r="AE194" s="115"/>
      <c r="AF194" s="115"/>
      <c r="AG194" s="115"/>
      <c r="AH194" s="115"/>
      <c r="AI194" s="115"/>
      <c r="AJ194" s="115"/>
      <c r="AK194" s="115"/>
    </row>
    <row r="195" spans="2:37" ht="10.5" customHeight="1">
      <c r="B195" s="236"/>
      <c r="C195" s="310" t="s">
        <v>170</v>
      </c>
      <c r="D195" s="353"/>
      <c r="E195" s="236"/>
      <c r="F195" s="409"/>
      <c r="G195" s="786" t="s">
        <v>1133</v>
      </c>
      <c r="H195" s="786" t="s">
        <v>1670</v>
      </c>
      <c r="I195" s="790" t="s">
        <v>712</v>
      </c>
      <c r="J195" s="790" t="s">
        <v>2402</v>
      </c>
      <c r="K195" s="788" t="s">
        <v>6731</v>
      </c>
      <c r="L195" s="789" t="s">
        <v>399</v>
      </c>
      <c r="M195" s="1975" t="s">
        <v>1123</v>
      </c>
      <c r="N195" s="789" t="s">
        <v>1132</v>
      </c>
      <c r="O195" s="1000" t="s">
        <v>3556</v>
      </c>
      <c r="P195" s="241" t="s">
        <v>668</v>
      </c>
      <c r="Q195" s="241"/>
      <c r="R195" s="147"/>
      <c r="S195" s="236"/>
      <c r="T195" s="392" t="s">
        <v>663</v>
      </c>
      <c r="U195" s="392" t="s">
        <v>2286</v>
      </c>
      <c r="W195" s="44" t="s">
        <v>511</v>
      </c>
      <c r="X195" s="44" t="s">
        <v>3021</v>
      </c>
      <c r="Z195" s="44"/>
      <c r="AA195" s="115"/>
      <c r="AB195" s="115"/>
      <c r="AC195" s="380"/>
      <c r="AD195" s="68"/>
      <c r="AE195" s="115"/>
      <c r="AF195" s="115"/>
      <c r="AG195" s="115"/>
      <c r="AH195" s="115"/>
      <c r="AI195" s="115"/>
      <c r="AJ195" s="115"/>
      <c r="AK195" s="115"/>
    </row>
    <row r="196" spans="2:37" ht="10.5" customHeight="1">
      <c r="B196" s="236"/>
      <c r="C196" s="310" t="s">
        <v>1243</v>
      </c>
      <c r="D196" s="353"/>
      <c r="E196" s="236"/>
      <c r="F196" s="409"/>
      <c r="G196" s="786" t="s">
        <v>616</v>
      </c>
      <c r="H196" s="786" t="s">
        <v>1234</v>
      </c>
      <c r="I196" s="787" t="s">
        <v>617</v>
      </c>
      <c r="J196" s="787" t="s">
        <v>2401</v>
      </c>
      <c r="K196" s="788" t="s">
        <v>229</v>
      </c>
      <c r="L196" s="789" t="s">
        <v>398</v>
      </c>
      <c r="M196" s="1975" t="s">
        <v>2393</v>
      </c>
      <c r="N196" s="789" t="s">
        <v>1132</v>
      </c>
      <c r="O196" s="1000" t="s">
        <v>3557</v>
      </c>
      <c r="P196" s="241" t="s">
        <v>2055</v>
      </c>
      <c r="Q196" s="241"/>
      <c r="R196" s="147"/>
      <c r="S196" s="236"/>
      <c r="T196" s="236" t="s">
        <v>665</v>
      </c>
      <c r="U196" s="236" t="s">
        <v>1045</v>
      </c>
      <c r="W196" s="44" t="s">
        <v>695</v>
      </c>
      <c r="X196" s="44" t="s">
        <v>3021</v>
      </c>
      <c r="Z196" s="44"/>
      <c r="AA196" s="115"/>
      <c r="AB196" s="115"/>
      <c r="AC196" s="68"/>
      <c r="AD196" s="68"/>
      <c r="AE196" s="115"/>
      <c r="AF196" s="115"/>
      <c r="AG196" s="115"/>
      <c r="AH196" s="115"/>
      <c r="AI196" s="115"/>
      <c r="AJ196" s="115"/>
      <c r="AK196" s="115"/>
    </row>
    <row r="197" spans="2:37" ht="10.5" customHeight="1">
      <c r="B197" s="236"/>
      <c r="C197" s="310" t="s">
        <v>171</v>
      </c>
      <c r="D197" s="353"/>
      <c r="E197" s="236"/>
      <c r="F197" s="409"/>
      <c r="G197" s="786" t="s">
        <v>618</v>
      </c>
      <c r="H197" s="786" t="s">
        <v>1234</v>
      </c>
      <c r="I197" s="790" t="s">
        <v>619</v>
      </c>
      <c r="J197" s="790" t="s">
        <v>2401</v>
      </c>
      <c r="K197" s="788" t="s">
        <v>230</v>
      </c>
      <c r="L197" s="789" t="s">
        <v>398</v>
      </c>
      <c r="M197" s="1975" t="s">
        <v>2393</v>
      </c>
      <c r="N197" s="789" t="s">
        <v>1253</v>
      </c>
      <c r="O197" s="1000" t="s">
        <v>3558</v>
      </c>
      <c r="P197" s="241" t="s">
        <v>2056</v>
      </c>
      <c r="Q197" s="241"/>
      <c r="R197" s="147"/>
      <c r="S197" s="236"/>
      <c r="T197" s="392" t="s">
        <v>667</v>
      </c>
      <c r="U197" s="392" t="s">
        <v>2385</v>
      </c>
      <c r="W197" s="44" t="s">
        <v>34</v>
      </c>
      <c r="X197" s="44" t="s">
        <v>3021</v>
      </c>
      <c r="Z197" s="44"/>
      <c r="AA197" s="115"/>
      <c r="AB197" s="115"/>
      <c r="AC197" s="380"/>
      <c r="AD197" s="68"/>
      <c r="AE197" s="115"/>
      <c r="AF197" s="115"/>
      <c r="AG197" s="115"/>
      <c r="AH197" s="115"/>
      <c r="AI197" s="115"/>
      <c r="AJ197" s="115"/>
      <c r="AK197" s="115"/>
    </row>
    <row r="198" spans="2:37" ht="10.5" customHeight="1">
      <c r="B198" s="236"/>
      <c r="C198" s="310" t="s">
        <v>717</v>
      </c>
      <c r="D198" s="353"/>
      <c r="E198" s="236"/>
      <c r="F198" s="409"/>
      <c r="G198" s="786" t="s">
        <v>620</v>
      </c>
      <c r="H198" s="786" t="s">
        <v>1670</v>
      </c>
      <c r="I198" s="787" t="s">
        <v>8</v>
      </c>
      <c r="J198" s="787" t="s">
        <v>2402</v>
      </c>
      <c r="K198" s="788" t="s">
        <v>2377</v>
      </c>
      <c r="L198" s="789" t="s">
        <v>399</v>
      </c>
      <c r="M198" s="1975" t="s">
        <v>1123</v>
      </c>
      <c r="N198" s="789" t="s">
        <v>1249</v>
      </c>
      <c r="O198" s="1000" t="s">
        <v>3559</v>
      </c>
      <c r="P198" s="241" t="s">
        <v>2058</v>
      </c>
      <c r="Q198" s="241"/>
      <c r="R198" s="147"/>
      <c r="S198" s="236"/>
      <c r="T198" s="392" t="s">
        <v>2361</v>
      </c>
      <c r="U198" s="392" t="s">
        <v>2288</v>
      </c>
      <c r="W198" s="44" t="s">
        <v>1827</v>
      </c>
      <c r="X198" s="44" t="s">
        <v>3021</v>
      </c>
      <c r="Z198" s="44"/>
      <c r="AA198" s="115"/>
      <c r="AB198" s="115"/>
      <c r="AC198" s="380"/>
      <c r="AD198" s="68"/>
      <c r="AE198" s="115"/>
      <c r="AF198" s="115"/>
      <c r="AG198" s="115"/>
      <c r="AH198" s="115"/>
      <c r="AI198" s="115"/>
      <c r="AJ198" s="115"/>
      <c r="AK198" s="115"/>
    </row>
    <row r="199" spans="2:37" ht="10.5" customHeight="1">
      <c r="B199" s="236"/>
      <c r="C199" s="310" t="s">
        <v>1526</v>
      </c>
      <c r="D199" s="353"/>
      <c r="E199" s="236"/>
      <c r="F199" s="409"/>
      <c r="G199" s="786" t="s">
        <v>621</v>
      </c>
      <c r="H199" s="786" t="s">
        <v>1234</v>
      </c>
      <c r="I199" s="787" t="s">
        <v>622</v>
      </c>
      <c r="J199" s="787" t="s">
        <v>2401</v>
      </c>
      <c r="K199" s="788" t="s">
        <v>231</v>
      </c>
      <c r="L199" s="789" t="s">
        <v>398</v>
      </c>
      <c r="M199" s="1975" t="s">
        <v>2393</v>
      </c>
      <c r="N199" s="789" t="s">
        <v>1132</v>
      </c>
      <c r="O199" s="1000" t="s">
        <v>3560</v>
      </c>
      <c r="P199" s="241" t="s">
        <v>638</v>
      </c>
      <c r="Q199" s="241"/>
      <c r="R199" s="147"/>
      <c r="S199" s="236"/>
      <c r="T199" s="392" t="s">
        <v>2057</v>
      </c>
      <c r="U199" s="392" t="s">
        <v>1553</v>
      </c>
      <c r="W199" s="44" t="s">
        <v>322</v>
      </c>
      <c r="X199" s="44" t="s">
        <v>3021</v>
      </c>
      <c r="Z199" s="44"/>
      <c r="AA199" s="115"/>
      <c r="AB199" s="115"/>
      <c r="AC199" s="380"/>
      <c r="AD199" s="68"/>
      <c r="AE199" s="115"/>
      <c r="AF199" s="115"/>
      <c r="AG199" s="115"/>
      <c r="AH199" s="115"/>
      <c r="AI199" s="115"/>
      <c r="AJ199" s="115"/>
      <c r="AK199" s="115"/>
    </row>
    <row r="200" spans="2:37" ht="10.5" customHeight="1">
      <c r="B200" s="236"/>
      <c r="C200" s="310" t="s">
        <v>1528</v>
      </c>
      <c r="D200" s="353"/>
      <c r="E200" s="236"/>
      <c r="F200" s="409"/>
      <c r="G200" s="786" t="s">
        <v>623</v>
      </c>
      <c r="H200" s="786" t="s">
        <v>1138</v>
      </c>
      <c r="I200" s="787" t="s">
        <v>624</v>
      </c>
      <c r="J200" s="787" t="s">
        <v>2401</v>
      </c>
      <c r="K200" s="788" t="s">
        <v>380</v>
      </c>
      <c r="L200" s="789" t="s">
        <v>398</v>
      </c>
      <c r="M200" s="1975" t="s">
        <v>2393</v>
      </c>
      <c r="N200" s="789" t="s">
        <v>1658</v>
      </c>
      <c r="O200" s="1000" t="s">
        <v>3561</v>
      </c>
      <c r="P200" s="241" t="s">
        <v>735</v>
      </c>
      <c r="Q200" s="241"/>
      <c r="R200" s="147"/>
      <c r="S200" s="236"/>
      <c r="T200" s="392" t="s">
        <v>2059</v>
      </c>
      <c r="U200" s="392" t="s">
        <v>2379</v>
      </c>
      <c r="W200" s="44" t="s">
        <v>330</v>
      </c>
      <c r="X200" s="44" t="s">
        <v>3021</v>
      </c>
      <c r="Z200" s="44"/>
      <c r="AA200" s="115"/>
      <c r="AB200" s="115"/>
      <c r="AC200" s="380"/>
      <c r="AD200" s="68"/>
      <c r="AE200" s="115"/>
      <c r="AF200" s="115"/>
      <c r="AG200" s="115"/>
      <c r="AH200" s="115"/>
      <c r="AI200" s="115"/>
      <c r="AJ200" s="115"/>
      <c r="AK200" s="115"/>
    </row>
    <row r="201" spans="2:37" ht="10.5" customHeight="1">
      <c r="B201" s="236"/>
      <c r="C201" s="310" t="s">
        <v>1893</v>
      </c>
      <c r="D201" s="353"/>
      <c r="E201" s="236"/>
      <c r="F201" s="409"/>
      <c r="G201" s="786" t="s">
        <v>625</v>
      </c>
      <c r="H201" s="786" t="s">
        <v>1234</v>
      </c>
      <c r="I201" s="787" t="s">
        <v>626</v>
      </c>
      <c r="J201" s="787" t="s">
        <v>2401</v>
      </c>
      <c r="K201" s="788" t="s">
        <v>381</v>
      </c>
      <c r="L201" s="789" t="s">
        <v>398</v>
      </c>
      <c r="M201" s="1975" t="s">
        <v>2393</v>
      </c>
      <c r="N201" s="789" t="s">
        <v>159</v>
      </c>
      <c r="O201" s="1000" t="s">
        <v>3562</v>
      </c>
      <c r="P201" s="241" t="s">
        <v>2100</v>
      </c>
      <c r="Q201" s="241"/>
      <c r="R201" s="147"/>
      <c r="S201" s="236"/>
      <c r="T201" s="392" t="s">
        <v>639</v>
      </c>
      <c r="U201" s="392" t="s">
        <v>686</v>
      </c>
      <c r="W201" s="44" t="s">
        <v>188</v>
      </c>
      <c r="X201" s="44" t="s">
        <v>3021</v>
      </c>
      <c r="Z201" s="44"/>
      <c r="AA201" s="115"/>
      <c r="AB201" s="115"/>
      <c r="AC201" s="380"/>
      <c r="AD201" s="68"/>
      <c r="AE201" s="115"/>
      <c r="AF201" s="115"/>
      <c r="AG201" s="115"/>
      <c r="AH201" s="115"/>
      <c r="AI201" s="115"/>
      <c r="AJ201" s="115"/>
      <c r="AK201" s="115"/>
    </row>
    <row r="202" spans="2:37" ht="10.5" customHeight="1">
      <c r="B202" s="236"/>
      <c r="C202" s="310" t="s">
        <v>178</v>
      </c>
      <c r="D202" s="353"/>
      <c r="E202" s="236"/>
      <c r="F202" s="409"/>
      <c r="G202" s="786" t="s">
        <v>115</v>
      </c>
      <c r="H202" s="786" t="s">
        <v>1234</v>
      </c>
      <c r="I202" s="790" t="s">
        <v>712</v>
      </c>
      <c r="J202" s="790" t="s">
        <v>2402</v>
      </c>
      <c r="K202" s="788" t="s">
        <v>6731</v>
      </c>
      <c r="L202" s="789" t="s">
        <v>399</v>
      </c>
      <c r="M202" s="1975" t="s">
        <v>1123</v>
      </c>
      <c r="N202" s="789" t="s">
        <v>1132</v>
      </c>
      <c r="O202" s="1000" t="s">
        <v>3563</v>
      </c>
      <c r="P202" s="241" t="s">
        <v>2124</v>
      </c>
      <c r="Q202" s="241"/>
      <c r="R202" s="147"/>
      <c r="S202" s="236"/>
      <c r="T202" s="392" t="s">
        <v>2099</v>
      </c>
      <c r="U202" s="392" t="s">
        <v>303</v>
      </c>
      <c r="W202" s="44" t="s">
        <v>2001</v>
      </c>
      <c r="X202" s="44" t="s">
        <v>3021</v>
      </c>
      <c r="Z202" s="44"/>
      <c r="AA202" s="115"/>
      <c r="AB202" s="115"/>
      <c r="AC202" s="380"/>
      <c r="AD202" s="68"/>
      <c r="AE202" s="115"/>
      <c r="AF202" s="115"/>
      <c r="AG202" s="115"/>
      <c r="AH202" s="115"/>
      <c r="AI202" s="115"/>
      <c r="AJ202" s="115"/>
      <c r="AK202" s="115"/>
    </row>
    <row r="203" spans="2:37" ht="10.5" customHeight="1">
      <c r="B203" s="236"/>
      <c r="C203" s="309" t="s">
        <v>2380</v>
      </c>
      <c r="D203" s="353"/>
      <c r="E203" s="236"/>
      <c r="F203" s="409"/>
      <c r="G203" s="786" t="s">
        <v>116</v>
      </c>
      <c r="H203" s="786" t="s">
        <v>1234</v>
      </c>
      <c r="I203" s="787" t="s">
        <v>117</v>
      </c>
      <c r="J203" s="787" t="s">
        <v>2401</v>
      </c>
      <c r="K203" s="788" t="s">
        <v>382</v>
      </c>
      <c r="L203" s="789" t="s">
        <v>398</v>
      </c>
      <c r="M203" s="1975" t="s">
        <v>2393</v>
      </c>
      <c r="N203" s="789" t="s">
        <v>159</v>
      </c>
      <c r="O203" s="1000" t="s">
        <v>3564</v>
      </c>
      <c r="P203" s="241" t="s">
        <v>40</v>
      </c>
      <c r="Q203" s="241"/>
      <c r="R203" s="147"/>
      <c r="S203" s="236"/>
      <c r="T203" s="392" t="s">
        <v>2152</v>
      </c>
      <c r="U203" s="392" t="s">
        <v>820</v>
      </c>
      <c r="W203" s="44" t="s">
        <v>189</v>
      </c>
      <c r="X203" s="44" t="s">
        <v>3021</v>
      </c>
      <c r="Z203" s="44"/>
      <c r="AA203" s="115"/>
      <c r="AB203" s="115"/>
      <c r="AC203" s="713"/>
      <c r="AD203" s="68"/>
      <c r="AE203" s="115"/>
      <c r="AF203" s="115"/>
      <c r="AG203" s="115"/>
      <c r="AH203" s="115"/>
      <c r="AI203" s="115"/>
      <c r="AJ203" s="115"/>
      <c r="AK203" s="115"/>
    </row>
    <row r="204" spans="2:37" ht="10.5" customHeight="1">
      <c r="B204" s="236"/>
      <c r="C204" s="310" t="s">
        <v>2382</v>
      </c>
      <c r="D204" s="353"/>
      <c r="E204" s="236"/>
      <c r="F204" s="409"/>
      <c r="G204" s="786" t="s">
        <v>298</v>
      </c>
      <c r="H204" s="786" t="s">
        <v>1234</v>
      </c>
      <c r="I204" s="787" t="s">
        <v>1148</v>
      </c>
      <c r="J204" s="787" t="s">
        <v>2402</v>
      </c>
      <c r="K204" s="788" t="s">
        <v>383</v>
      </c>
      <c r="L204" s="789" t="s">
        <v>399</v>
      </c>
      <c r="M204" s="1975" t="s">
        <v>1123</v>
      </c>
      <c r="N204" s="789" t="s">
        <v>1132</v>
      </c>
      <c r="O204" s="1000" t="s">
        <v>3565</v>
      </c>
      <c r="P204" s="241" t="s">
        <v>590</v>
      </c>
      <c r="Q204" s="241"/>
      <c r="R204" s="147"/>
      <c r="S204" s="236"/>
      <c r="T204" s="392" t="s">
        <v>41</v>
      </c>
      <c r="U204" s="392" t="s">
        <v>310</v>
      </c>
      <c r="W204" s="44" t="s">
        <v>362</v>
      </c>
      <c r="X204" s="44" t="s">
        <v>3021</v>
      </c>
      <c r="Z204" s="44"/>
      <c r="AA204" s="115"/>
      <c r="AB204" s="115"/>
      <c r="AC204" s="380"/>
      <c r="AD204" s="68"/>
      <c r="AE204" s="115"/>
      <c r="AF204" s="115"/>
      <c r="AG204" s="115"/>
      <c r="AH204" s="115"/>
      <c r="AI204" s="115"/>
      <c r="AJ204" s="115"/>
      <c r="AK204" s="115"/>
    </row>
    <row r="205" spans="2:37" ht="10.5" customHeight="1">
      <c r="B205" s="236"/>
      <c r="C205" s="310" t="s">
        <v>1028</v>
      </c>
      <c r="D205" s="353"/>
      <c r="E205" s="236"/>
      <c r="F205" s="409"/>
      <c r="G205" s="791" t="s">
        <v>299</v>
      </c>
      <c r="H205" s="786" t="s">
        <v>1234</v>
      </c>
      <c r="I205" s="787" t="s">
        <v>300</v>
      </c>
      <c r="J205" s="787" t="s">
        <v>2401</v>
      </c>
      <c r="K205" s="788" t="s">
        <v>384</v>
      </c>
      <c r="L205" s="789" t="s">
        <v>398</v>
      </c>
      <c r="M205" s="1975" t="s">
        <v>2393</v>
      </c>
      <c r="N205" s="789" t="s">
        <v>1243</v>
      </c>
      <c r="O205" s="1000" t="s">
        <v>3566</v>
      </c>
      <c r="P205" s="241" t="s">
        <v>291</v>
      </c>
      <c r="Q205" s="241"/>
      <c r="R205" s="147"/>
      <c r="S205" s="236"/>
      <c r="T205" s="392" t="s">
        <v>591</v>
      </c>
      <c r="U205" s="392" t="s">
        <v>2387</v>
      </c>
      <c r="W205" s="44" t="s">
        <v>815</v>
      </c>
      <c r="X205" s="44" t="s">
        <v>3021</v>
      </c>
      <c r="Z205" s="44"/>
      <c r="AA205" s="115"/>
      <c r="AB205" s="115"/>
      <c r="AC205" s="380"/>
      <c r="AD205" s="68"/>
      <c r="AE205" s="115"/>
      <c r="AF205" s="115"/>
      <c r="AG205" s="115"/>
      <c r="AH205" s="115"/>
      <c r="AI205" s="115"/>
      <c r="AJ205" s="115"/>
      <c r="AK205" s="115"/>
    </row>
    <row r="206" spans="2:37" ht="10.5" customHeight="1">
      <c r="B206" s="236"/>
      <c r="C206" s="310" t="s">
        <v>1031</v>
      </c>
      <c r="D206" s="353"/>
      <c r="E206" s="236"/>
      <c r="F206" s="409"/>
      <c r="G206" s="786" t="s">
        <v>301</v>
      </c>
      <c r="H206" s="786" t="s">
        <v>1234</v>
      </c>
      <c r="I206" s="790" t="s">
        <v>714</v>
      </c>
      <c r="J206" s="790" t="s">
        <v>2402</v>
      </c>
      <c r="K206" s="788" t="s">
        <v>385</v>
      </c>
      <c r="L206" s="789" t="s">
        <v>399</v>
      </c>
      <c r="M206" s="1975" t="s">
        <v>2393</v>
      </c>
      <c r="N206" s="789" t="s">
        <v>1132</v>
      </c>
      <c r="O206" s="1000" t="s">
        <v>3567</v>
      </c>
      <c r="P206" s="241" t="s">
        <v>2187</v>
      </c>
      <c r="Q206" s="241"/>
      <c r="R206" s="147"/>
      <c r="S206" s="236"/>
      <c r="T206" s="392" t="s">
        <v>292</v>
      </c>
      <c r="U206" s="392" t="s">
        <v>301</v>
      </c>
      <c r="W206" s="44" t="s">
        <v>1785</v>
      </c>
      <c r="X206" s="44" t="s">
        <v>3021</v>
      </c>
      <c r="Z206" s="44"/>
      <c r="AA206" s="115"/>
      <c r="AB206" s="115"/>
      <c r="AC206" s="380"/>
      <c r="AD206" s="68"/>
      <c r="AE206" s="115"/>
      <c r="AF206" s="115"/>
      <c r="AG206" s="115"/>
      <c r="AH206" s="115"/>
      <c r="AI206" s="115"/>
      <c r="AJ206" s="115"/>
      <c r="AK206" s="115"/>
    </row>
    <row r="207" spans="2:37" ht="10.5" customHeight="1">
      <c r="B207" s="236"/>
      <c r="C207" s="310" t="s">
        <v>1034</v>
      </c>
      <c r="D207" s="353"/>
      <c r="E207" s="236"/>
      <c r="F207" s="409"/>
      <c r="G207" s="786" t="s">
        <v>302</v>
      </c>
      <c r="H207" s="786" t="s">
        <v>1138</v>
      </c>
      <c r="I207" s="790" t="s">
        <v>154</v>
      </c>
      <c r="J207" s="790" t="s">
        <v>2402</v>
      </c>
      <c r="K207" s="788" t="s">
        <v>6734</v>
      </c>
      <c r="L207" s="789" t="s">
        <v>399</v>
      </c>
      <c r="M207" s="1975" t="s">
        <v>2393</v>
      </c>
      <c r="N207" s="789" t="s">
        <v>154</v>
      </c>
      <c r="O207" s="1000" t="s">
        <v>3568</v>
      </c>
      <c r="P207" s="241" t="s">
        <v>2204</v>
      </c>
      <c r="Q207" s="241"/>
      <c r="R207" s="147"/>
      <c r="S207" s="236"/>
      <c r="T207" s="392" t="s">
        <v>2188</v>
      </c>
      <c r="U207" s="392" t="s">
        <v>189</v>
      </c>
      <c r="W207" s="44" t="s">
        <v>1789</v>
      </c>
      <c r="X207" s="44" t="s">
        <v>3021</v>
      </c>
      <c r="Z207" s="44"/>
      <c r="AA207" s="115"/>
      <c r="AB207" s="115"/>
      <c r="AC207" s="380"/>
      <c r="AD207" s="68"/>
      <c r="AE207" s="115"/>
      <c r="AF207" s="115"/>
      <c r="AG207" s="115"/>
      <c r="AH207" s="115"/>
      <c r="AI207" s="115"/>
      <c r="AJ207" s="115"/>
      <c r="AK207" s="115"/>
    </row>
    <row r="208" spans="2:37" ht="10.5" customHeight="1">
      <c r="B208" s="236"/>
      <c r="C208" s="309" t="s">
        <v>1036</v>
      </c>
      <c r="D208" s="353"/>
      <c r="E208" s="236"/>
      <c r="F208" s="409"/>
      <c r="G208" s="786" t="s">
        <v>303</v>
      </c>
      <c r="H208" s="786" t="s">
        <v>1234</v>
      </c>
      <c r="I208" s="787" t="s">
        <v>304</v>
      </c>
      <c r="J208" s="787" t="s">
        <v>2401</v>
      </c>
      <c r="K208" s="788" t="s">
        <v>386</v>
      </c>
      <c r="L208" s="789" t="s">
        <v>398</v>
      </c>
      <c r="M208" s="1975" t="s">
        <v>2393</v>
      </c>
      <c r="N208" s="789" t="s">
        <v>159</v>
      </c>
      <c r="O208" s="1000" t="s">
        <v>3569</v>
      </c>
      <c r="P208" s="241" t="s">
        <v>2206</v>
      </c>
      <c r="Q208" s="241"/>
      <c r="R208" s="147"/>
      <c r="S208" s="236"/>
      <c r="T208" s="392" t="s">
        <v>2205</v>
      </c>
      <c r="U208" s="392" t="s">
        <v>1552</v>
      </c>
      <c r="W208" s="44" t="s">
        <v>671</v>
      </c>
      <c r="X208" s="44" t="s">
        <v>3021</v>
      </c>
      <c r="Z208" s="44"/>
      <c r="AA208" s="115"/>
      <c r="AB208" s="115"/>
      <c r="AC208" s="380"/>
      <c r="AD208" s="68"/>
      <c r="AE208" s="115"/>
      <c r="AF208" s="115"/>
      <c r="AG208" s="115"/>
      <c r="AH208" s="115"/>
      <c r="AI208" s="115"/>
      <c r="AJ208" s="115"/>
      <c r="AK208" s="115"/>
    </row>
    <row r="209" spans="2:37" ht="10.5" customHeight="1">
      <c r="B209" s="236"/>
      <c r="C209" s="310" t="s">
        <v>1038</v>
      </c>
      <c r="D209" s="353"/>
      <c r="E209" s="236"/>
      <c r="F209" s="409"/>
      <c r="G209" s="786" t="s">
        <v>305</v>
      </c>
      <c r="H209" s="786" t="s">
        <v>1138</v>
      </c>
      <c r="I209" s="790" t="s">
        <v>712</v>
      </c>
      <c r="J209" s="790" t="s">
        <v>2402</v>
      </c>
      <c r="K209" s="788" t="s">
        <v>6731</v>
      </c>
      <c r="L209" s="789" t="s">
        <v>399</v>
      </c>
      <c r="M209" s="1975" t="s">
        <v>1123</v>
      </c>
      <c r="N209" s="789" t="s">
        <v>1132</v>
      </c>
      <c r="O209" s="1000" t="s">
        <v>3570</v>
      </c>
      <c r="P209" s="241" t="s">
        <v>2207</v>
      </c>
      <c r="Q209" s="241"/>
      <c r="R209" s="147"/>
      <c r="S209" s="236"/>
      <c r="T209" s="392" t="s">
        <v>2529</v>
      </c>
      <c r="U209" s="392" t="s">
        <v>585</v>
      </c>
      <c r="W209" s="44" t="s">
        <v>1073</v>
      </c>
      <c r="X209" s="44" t="s">
        <v>3021</v>
      </c>
      <c r="Z209" s="44"/>
      <c r="AA209" s="115"/>
      <c r="AB209" s="115"/>
      <c r="AC209" s="380"/>
      <c r="AD209" s="68"/>
      <c r="AE209" s="115"/>
      <c r="AF209" s="115"/>
      <c r="AG209" s="115"/>
      <c r="AH209" s="115"/>
      <c r="AI209" s="115"/>
      <c r="AJ209" s="115"/>
      <c r="AK209" s="115"/>
    </row>
    <row r="210" spans="2:37" ht="10.5" customHeight="1">
      <c r="B210" s="236"/>
      <c r="C210" s="310" t="s">
        <v>1040</v>
      </c>
      <c r="D210" s="353"/>
      <c r="E210" s="236"/>
      <c r="F210" s="409"/>
      <c r="G210" s="786" t="s">
        <v>306</v>
      </c>
      <c r="H210" s="786" t="s">
        <v>1234</v>
      </c>
      <c r="I210" s="790" t="s">
        <v>712</v>
      </c>
      <c r="J210" s="790" t="s">
        <v>2402</v>
      </c>
      <c r="K210" s="788" t="s">
        <v>6731</v>
      </c>
      <c r="L210" s="789" t="s">
        <v>399</v>
      </c>
      <c r="M210" s="1975" t="s">
        <v>1123</v>
      </c>
      <c r="N210" s="789" t="s">
        <v>1132</v>
      </c>
      <c r="O210" s="1000" t="s">
        <v>3571</v>
      </c>
      <c r="P210" s="241" t="s">
        <v>2180</v>
      </c>
      <c r="Q210" s="241"/>
      <c r="R210" s="147"/>
      <c r="S210" s="236"/>
      <c r="T210" s="392" t="s">
        <v>586</v>
      </c>
      <c r="U210" s="392" t="s">
        <v>1250</v>
      </c>
      <c r="W210" s="44" t="s">
        <v>1075</v>
      </c>
      <c r="X210" s="44" t="s">
        <v>3021</v>
      </c>
      <c r="Z210" s="44"/>
      <c r="AA210" s="115"/>
      <c r="AB210" s="115"/>
      <c r="AC210" s="380"/>
      <c r="AD210" s="68"/>
      <c r="AE210" s="115"/>
      <c r="AF210" s="115"/>
      <c r="AG210" s="115"/>
      <c r="AH210" s="115"/>
      <c r="AI210" s="115"/>
      <c r="AJ210" s="115"/>
      <c r="AK210" s="115"/>
    </row>
    <row r="211" spans="2:37" ht="10.5" customHeight="1">
      <c r="B211" s="236"/>
      <c r="C211" s="310" t="s">
        <v>1042</v>
      </c>
      <c r="D211" s="353"/>
      <c r="E211" s="236"/>
      <c r="F211" s="409"/>
      <c r="G211" s="786" t="s">
        <v>307</v>
      </c>
      <c r="H211" s="786" t="s">
        <v>1138</v>
      </c>
      <c r="I211" s="790" t="s">
        <v>1591</v>
      </c>
      <c r="J211" s="790" t="s">
        <v>2402</v>
      </c>
      <c r="K211" s="788" t="s">
        <v>6735</v>
      </c>
      <c r="L211" s="789" t="s">
        <v>399</v>
      </c>
      <c r="M211" s="1975" t="s">
        <v>1123</v>
      </c>
      <c r="N211" s="789" t="s">
        <v>1243</v>
      </c>
      <c r="O211" s="1000" t="s">
        <v>3572</v>
      </c>
      <c r="P211" s="241" t="s">
        <v>7</v>
      </c>
      <c r="Q211" s="241"/>
      <c r="R211" s="147"/>
      <c r="S211" s="236"/>
      <c r="T211" s="392" t="s">
        <v>1247</v>
      </c>
      <c r="U211" s="392" t="s">
        <v>611</v>
      </c>
      <c r="W211" s="44" t="s">
        <v>1077</v>
      </c>
      <c r="X211" s="44" t="s">
        <v>3021</v>
      </c>
      <c r="Z211" s="44"/>
      <c r="AA211" s="115"/>
      <c r="AB211" s="115"/>
      <c r="AC211" s="380"/>
      <c r="AD211" s="68"/>
      <c r="AE211" s="115"/>
      <c r="AF211" s="115"/>
      <c r="AG211" s="115"/>
      <c r="AH211" s="115"/>
      <c r="AI211" s="115"/>
      <c r="AJ211" s="115"/>
      <c r="AK211" s="115"/>
    </row>
    <row r="212" spans="2:37" ht="10.5" customHeight="1">
      <c r="B212" s="236"/>
      <c r="C212" s="309" t="s">
        <v>1044</v>
      </c>
      <c r="D212" s="353"/>
      <c r="E212" s="236"/>
      <c r="F212" s="409"/>
      <c r="G212" s="786" t="s">
        <v>308</v>
      </c>
      <c r="H212" s="786" t="s">
        <v>1138</v>
      </c>
      <c r="I212" s="787" t="s">
        <v>309</v>
      </c>
      <c r="J212" s="787" t="s">
        <v>2401</v>
      </c>
      <c r="K212" s="788" t="s">
        <v>602</v>
      </c>
      <c r="L212" s="789" t="s">
        <v>398</v>
      </c>
      <c r="M212" s="1975" t="s">
        <v>2393</v>
      </c>
      <c r="N212" s="789" t="s">
        <v>1658</v>
      </c>
      <c r="O212" s="1000" t="s">
        <v>3573</v>
      </c>
      <c r="P212" s="241" t="s">
        <v>9</v>
      </c>
      <c r="Q212" s="241"/>
      <c r="R212" s="147"/>
      <c r="S212" s="236"/>
      <c r="T212" s="392" t="s">
        <v>2181</v>
      </c>
      <c r="U212" s="392" t="s">
        <v>2292</v>
      </c>
      <c r="W212" s="44" t="s">
        <v>2313</v>
      </c>
      <c r="X212" s="44" t="s">
        <v>3021</v>
      </c>
      <c r="Z212" s="44"/>
      <c r="AA212" s="115"/>
      <c r="AB212" s="115"/>
      <c r="AC212" s="380"/>
      <c r="AD212" s="68"/>
      <c r="AE212" s="115"/>
      <c r="AF212" s="115"/>
      <c r="AG212" s="115"/>
      <c r="AH212" s="115"/>
      <c r="AI212" s="115"/>
      <c r="AJ212" s="115"/>
      <c r="AK212" s="115"/>
    </row>
    <row r="213" spans="2:37" ht="10.5" customHeight="1">
      <c r="B213" s="236"/>
      <c r="C213" s="309" t="s">
        <v>2097</v>
      </c>
      <c r="D213" s="353"/>
      <c r="E213" s="236"/>
      <c r="F213" s="409"/>
      <c r="G213" s="786" t="s">
        <v>310</v>
      </c>
      <c r="H213" s="786" t="s">
        <v>1234</v>
      </c>
      <c r="I213" s="787" t="s">
        <v>311</v>
      </c>
      <c r="J213" s="787" t="s">
        <v>2401</v>
      </c>
      <c r="K213" s="788" t="s">
        <v>603</v>
      </c>
      <c r="L213" s="789" t="s">
        <v>398</v>
      </c>
      <c r="M213" s="1975" t="s">
        <v>2393</v>
      </c>
      <c r="N213" s="789" t="s">
        <v>1132</v>
      </c>
      <c r="O213" s="1000" t="s">
        <v>3574</v>
      </c>
      <c r="P213" s="241" t="s">
        <v>51</v>
      </c>
      <c r="Q213" s="241"/>
      <c r="R213" s="147"/>
      <c r="S213" s="236"/>
      <c r="T213" s="392" t="s">
        <v>8</v>
      </c>
      <c r="U213" s="392" t="s">
        <v>620</v>
      </c>
      <c r="W213" s="44" t="s">
        <v>429</v>
      </c>
      <c r="X213" s="44" t="s">
        <v>3021</v>
      </c>
      <c r="Z213" s="44"/>
      <c r="AA213" s="115"/>
      <c r="AB213" s="115"/>
      <c r="AC213" s="380"/>
      <c r="AD213" s="68"/>
      <c r="AE213" s="115"/>
      <c r="AF213" s="115"/>
      <c r="AG213" s="115"/>
      <c r="AH213" s="115"/>
      <c r="AI213" s="115"/>
      <c r="AJ213" s="115"/>
      <c r="AK213" s="115"/>
    </row>
    <row r="214" spans="2:37" ht="10.5" customHeight="1">
      <c r="B214" s="236"/>
      <c r="C214" s="310" t="s">
        <v>1249</v>
      </c>
      <c r="D214" s="353"/>
      <c r="E214" s="236"/>
      <c r="F214" s="409"/>
      <c r="G214" s="786" t="s">
        <v>312</v>
      </c>
      <c r="H214" s="786" t="s">
        <v>1234</v>
      </c>
      <c r="I214" s="790" t="s">
        <v>712</v>
      </c>
      <c r="J214" s="790" t="s">
        <v>2402</v>
      </c>
      <c r="K214" s="788" t="s">
        <v>6731</v>
      </c>
      <c r="L214" s="789" t="s">
        <v>399</v>
      </c>
      <c r="M214" s="1975" t="s">
        <v>1123</v>
      </c>
      <c r="N214" s="789" t="s">
        <v>1132</v>
      </c>
      <c r="O214" s="1000" t="s">
        <v>3575</v>
      </c>
      <c r="P214" s="241" t="s">
        <v>53</v>
      </c>
      <c r="Q214" s="241"/>
      <c r="R214" s="147"/>
      <c r="S214" s="236"/>
      <c r="T214" s="392" t="s">
        <v>10</v>
      </c>
      <c r="U214" s="392" t="s">
        <v>301</v>
      </c>
      <c r="W214" s="44" t="s">
        <v>289</v>
      </c>
      <c r="X214" s="44" t="s">
        <v>3021</v>
      </c>
      <c r="Z214" s="44"/>
      <c r="AA214" s="115"/>
      <c r="AB214" s="115"/>
      <c r="AC214" s="380"/>
      <c r="AD214" s="68"/>
      <c r="AE214" s="115"/>
      <c r="AF214" s="115"/>
      <c r="AG214" s="115"/>
      <c r="AH214" s="115"/>
      <c r="AI214" s="115"/>
      <c r="AJ214" s="115"/>
      <c r="AK214" s="115"/>
    </row>
    <row r="215" spans="2:37" ht="10.5" customHeight="1">
      <c r="B215" s="236"/>
      <c r="C215" s="310" t="s">
        <v>2011</v>
      </c>
      <c r="D215" s="353"/>
      <c r="E215" s="236"/>
      <c r="F215" s="409"/>
      <c r="G215" s="786" t="s">
        <v>313</v>
      </c>
      <c r="H215" s="786" t="s">
        <v>1138</v>
      </c>
      <c r="I215" s="787" t="s">
        <v>314</v>
      </c>
      <c r="J215" s="787" t="s">
        <v>2401</v>
      </c>
      <c r="K215" s="788" t="s">
        <v>604</v>
      </c>
      <c r="L215" s="789" t="s">
        <v>398</v>
      </c>
      <c r="M215" s="1975" t="s">
        <v>2393</v>
      </c>
      <c r="N215" s="789" t="s">
        <v>1578</v>
      </c>
      <c r="O215" s="1000" t="s">
        <v>3576</v>
      </c>
      <c r="P215" s="241" t="s">
        <v>55</v>
      </c>
      <c r="Q215" s="241"/>
      <c r="R215" s="147"/>
      <c r="S215" s="236"/>
      <c r="T215" s="392" t="s">
        <v>52</v>
      </c>
      <c r="U215" s="392" t="s">
        <v>2379</v>
      </c>
      <c r="W215" s="44" t="s">
        <v>1693</v>
      </c>
      <c r="X215" s="44" t="s">
        <v>3021</v>
      </c>
      <c r="Z215" s="44"/>
      <c r="AA215" s="115"/>
      <c r="AB215" s="115"/>
      <c r="AC215" s="380"/>
      <c r="AD215" s="68"/>
      <c r="AE215" s="115"/>
      <c r="AF215" s="115"/>
      <c r="AG215" s="115"/>
      <c r="AH215" s="115"/>
      <c r="AI215" s="115"/>
      <c r="AJ215" s="115"/>
      <c r="AK215" s="115"/>
    </row>
    <row r="216" spans="2:37" ht="10.5" customHeight="1">
      <c r="B216" s="236"/>
      <c r="C216" s="310" t="s">
        <v>2013</v>
      </c>
      <c r="D216" s="353"/>
      <c r="E216" s="236"/>
      <c r="F216" s="409"/>
      <c r="G216" s="786" t="s">
        <v>315</v>
      </c>
      <c r="H216" s="786" t="s">
        <v>1138</v>
      </c>
      <c r="I216" s="787" t="s">
        <v>316</v>
      </c>
      <c r="J216" s="787" t="s">
        <v>2401</v>
      </c>
      <c r="K216" s="788" t="s">
        <v>253</v>
      </c>
      <c r="L216" s="789" t="s">
        <v>398</v>
      </c>
      <c r="M216" s="1975" t="s">
        <v>2393</v>
      </c>
      <c r="N216" s="789" t="s">
        <v>1253</v>
      </c>
      <c r="O216" s="1000" t="s">
        <v>3577</v>
      </c>
      <c r="P216" s="241" t="s">
        <v>335</v>
      </c>
      <c r="Q216" s="241"/>
      <c r="R216" s="147"/>
      <c r="S216" s="236"/>
      <c r="T216" s="392" t="s">
        <v>54</v>
      </c>
      <c r="U216" s="392" t="s">
        <v>341</v>
      </c>
      <c r="W216" s="44" t="s">
        <v>1695</v>
      </c>
      <c r="X216" s="44" t="s">
        <v>3021</v>
      </c>
      <c r="Z216" s="44"/>
      <c r="AA216" s="115"/>
      <c r="AB216" s="115"/>
      <c r="AC216" s="380"/>
      <c r="AD216" s="68"/>
      <c r="AE216" s="115"/>
      <c r="AF216" s="115"/>
      <c r="AG216" s="115"/>
      <c r="AH216" s="115"/>
      <c r="AI216" s="115"/>
      <c r="AJ216" s="115"/>
      <c r="AK216" s="115"/>
    </row>
    <row r="217" spans="2:37" ht="10.5" customHeight="1">
      <c r="B217" s="236"/>
      <c r="C217" s="310" t="s">
        <v>2015</v>
      </c>
      <c r="D217" s="353"/>
      <c r="E217" s="236"/>
      <c r="F217" s="409"/>
      <c r="G217" s="786" t="s">
        <v>317</v>
      </c>
      <c r="H217" s="786" t="s">
        <v>1138</v>
      </c>
      <c r="I217" s="787" t="s">
        <v>318</v>
      </c>
      <c r="J217" s="787" t="s">
        <v>2401</v>
      </c>
      <c r="K217" s="788" t="s">
        <v>254</v>
      </c>
      <c r="L217" s="789" t="s">
        <v>398</v>
      </c>
      <c r="M217" s="1975" t="s">
        <v>2393</v>
      </c>
      <c r="N217" s="789" t="s">
        <v>1253</v>
      </c>
      <c r="O217" s="1000" t="s">
        <v>3578</v>
      </c>
      <c r="P217" s="241" t="s">
        <v>337</v>
      </c>
      <c r="Q217" s="241"/>
      <c r="R217" s="147"/>
      <c r="S217" s="236"/>
      <c r="T217" s="392" t="s">
        <v>56</v>
      </c>
      <c r="U217" s="392" t="s">
        <v>115</v>
      </c>
      <c r="W217" s="44" t="s">
        <v>1756</v>
      </c>
      <c r="X217" s="44" t="s">
        <v>3021</v>
      </c>
      <c r="Z217" s="44"/>
      <c r="AA217" s="115"/>
      <c r="AB217" s="115"/>
      <c r="AC217" s="380"/>
      <c r="AD217" s="68"/>
      <c r="AE217" s="115"/>
      <c r="AF217" s="115"/>
      <c r="AG217" s="115"/>
      <c r="AH217" s="115"/>
      <c r="AI217" s="115"/>
      <c r="AJ217" s="115"/>
      <c r="AK217" s="115"/>
    </row>
    <row r="218" spans="2:37" ht="10.5" customHeight="1">
      <c r="B218" s="236"/>
      <c r="C218" s="310" t="s">
        <v>2018</v>
      </c>
      <c r="D218" s="353"/>
      <c r="E218" s="236"/>
      <c r="F218" s="409"/>
      <c r="G218" s="786" t="s">
        <v>319</v>
      </c>
      <c r="H218" s="786" t="s">
        <v>1138</v>
      </c>
      <c r="I218" s="787" t="s">
        <v>320</v>
      </c>
      <c r="J218" s="787" t="s">
        <v>2401</v>
      </c>
      <c r="K218" s="788" t="s">
        <v>255</v>
      </c>
      <c r="L218" s="789" t="s">
        <v>398</v>
      </c>
      <c r="M218" s="1975" t="s">
        <v>2393</v>
      </c>
      <c r="N218" s="789" t="s">
        <v>1243</v>
      </c>
      <c r="O218" s="1000" t="s">
        <v>3579</v>
      </c>
      <c r="P218" s="241" t="s">
        <v>339</v>
      </c>
      <c r="Q218" s="241"/>
      <c r="R218" s="147"/>
      <c r="S218" s="236"/>
      <c r="T218" s="392" t="s">
        <v>336</v>
      </c>
      <c r="U218" s="392" t="s">
        <v>2029</v>
      </c>
      <c r="W218" s="44" t="s">
        <v>2076</v>
      </c>
      <c r="X218" s="44" t="s">
        <v>3021</v>
      </c>
      <c r="Z218" s="44"/>
      <c r="AA218" s="115"/>
      <c r="AB218" s="115"/>
      <c r="AC218" s="380"/>
      <c r="AD218" s="68"/>
      <c r="AE218" s="115"/>
      <c r="AF218" s="115"/>
      <c r="AG218" s="115"/>
      <c r="AH218" s="115"/>
      <c r="AI218" s="115"/>
      <c r="AJ218" s="115"/>
      <c r="AK218" s="115"/>
    </row>
    <row r="219" spans="2:37" ht="10.5" customHeight="1">
      <c r="B219" s="236"/>
      <c r="C219" s="309" t="s">
        <v>2020</v>
      </c>
      <c r="D219" s="353"/>
      <c r="E219" s="236"/>
      <c r="F219" s="409"/>
      <c r="G219" s="786" t="s">
        <v>403</v>
      </c>
      <c r="H219" s="786" t="s">
        <v>1138</v>
      </c>
      <c r="I219" s="790" t="s">
        <v>1243</v>
      </c>
      <c r="J219" s="790" t="s">
        <v>2402</v>
      </c>
      <c r="K219" s="788" t="s">
        <v>6732</v>
      </c>
      <c r="L219" s="789" t="s">
        <v>399</v>
      </c>
      <c r="M219" s="1975" t="s">
        <v>2393</v>
      </c>
      <c r="N219" s="789" t="s">
        <v>1243</v>
      </c>
      <c r="O219" s="1000" t="s">
        <v>3580</v>
      </c>
      <c r="P219" s="241" t="s">
        <v>2115</v>
      </c>
      <c r="Q219" s="241"/>
      <c r="R219" s="147"/>
      <c r="S219" s="236"/>
      <c r="T219" s="392" t="s">
        <v>338</v>
      </c>
      <c r="U219" s="392" t="s">
        <v>893</v>
      </c>
      <c r="W219" s="44" t="s">
        <v>395</v>
      </c>
      <c r="X219" s="44" t="s">
        <v>3021</v>
      </c>
      <c r="Z219" s="44"/>
      <c r="AA219" s="115"/>
      <c r="AB219" s="115"/>
      <c r="AC219" s="380"/>
      <c r="AD219" s="68"/>
      <c r="AE219" s="115"/>
      <c r="AF219" s="115"/>
      <c r="AG219" s="115"/>
      <c r="AH219" s="115"/>
      <c r="AI219" s="115"/>
      <c r="AJ219" s="115"/>
      <c r="AK219" s="115"/>
    </row>
    <row r="220" spans="2:37" ht="10.5" customHeight="1">
      <c r="B220" s="236"/>
      <c r="C220" s="309" t="s">
        <v>2022</v>
      </c>
      <c r="D220" s="353"/>
      <c r="E220" s="236"/>
      <c r="F220" s="409"/>
      <c r="G220" s="786" t="s">
        <v>404</v>
      </c>
      <c r="H220" s="786" t="s">
        <v>1234</v>
      </c>
      <c r="I220" s="790" t="s">
        <v>715</v>
      </c>
      <c r="J220" s="790" t="s">
        <v>2402</v>
      </c>
      <c r="K220" s="788" t="s">
        <v>256</v>
      </c>
      <c r="L220" s="789" t="s">
        <v>399</v>
      </c>
      <c r="M220" s="1975" t="s">
        <v>2393</v>
      </c>
      <c r="N220" s="789" t="s">
        <v>1132</v>
      </c>
      <c r="O220" s="1000" t="s">
        <v>3581</v>
      </c>
      <c r="P220" s="241" t="s">
        <v>2117</v>
      </c>
      <c r="Q220" s="241"/>
      <c r="R220" s="147"/>
      <c r="S220" s="236"/>
      <c r="T220" s="392" t="s">
        <v>340</v>
      </c>
      <c r="U220" s="392" t="s">
        <v>1027</v>
      </c>
      <c r="W220" s="44" t="s">
        <v>2108</v>
      </c>
      <c r="X220" s="44" t="s">
        <v>3021</v>
      </c>
      <c r="Z220" s="44"/>
      <c r="AA220" s="115"/>
      <c r="AB220" s="115"/>
      <c r="AC220" s="380"/>
      <c r="AD220" s="68"/>
      <c r="AE220" s="115"/>
      <c r="AF220" s="115"/>
      <c r="AG220" s="115"/>
      <c r="AH220" s="115"/>
      <c r="AI220" s="115"/>
      <c r="AJ220" s="115"/>
      <c r="AK220" s="115"/>
    </row>
    <row r="221" spans="2:37" ht="10.5" customHeight="1">
      <c r="B221" s="236"/>
      <c r="C221" s="310" t="s">
        <v>2024</v>
      </c>
      <c r="D221" s="353"/>
      <c r="E221" s="236"/>
      <c r="F221" s="409"/>
      <c r="G221" s="786" t="s">
        <v>1363</v>
      </c>
      <c r="H221" s="786" t="s">
        <v>1138</v>
      </c>
      <c r="I221" s="787" t="s">
        <v>1578</v>
      </c>
      <c r="J221" s="787" t="s">
        <v>2402</v>
      </c>
      <c r="K221" s="788" t="s">
        <v>2378</v>
      </c>
      <c r="L221" s="789" t="s">
        <v>399</v>
      </c>
      <c r="M221" s="1975" t="s">
        <v>2393</v>
      </c>
      <c r="N221" s="789" t="s">
        <v>1578</v>
      </c>
      <c r="O221" s="1000" t="s">
        <v>3582</v>
      </c>
      <c r="P221" s="241" t="s">
        <v>2118</v>
      </c>
      <c r="Q221" s="241"/>
      <c r="R221" s="147"/>
      <c r="S221" s="236"/>
      <c r="T221" s="392" t="s">
        <v>587</v>
      </c>
      <c r="U221" s="392" t="s">
        <v>1364</v>
      </c>
      <c r="W221" s="44" t="s">
        <v>3011</v>
      </c>
      <c r="X221" s="44" t="s">
        <v>3021</v>
      </c>
      <c r="Z221" s="44"/>
      <c r="AA221" s="115"/>
      <c r="AB221" s="115"/>
      <c r="AC221" s="380"/>
      <c r="AD221" s="68"/>
      <c r="AE221" s="115"/>
      <c r="AF221" s="115"/>
      <c r="AG221" s="115"/>
      <c r="AH221" s="115"/>
      <c r="AI221" s="115"/>
      <c r="AJ221" s="115"/>
      <c r="AK221" s="115"/>
    </row>
    <row r="222" spans="2:37" ht="10.5" customHeight="1">
      <c r="B222" s="236"/>
      <c r="C222" s="310" t="s">
        <v>2026</v>
      </c>
      <c r="D222" s="353"/>
      <c r="E222" s="236"/>
      <c r="F222" s="409"/>
      <c r="G222" s="786" t="s">
        <v>1364</v>
      </c>
      <c r="H222" s="786" t="s">
        <v>1138</v>
      </c>
      <c r="I222" s="787" t="s">
        <v>1365</v>
      </c>
      <c r="J222" s="787" t="s">
        <v>2401</v>
      </c>
      <c r="K222" s="788" t="s">
        <v>257</v>
      </c>
      <c r="L222" s="789" t="s">
        <v>398</v>
      </c>
      <c r="M222" s="1975" t="s">
        <v>2393</v>
      </c>
      <c r="N222" s="789" t="s">
        <v>1243</v>
      </c>
      <c r="O222" s="1000" t="s">
        <v>3583</v>
      </c>
      <c r="P222" s="241" t="s">
        <v>2119</v>
      </c>
      <c r="Q222" s="241"/>
      <c r="R222" s="147"/>
      <c r="S222" s="236"/>
      <c r="T222" s="392" t="s">
        <v>2116</v>
      </c>
      <c r="U222" s="392" t="s">
        <v>623</v>
      </c>
      <c r="W222" s="44" t="s">
        <v>628</v>
      </c>
      <c r="X222" s="44" t="s">
        <v>3021</v>
      </c>
      <c r="Z222" s="44"/>
      <c r="AA222" s="115"/>
      <c r="AB222" s="115"/>
      <c r="AC222" s="380"/>
      <c r="AD222" s="68"/>
      <c r="AE222" s="115"/>
      <c r="AF222" s="115"/>
      <c r="AG222" s="115"/>
      <c r="AH222" s="115"/>
      <c r="AI222" s="115"/>
      <c r="AJ222" s="115"/>
      <c r="AK222" s="115"/>
    </row>
    <row r="223" spans="2:37" ht="10.5" customHeight="1">
      <c r="B223" s="236"/>
      <c r="C223" s="310" t="s">
        <v>2028</v>
      </c>
      <c r="D223" s="353"/>
      <c r="E223" s="236"/>
      <c r="F223" s="409"/>
      <c r="G223" s="786" t="s">
        <v>1366</v>
      </c>
      <c r="H223" s="786" t="s">
        <v>1138</v>
      </c>
      <c r="I223" s="790" t="s">
        <v>1658</v>
      </c>
      <c r="J223" s="790" t="s">
        <v>2402</v>
      </c>
      <c r="K223" s="788" t="s">
        <v>1094</v>
      </c>
      <c r="L223" s="789" t="s">
        <v>399</v>
      </c>
      <c r="M223" s="1975" t="s">
        <v>2393</v>
      </c>
      <c r="N223" s="789" t="s">
        <v>1658</v>
      </c>
      <c r="O223" s="1000" t="s">
        <v>3584</v>
      </c>
      <c r="P223" s="241" t="s">
        <v>1457</v>
      </c>
      <c r="Q223" s="241"/>
      <c r="R223" s="147"/>
      <c r="S223" s="236"/>
      <c r="T223" s="392" t="s">
        <v>1255</v>
      </c>
      <c r="U223" s="392" t="s">
        <v>621</v>
      </c>
      <c r="W223" s="44" t="s">
        <v>2203</v>
      </c>
      <c r="X223" s="44" t="s">
        <v>3021</v>
      </c>
      <c r="Z223" s="44"/>
      <c r="AA223" s="115"/>
      <c r="AB223" s="115"/>
      <c r="AC223" s="380"/>
      <c r="AD223" s="68"/>
      <c r="AE223" s="115"/>
      <c r="AF223" s="115"/>
      <c r="AG223" s="115"/>
      <c r="AH223" s="115"/>
      <c r="AI223" s="115"/>
      <c r="AJ223" s="115"/>
      <c r="AK223" s="115"/>
    </row>
    <row r="224" spans="2:37" ht="10.5" customHeight="1">
      <c r="B224" s="236"/>
      <c r="C224" s="310" t="s">
        <v>812</v>
      </c>
      <c r="D224" s="353"/>
      <c r="E224" s="236"/>
      <c r="F224" s="409"/>
      <c r="G224" s="786" t="s">
        <v>1367</v>
      </c>
      <c r="H224" s="786" t="s">
        <v>1138</v>
      </c>
      <c r="I224" s="787" t="s">
        <v>716</v>
      </c>
      <c r="J224" s="787" t="s">
        <v>2402</v>
      </c>
      <c r="K224" s="788" t="s">
        <v>6736</v>
      </c>
      <c r="L224" s="789" t="s">
        <v>399</v>
      </c>
      <c r="M224" s="1975" t="s">
        <v>1123</v>
      </c>
      <c r="N224" s="789" t="s">
        <v>1249</v>
      </c>
      <c r="O224" s="1000" t="s">
        <v>3585</v>
      </c>
      <c r="P224" s="241" t="s">
        <v>1459</v>
      </c>
      <c r="Q224" s="241"/>
      <c r="R224" s="147"/>
      <c r="S224" s="236"/>
      <c r="T224" s="392" t="s">
        <v>2530</v>
      </c>
      <c r="U224" s="392" t="s">
        <v>623</v>
      </c>
      <c r="W224" s="44" t="s">
        <v>212</v>
      </c>
      <c r="X224" s="44" t="s">
        <v>3021</v>
      </c>
      <c r="Z224" s="44"/>
      <c r="AA224" s="115"/>
      <c r="AB224" s="115"/>
      <c r="AC224" s="380"/>
      <c r="AD224" s="68"/>
      <c r="AE224" s="115"/>
      <c r="AF224" s="115"/>
      <c r="AG224" s="115"/>
      <c r="AH224" s="115"/>
      <c r="AI224" s="115"/>
      <c r="AJ224" s="115"/>
      <c r="AK224" s="115"/>
    </row>
    <row r="225" spans="2:37" ht="10.5" customHeight="1">
      <c r="B225" s="236"/>
      <c r="C225" s="310" t="s">
        <v>814</v>
      </c>
      <c r="D225" s="353"/>
      <c r="E225" s="236"/>
      <c r="F225" s="409"/>
      <c r="G225" s="786" t="s">
        <v>1368</v>
      </c>
      <c r="H225" s="786" t="s">
        <v>1234</v>
      </c>
      <c r="I225" s="787" t="s">
        <v>1369</v>
      </c>
      <c r="J225" s="787" t="s">
        <v>2402</v>
      </c>
      <c r="K225" s="788" t="s">
        <v>3235</v>
      </c>
      <c r="L225" s="789" t="s">
        <v>399</v>
      </c>
      <c r="M225" s="1975" t="s">
        <v>2393</v>
      </c>
      <c r="N225" s="789" t="s">
        <v>1253</v>
      </c>
      <c r="O225" s="1000" t="s">
        <v>3586</v>
      </c>
      <c r="P225" s="241" t="s">
        <v>1461</v>
      </c>
      <c r="Q225" s="241"/>
      <c r="R225" s="147"/>
      <c r="S225" s="236"/>
      <c r="T225" s="392" t="s">
        <v>2120</v>
      </c>
      <c r="U225" s="392" t="s">
        <v>98</v>
      </c>
      <c r="W225" s="44" t="s">
        <v>613</v>
      </c>
      <c r="X225" s="44" t="s">
        <v>3021</v>
      </c>
      <c r="Z225" s="44"/>
      <c r="AA225" s="115"/>
      <c r="AB225" s="115"/>
      <c r="AC225" s="380"/>
      <c r="AD225" s="68"/>
      <c r="AE225" s="115"/>
      <c r="AF225" s="115"/>
      <c r="AG225" s="115"/>
      <c r="AH225" s="115"/>
      <c r="AI225" s="115"/>
      <c r="AJ225" s="115"/>
      <c r="AK225" s="115"/>
    </row>
    <row r="226" spans="2:37" ht="10.5" customHeight="1">
      <c r="B226" s="236"/>
      <c r="C226" s="310" t="s">
        <v>1554</v>
      </c>
      <c r="D226" s="353"/>
      <c r="E226" s="236"/>
      <c r="F226" s="409"/>
      <c r="G226" s="786" t="s">
        <v>1370</v>
      </c>
      <c r="H226" s="786" t="s">
        <v>1138</v>
      </c>
      <c r="I226" s="787" t="s">
        <v>1371</v>
      </c>
      <c r="J226" s="787" t="s">
        <v>2402</v>
      </c>
      <c r="K226" s="788" t="s">
        <v>647</v>
      </c>
      <c r="L226" s="789" t="s">
        <v>399</v>
      </c>
      <c r="M226" s="1975" t="s">
        <v>2393</v>
      </c>
      <c r="N226" s="789" t="s">
        <v>1249</v>
      </c>
      <c r="O226" s="1000" t="s">
        <v>3587</v>
      </c>
      <c r="P226" s="241" t="s">
        <v>1463</v>
      </c>
      <c r="Q226" s="241"/>
      <c r="R226" s="147"/>
      <c r="S226" s="236"/>
      <c r="T226" s="392" t="s">
        <v>1458</v>
      </c>
      <c r="U226" s="392" t="s">
        <v>1527</v>
      </c>
      <c r="W226" s="44" t="s">
        <v>224</v>
      </c>
      <c r="X226" s="44" t="s">
        <v>3021</v>
      </c>
      <c r="Z226" s="44"/>
      <c r="AA226" s="115"/>
      <c r="AB226" s="115"/>
      <c r="AC226" s="380"/>
      <c r="AD226" s="68"/>
      <c r="AE226" s="115"/>
      <c r="AF226" s="115"/>
      <c r="AG226" s="115"/>
      <c r="AH226" s="115"/>
      <c r="AI226" s="115"/>
      <c r="AJ226" s="115"/>
      <c r="AK226" s="115"/>
    </row>
    <row r="227" spans="2:37" ht="10.5" customHeight="1">
      <c r="B227" s="236"/>
      <c r="C227" s="310" t="s">
        <v>1769</v>
      </c>
      <c r="D227" s="353"/>
      <c r="E227" s="236"/>
      <c r="F227" s="409"/>
      <c r="G227" s="786" t="s">
        <v>168</v>
      </c>
      <c r="H227" s="786" t="s">
        <v>1138</v>
      </c>
      <c r="I227" s="787" t="s">
        <v>1578</v>
      </c>
      <c r="J227" s="787" t="s">
        <v>2402</v>
      </c>
      <c r="K227" s="788" t="s">
        <v>2378</v>
      </c>
      <c r="L227" s="789" t="s">
        <v>399</v>
      </c>
      <c r="M227" s="1975" t="s">
        <v>1123</v>
      </c>
      <c r="N227" s="789" t="s">
        <v>1578</v>
      </c>
      <c r="O227" s="1000" t="s">
        <v>3588</v>
      </c>
      <c r="P227" s="241" t="s">
        <v>1465</v>
      </c>
      <c r="Q227" s="241"/>
      <c r="R227" s="147"/>
      <c r="S227" s="236"/>
      <c r="T227" s="392" t="s">
        <v>2362</v>
      </c>
      <c r="U227" s="392" t="s">
        <v>585</v>
      </c>
      <c r="W227" s="44" t="s">
        <v>614</v>
      </c>
      <c r="X227" s="44" t="s">
        <v>3021</v>
      </c>
      <c r="Z227" s="44"/>
      <c r="AA227" s="115"/>
      <c r="AB227" s="115"/>
      <c r="AC227" s="380"/>
      <c r="AD227" s="68"/>
      <c r="AE227" s="115"/>
      <c r="AF227" s="115"/>
      <c r="AG227" s="115"/>
      <c r="AH227" s="115"/>
      <c r="AI227" s="115"/>
      <c r="AJ227" s="115"/>
      <c r="AK227" s="115"/>
    </row>
    <row r="228" spans="2:37" ht="10.5" customHeight="1">
      <c r="B228" s="236"/>
      <c r="C228" s="309" t="s">
        <v>1771</v>
      </c>
      <c r="D228" s="353"/>
      <c r="E228" s="236"/>
      <c r="F228" s="409"/>
      <c r="G228" s="786" t="s">
        <v>169</v>
      </c>
      <c r="H228" s="786" t="s">
        <v>1234</v>
      </c>
      <c r="I228" s="790" t="s">
        <v>170</v>
      </c>
      <c r="J228" s="790" t="s">
        <v>2401</v>
      </c>
      <c r="K228" s="788" t="s">
        <v>648</v>
      </c>
      <c r="L228" s="789" t="s">
        <v>398</v>
      </c>
      <c r="M228" s="1975" t="s">
        <v>2393</v>
      </c>
      <c r="N228" s="789" t="s">
        <v>1132</v>
      </c>
      <c r="O228" s="1000" t="s">
        <v>3589</v>
      </c>
      <c r="P228" s="241" t="s">
        <v>1620</v>
      </c>
      <c r="Q228" s="241"/>
      <c r="R228" s="147"/>
      <c r="S228" s="236"/>
      <c r="T228" s="392" t="s">
        <v>1460</v>
      </c>
      <c r="U228" s="392" t="s">
        <v>614</v>
      </c>
      <c r="W228" s="44" t="s">
        <v>733</v>
      </c>
      <c r="X228" s="44" t="s">
        <v>3021</v>
      </c>
      <c r="Z228" s="44"/>
      <c r="AA228" s="115"/>
      <c r="AB228" s="115"/>
      <c r="AC228" s="380"/>
      <c r="AD228" s="68"/>
      <c r="AE228" s="115"/>
      <c r="AF228" s="115"/>
      <c r="AG228" s="115"/>
      <c r="AH228" s="115"/>
      <c r="AI228" s="115"/>
      <c r="AJ228" s="115"/>
      <c r="AK228" s="115"/>
    </row>
    <row r="229" spans="2:37" ht="10.5" customHeight="1">
      <c r="B229" s="236"/>
      <c r="C229" s="309" t="s">
        <v>1773</v>
      </c>
      <c r="D229" s="353"/>
      <c r="E229" s="236"/>
      <c r="F229" s="409"/>
      <c r="G229" s="786" t="s">
        <v>1243</v>
      </c>
      <c r="H229" s="786" t="s">
        <v>1138</v>
      </c>
      <c r="I229" s="787" t="s">
        <v>171</v>
      </c>
      <c r="J229" s="787" t="s">
        <v>2401</v>
      </c>
      <c r="K229" s="788" t="s">
        <v>649</v>
      </c>
      <c r="L229" s="789" t="s">
        <v>398</v>
      </c>
      <c r="M229" s="1975" t="s">
        <v>2393</v>
      </c>
      <c r="N229" s="789" t="s">
        <v>1243</v>
      </c>
      <c r="O229" s="1000" t="s">
        <v>3590</v>
      </c>
      <c r="P229" s="241" t="s">
        <v>1622</v>
      </c>
      <c r="Q229" s="241"/>
      <c r="R229" s="147"/>
      <c r="S229" s="236"/>
      <c r="T229" s="392" t="s">
        <v>2531</v>
      </c>
      <c r="U229" s="392" t="s">
        <v>2074</v>
      </c>
      <c r="W229" s="44" t="s">
        <v>3012</v>
      </c>
      <c r="X229" s="44" t="s">
        <v>3021</v>
      </c>
      <c r="Z229" s="44"/>
      <c r="AA229" s="115"/>
      <c r="AB229" s="115"/>
      <c r="AC229" s="380"/>
      <c r="AD229" s="68"/>
      <c r="AE229" s="115"/>
      <c r="AF229" s="115"/>
      <c r="AG229" s="115"/>
      <c r="AH229" s="115"/>
      <c r="AI229" s="115"/>
      <c r="AJ229" s="115"/>
      <c r="AK229" s="115"/>
    </row>
    <row r="230" spans="2:37" ht="10.5" customHeight="1">
      <c r="B230" s="236"/>
      <c r="C230" s="309" t="s">
        <v>1775</v>
      </c>
      <c r="D230" s="353"/>
      <c r="E230" s="236"/>
      <c r="F230" s="409"/>
      <c r="G230" s="786" t="s">
        <v>172</v>
      </c>
      <c r="H230" s="786" t="s">
        <v>1234</v>
      </c>
      <c r="I230" s="787" t="s">
        <v>1894</v>
      </c>
      <c r="J230" s="787" t="s">
        <v>2402</v>
      </c>
      <c r="K230" s="788" t="s">
        <v>577</v>
      </c>
      <c r="L230" s="789" t="s">
        <v>399</v>
      </c>
      <c r="M230" s="1975" t="s">
        <v>2393</v>
      </c>
      <c r="N230" s="789" t="s">
        <v>159</v>
      </c>
      <c r="O230" s="1000" t="s">
        <v>3591</v>
      </c>
      <c r="P230" s="241" t="s">
        <v>1624</v>
      </c>
      <c r="Q230" s="241"/>
      <c r="R230" s="147"/>
      <c r="S230" s="236"/>
      <c r="T230" s="392" t="s">
        <v>1462</v>
      </c>
      <c r="U230" s="392" t="s">
        <v>157</v>
      </c>
      <c r="W230" s="44" t="s">
        <v>3013</v>
      </c>
      <c r="X230" s="44" t="s">
        <v>3021</v>
      </c>
      <c r="Z230" s="44"/>
      <c r="AA230" s="115"/>
      <c r="AB230" s="115"/>
      <c r="AC230" s="380"/>
      <c r="AD230" s="68"/>
      <c r="AE230" s="115"/>
      <c r="AF230" s="115"/>
      <c r="AG230" s="115"/>
      <c r="AH230" s="115"/>
      <c r="AI230" s="115"/>
      <c r="AJ230" s="115"/>
      <c r="AK230" s="115"/>
    </row>
    <row r="231" spans="2:37" ht="10.5" customHeight="1">
      <c r="B231" s="236"/>
      <c r="C231" s="309" t="s">
        <v>1777</v>
      </c>
      <c r="D231" s="353"/>
      <c r="E231" s="236"/>
      <c r="F231" s="409"/>
      <c r="G231" s="786" t="s">
        <v>341</v>
      </c>
      <c r="H231" s="786" t="s">
        <v>1138</v>
      </c>
      <c r="I231" s="790" t="s">
        <v>154</v>
      </c>
      <c r="J231" s="790" t="s">
        <v>2402</v>
      </c>
      <c r="K231" s="788" t="s">
        <v>6734</v>
      </c>
      <c r="L231" s="789" t="s">
        <v>399</v>
      </c>
      <c r="M231" s="1975" t="s">
        <v>2393</v>
      </c>
      <c r="N231" s="789" t="s">
        <v>154</v>
      </c>
      <c r="O231" s="1000" t="s">
        <v>3592</v>
      </c>
      <c r="P231" s="241" t="s">
        <v>960</v>
      </c>
      <c r="Q231" s="241"/>
      <c r="R231" s="147"/>
      <c r="S231" s="236"/>
      <c r="T231" s="392" t="s">
        <v>1464</v>
      </c>
      <c r="U231" s="392" t="s">
        <v>1236</v>
      </c>
      <c r="W231" s="44" t="s">
        <v>1148</v>
      </c>
      <c r="X231" s="44" t="s">
        <v>3021</v>
      </c>
      <c r="Z231" s="44"/>
      <c r="AA231" s="115"/>
      <c r="AB231" s="115"/>
      <c r="AC231" s="380"/>
      <c r="AD231" s="68"/>
      <c r="AE231" s="115"/>
      <c r="AF231" s="115"/>
      <c r="AG231" s="115"/>
      <c r="AH231" s="115"/>
      <c r="AI231" s="115"/>
      <c r="AJ231" s="115"/>
      <c r="AK231" s="115"/>
    </row>
    <row r="232" spans="2:37" ht="10.5" customHeight="1">
      <c r="B232" s="236"/>
      <c r="C232" s="309" t="s">
        <v>1779</v>
      </c>
      <c r="D232" s="353"/>
      <c r="E232" s="236"/>
      <c r="F232" s="409"/>
      <c r="G232" s="786" t="s">
        <v>1738</v>
      </c>
      <c r="H232" s="786" t="s">
        <v>1234</v>
      </c>
      <c r="I232" s="790" t="s">
        <v>713</v>
      </c>
      <c r="J232" s="790" t="s">
        <v>2402</v>
      </c>
      <c r="K232" s="788" t="s">
        <v>6733</v>
      </c>
      <c r="L232" s="789" t="s">
        <v>399</v>
      </c>
      <c r="M232" s="1975" t="s">
        <v>2393</v>
      </c>
      <c r="N232" s="789" t="s">
        <v>1253</v>
      </c>
      <c r="O232" s="1000" t="s">
        <v>3593</v>
      </c>
      <c r="P232" s="241" t="s">
        <v>961</v>
      </c>
      <c r="Q232" s="241"/>
      <c r="R232" s="147"/>
      <c r="S232" s="236"/>
      <c r="T232" s="392" t="s">
        <v>1466</v>
      </c>
      <c r="U232" s="392" t="s">
        <v>172</v>
      </c>
      <c r="W232" s="44" t="s">
        <v>634</v>
      </c>
      <c r="X232" s="44" t="s">
        <v>3021</v>
      </c>
      <c r="Z232" s="44"/>
      <c r="AA232" s="115"/>
      <c r="AB232" s="115"/>
      <c r="AC232" s="380"/>
      <c r="AD232" s="68"/>
      <c r="AE232" s="115"/>
      <c r="AF232" s="115"/>
      <c r="AG232" s="115"/>
      <c r="AH232" s="115"/>
      <c r="AI232" s="115"/>
      <c r="AJ232" s="115"/>
      <c r="AK232" s="115"/>
    </row>
    <row r="233" spans="2:37" ht="10.5" customHeight="1">
      <c r="B233" s="236"/>
      <c r="C233" s="310" t="s">
        <v>1782</v>
      </c>
      <c r="D233" s="353"/>
      <c r="E233" s="236"/>
      <c r="F233" s="409"/>
      <c r="G233" s="786" t="s">
        <v>1739</v>
      </c>
      <c r="H233" s="786" t="s">
        <v>1138</v>
      </c>
      <c r="I233" s="787" t="s">
        <v>8</v>
      </c>
      <c r="J233" s="787" t="s">
        <v>2402</v>
      </c>
      <c r="K233" s="788" t="s">
        <v>2377</v>
      </c>
      <c r="L233" s="789" t="s">
        <v>399</v>
      </c>
      <c r="M233" s="1975" t="s">
        <v>2393</v>
      </c>
      <c r="N233" s="789" t="s">
        <v>1249</v>
      </c>
      <c r="O233" s="1000" t="s">
        <v>3594</v>
      </c>
      <c r="P233" s="241" t="s">
        <v>226</v>
      </c>
      <c r="Q233" s="241"/>
      <c r="R233" s="147"/>
      <c r="S233" s="236"/>
      <c r="T233" s="392" t="s">
        <v>1621</v>
      </c>
      <c r="U233" s="392" t="s">
        <v>614</v>
      </c>
      <c r="W233" s="44" t="s">
        <v>621</v>
      </c>
      <c r="X233" s="44" t="s">
        <v>3021</v>
      </c>
      <c r="Z233" s="44"/>
      <c r="AA233" s="115"/>
      <c r="AB233" s="115"/>
      <c r="AC233" s="380"/>
      <c r="AD233" s="68"/>
      <c r="AE233" s="115"/>
      <c r="AF233" s="115"/>
      <c r="AG233" s="115"/>
      <c r="AH233" s="115"/>
      <c r="AI233" s="115"/>
      <c r="AJ233" s="115"/>
      <c r="AK233" s="115"/>
    </row>
    <row r="234" spans="2:37" ht="10.5" customHeight="1">
      <c r="B234" s="236"/>
      <c r="C234" s="309" t="s">
        <v>1862</v>
      </c>
      <c r="D234" s="353"/>
      <c r="E234" s="236"/>
      <c r="F234" s="409"/>
      <c r="G234" s="786" t="s">
        <v>1740</v>
      </c>
      <c r="H234" s="786" t="s">
        <v>1138</v>
      </c>
      <c r="I234" s="790" t="s">
        <v>717</v>
      </c>
      <c r="J234" s="790" t="s">
        <v>2402</v>
      </c>
      <c r="K234" s="788" t="s">
        <v>650</v>
      </c>
      <c r="L234" s="789" t="s">
        <v>399</v>
      </c>
      <c r="M234" s="1975" t="s">
        <v>2393</v>
      </c>
      <c r="N234" s="789" t="s">
        <v>1132</v>
      </c>
      <c r="O234" s="1000" t="s">
        <v>3595</v>
      </c>
      <c r="P234" s="241" t="s">
        <v>228</v>
      </c>
      <c r="Q234" s="241"/>
      <c r="R234" s="147"/>
      <c r="S234" s="236"/>
      <c r="T234" s="392" t="s">
        <v>1623</v>
      </c>
      <c r="U234" s="392" t="s">
        <v>686</v>
      </c>
      <c r="W234" s="44" t="s">
        <v>918</v>
      </c>
      <c r="X234" s="44" t="s">
        <v>3021</v>
      </c>
      <c r="Z234" s="44"/>
      <c r="AA234" s="115"/>
      <c r="AB234" s="115"/>
      <c r="AC234" s="380"/>
      <c r="AD234" s="68"/>
      <c r="AE234" s="115"/>
      <c r="AF234" s="115"/>
      <c r="AG234" s="115"/>
      <c r="AH234" s="115"/>
      <c r="AI234" s="115"/>
      <c r="AJ234" s="115"/>
      <c r="AK234" s="115"/>
    </row>
    <row r="235" spans="2:37" ht="10.5" customHeight="1">
      <c r="B235" s="236"/>
      <c r="C235" s="309" t="s">
        <v>1578</v>
      </c>
      <c r="D235" s="353"/>
      <c r="E235" s="236"/>
      <c r="F235" s="409"/>
      <c r="G235" s="786" t="s">
        <v>1525</v>
      </c>
      <c r="H235" s="786" t="s">
        <v>1138</v>
      </c>
      <c r="I235" s="787" t="s">
        <v>1526</v>
      </c>
      <c r="J235" s="787" t="s">
        <v>2401</v>
      </c>
      <c r="K235" s="788" t="s">
        <v>651</v>
      </c>
      <c r="L235" s="789" t="s">
        <v>398</v>
      </c>
      <c r="M235" s="1975" t="s">
        <v>2393</v>
      </c>
      <c r="N235" s="789" t="s">
        <v>1658</v>
      </c>
      <c r="O235" s="1000" t="s">
        <v>3596</v>
      </c>
      <c r="P235" s="241" t="s">
        <v>1188</v>
      </c>
      <c r="Q235" s="241"/>
      <c r="R235" s="147"/>
      <c r="S235" s="236"/>
      <c r="T235" s="392" t="s">
        <v>959</v>
      </c>
      <c r="U235" s="392" t="s">
        <v>1237</v>
      </c>
      <c r="W235" s="44" t="s">
        <v>922</v>
      </c>
      <c r="X235" s="44" t="s">
        <v>3021</v>
      </c>
      <c r="Z235" s="44"/>
      <c r="AA235" s="115"/>
      <c r="AB235" s="115"/>
      <c r="AC235" s="380"/>
      <c r="AD235" s="68"/>
      <c r="AE235" s="115"/>
      <c r="AF235" s="115"/>
      <c r="AG235" s="115"/>
      <c r="AH235" s="115"/>
      <c r="AI235" s="115"/>
      <c r="AJ235" s="115"/>
      <c r="AK235" s="115"/>
    </row>
    <row r="236" spans="2:37" ht="10.5" customHeight="1">
      <c r="B236" s="236"/>
      <c r="C236" s="310" t="s">
        <v>97</v>
      </c>
      <c r="D236" s="353"/>
      <c r="E236" s="236"/>
      <c r="F236" s="409"/>
      <c r="G236" s="786" t="s">
        <v>1527</v>
      </c>
      <c r="H236" s="786" t="s">
        <v>1138</v>
      </c>
      <c r="I236" s="787" t="s">
        <v>1528</v>
      </c>
      <c r="J236" s="787" t="s">
        <v>2401</v>
      </c>
      <c r="K236" s="788" t="s">
        <v>652</v>
      </c>
      <c r="L236" s="789" t="s">
        <v>398</v>
      </c>
      <c r="M236" s="1975" t="s">
        <v>2393</v>
      </c>
      <c r="N236" s="789" t="s">
        <v>1658</v>
      </c>
      <c r="O236" s="1000" t="s">
        <v>3597</v>
      </c>
      <c r="P236" s="241" t="s">
        <v>1909</v>
      </c>
      <c r="Q236" s="241"/>
      <c r="R236" s="147"/>
      <c r="S236" s="236"/>
      <c r="T236" s="392" t="s">
        <v>962</v>
      </c>
      <c r="U236" s="392" t="s">
        <v>612</v>
      </c>
      <c r="W236" s="44" t="s">
        <v>924</v>
      </c>
      <c r="X236" s="44" t="s">
        <v>3021</v>
      </c>
      <c r="Z236" s="44"/>
      <c r="AA236" s="115"/>
      <c r="AB236" s="115"/>
      <c r="AC236" s="380"/>
      <c r="AD236" s="68"/>
      <c r="AE236" s="115"/>
      <c r="AF236" s="115"/>
      <c r="AG236" s="115"/>
      <c r="AH236" s="115"/>
      <c r="AI236" s="115"/>
      <c r="AJ236" s="115"/>
      <c r="AK236" s="115"/>
    </row>
    <row r="237" spans="2:37" ht="10.5" customHeight="1">
      <c r="B237" s="236"/>
      <c r="C237" s="309" t="s">
        <v>1591</v>
      </c>
      <c r="D237" s="353"/>
      <c r="E237" s="236"/>
      <c r="F237" s="409"/>
      <c r="G237" s="786" t="s">
        <v>1529</v>
      </c>
      <c r="H237" s="786" t="s">
        <v>1234</v>
      </c>
      <c r="I237" s="790" t="s">
        <v>1893</v>
      </c>
      <c r="J237" s="790" t="s">
        <v>2402</v>
      </c>
      <c r="K237" s="788" t="s">
        <v>653</v>
      </c>
      <c r="L237" s="789" t="s">
        <v>399</v>
      </c>
      <c r="M237" s="1975" t="s">
        <v>2393</v>
      </c>
      <c r="N237" s="789" t="s">
        <v>1132</v>
      </c>
      <c r="O237" s="1000" t="s">
        <v>3598</v>
      </c>
      <c r="P237" s="241" t="s">
        <v>1911</v>
      </c>
      <c r="Q237" s="241"/>
      <c r="R237" s="147"/>
      <c r="S237" s="236"/>
      <c r="T237" s="392" t="s">
        <v>227</v>
      </c>
      <c r="U237" s="392" t="s">
        <v>2328</v>
      </c>
      <c r="W237" s="44" t="s">
        <v>532</v>
      </c>
      <c r="X237" s="44" t="s">
        <v>3021</v>
      </c>
      <c r="Z237" s="44"/>
      <c r="AA237" s="115"/>
      <c r="AB237" s="115"/>
      <c r="AC237" s="380"/>
      <c r="AD237" s="68"/>
      <c r="AE237" s="115"/>
      <c r="AF237" s="115"/>
      <c r="AG237" s="115"/>
      <c r="AH237" s="115"/>
      <c r="AI237" s="115"/>
      <c r="AJ237" s="115"/>
      <c r="AK237" s="115"/>
    </row>
    <row r="238" spans="2:37" ht="10.5" customHeight="1">
      <c r="B238" s="236"/>
      <c r="C238" s="309" t="s">
        <v>99</v>
      </c>
      <c r="D238" s="353"/>
      <c r="F238" s="409"/>
      <c r="G238" s="786" t="s">
        <v>177</v>
      </c>
      <c r="H238" s="786" t="s">
        <v>1138</v>
      </c>
      <c r="I238" s="787" t="s">
        <v>178</v>
      </c>
      <c r="J238" s="787" t="s">
        <v>2401</v>
      </c>
      <c r="K238" s="788" t="s">
        <v>654</v>
      </c>
      <c r="L238" s="789" t="s">
        <v>398</v>
      </c>
      <c r="M238" s="1975" t="s">
        <v>2393</v>
      </c>
      <c r="N238" s="789" t="s">
        <v>1249</v>
      </c>
      <c r="O238" s="1000" t="s">
        <v>3599</v>
      </c>
      <c r="P238" s="241" t="s">
        <v>1913</v>
      </c>
      <c r="Q238" s="241"/>
      <c r="R238" s="147"/>
      <c r="S238" s="236"/>
      <c r="T238" s="236" t="s">
        <v>2532</v>
      </c>
      <c r="U238" s="236" t="s">
        <v>816</v>
      </c>
      <c r="W238" s="44" t="s">
        <v>352</v>
      </c>
      <c r="X238" s="44" t="s">
        <v>3021</v>
      </c>
      <c r="Z238" s="44"/>
      <c r="AA238" s="115"/>
      <c r="AB238" s="115"/>
      <c r="AC238" s="380"/>
      <c r="AD238" s="68"/>
      <c r="AE238" s="115"/>
      <c r="AF238" s="115"/>
      <c r="AG238" s="115"/>
      <c r="AH238" s="115"/>
      <c r="AI238" s="115"/>
      <c r="AJ238" s="115"/>
      <c r="AK238" s="115"/>
    </row>
    <row r="239" spans="2:37" ht="10.5" customHeight="1">
      <c r="B239" s="236"/>
      <c r="C239" s="309" t="s">
        <v>101</v>
      </c>
      <c r="D239" s="353"/>
      <c r="F239" s="409"/>
      <c r="G239" s="786" t="s">
        <v>2379</v>
      </c>
      <c r="H239" s="786" t="s">
        <v>1234</v>
      </c>
      <c r="I239" s="790" t="s">
        <v>2380</v>
      </c>
      <c r="J239" s="787" t="s">
        <v>2402</v>
      </c>
      <c r="K239" s="788" t="s">
        <v>3234</v>
      </c>
      <c r="L239" s="789" t="s">
        <v>399</v>
      </c>
      <c r="M239" s="1975" t="s">
        <v>2393</v>
      </c>
      <c r="N239" s="789" t="s">
        <v>1132</v>
      </c>
      <c r="O239" s="1000" t="s">
        <v>3600</v>
      </c>
      <c r="P239" s="241" t="s">
        <v>1915</v>
      </c>
      <c r="Q239" s="241"/>
      <c r="R239" s="147"/>
      <c r="S239" s="236"/>
      <c r="T239" s="392" t="s">
        <v>1634</v>
      </c>
      <c r="U239" s="392" t="s">
        <v>1033</v>
      </c>
      <c r="W239" s="44" t="s">
        <v>1491</v>
      </c>
      <c r="X239" s="44" t="s">
        <v>3021</v>
      </c>
      <c r="Z239" s="44"/>
      <c r="AA239" s="115"/>
      <c r="AB239" s="115"/>
      <c r="AC239" s="68"/>
      <c r="AD239" s="68"/>
      <c r="AE239" s="115"/>
      <c r="AF239" s="115"/>
      <c r="AG239" s="115"/>
      <c r="AH239" s="115"/>
      <c r="AI239" s="115"/>
      <c r="AJ239" s="115"/>
      <c r="AK239" s="115"/>
    </row>
    <row r="240" spans="2:37" ht="10.5" customHeight="1">
      <c r="B240" s="236"/>
      <c r="C240" s="309" t="s">
        <v>103</v>
      </c>
      <c r="D240" s="353"/>
      <c r="F240" s="409"/>
      <c r="G240" s="786" t="s">
        <v>2381</v>
      </c>
      <c r="H240" s="786" t="s">
        <v>1234</v>
      </c>
      <c r="I240" s="787" t="s">
        <v>2382</v>
      </c>
      <c r="J240" s="787" t="s">
        <v>2402</v>
      </c>
      <c r="K240" s="788" t="s">
        <v>1813</v>
      </c>
      <c r="L240" s="789" t="s">
        <v>399</v>
      </c>
      <c r="M240" s="1975" t="s">
        <v>2393</v>
      </c>
      <c r="N240" s="789" t="s">
        <v>1132</v>
      </c>
      <c r="O240" s="1000" t="s">
        <v>3601</v>
      </c>
      <c r="P240" s="241" t="s">
        <v>1917</v>
      </c>
      <c r="Q240" s="241"/>
      <c r="R240" s="147"/>
      <c r="S240" s="236"/>
      <c r="T240" s="392" t="s">
        <v>1910</v>
      </c>
      <c r="U240" s="392" t="s">
        <v>307</v>
      </c>
      <c r="W240" s="44" t="s">
        <v>946</v>
      </c>
      <c r="X240" s="44" t="s">
        <v>3021</v>
      </c>
      <c r="Z240" s="44"/>
      <c r="AA240" s="115"/>
      <c r="AB240" s="115"/>
      <c r="AC240" s="380"/>
      <c r="AD240" s="68"/>
      <c r="AE240" s="115"/>
      <c r="AF240" s="115"/>
      <c r="AG240" s="115"/>
      <c r="AH240" s="115"/>
      <c r="AI240" s="115"/>
      <c r="AJ240" s="115"/>
      <c r="AK240" s="115"/>
    </row>
    <row r="241" spans="2:37" ht="10.5" customHeight="1">
      <c r="B241" s="236"/>
      <c r="C241" s="309" t="s">
        <v>105</v>
      </c>
      <c r="D241" s="353"/>
      <c r="F241" s="409"/>
      <c r="G241" s="786" t="s">
        <v>2383</v>
      </c>
      <c r="H241" s="786" t="s">
        <v>1670</v>
      </c>
      <c r="I241" s="790" t="s">
        <v>154</v>
      </c>
      <c r="J241" s="790" t="s">
        <v>2402</v>
      </c>
      <c r="K241" s="788" t="s">
        <v>6734</v>
      </c>
      <c r="L241" s="789" t="s">
        <v>399</v>
      </c>
      <c r="M241" s="1975" t="s">
        <v>1123</v>
      </c>
      <c r="N241" s="789" t="s">
        <v>154</v>
      </c>
      <c r="O241" s="1000" t="s">
        <v>3602</v>
      </c>
      <c r="P241" s="241" t="s">
        <v>1919</v>
      </c>
      <c r="Q241" s="241"/>
      <c r="R241" s="147"/>
      <c r="S241" s="236"/>
      <c r="T241" s="392" t="s">
        <v>1912</v>
      </c>
      <c r="U241" s="392" t="s">
        <v>305</v>
      </c>
      <c r="W241" s="44" t="s">
        <v>948</v>
      </c>
      <c r="X241" s="44" t="s">
        <v>3021</v>
      </c>
      <c r="Z241" s="44"/>
      <c r="AA241" s="115"/>
      <c r="AB241" s="115"/>
      <c r="AC241" s="380"/>
      <c r="AD241" s="68"/>
      <c r="AE241" s="115"/>
      <c r="AF241" s="115"/>
      <c r="AG241" s="115"/>
      <c r="AH241" s="115"/>
      <c r="AI241" s="115"/>
      <c r="AJ241" s="115"/>
      <c r="AK241" s="115"/>
    </row>
    <row r="242" spans="2:37" ht="10.5" customHeight="1">
      <c r="B242" s="236"/>
      <c r="C242" s="309" t="s">
        <v>107</v>
      </c>
      <c r="D242" s="353"/>
      <c r="F242" s="409"/>
      <c r="G242" s="786" t="s">
        <v>2384</v>
      </c>
      <c r="H242" s="786" t="s">
        <v>1234</v>
      </c>
      <c r="I242" s="790" t="s">
        <v>712</v>
      </c>
      <c r="J242" s="790" t="s">
        <v>2402</v>
      </c>
      <c r="K242" s="788" t="s">
        <v>6731</v>
      </c>
      <c r="L242" s="789" t="s">
        <v>399</v>
      </c>
      <c r="M242" s="1975" t="s">
        <v>1123</v>
      </c>
      <c r="N242" s="789" t="s">
        <v>1132</v>
      </c>
      <c r="O242" s="1000" t="s">
        <v>3603</v>
      </c>
      <c r="P242" s="241" t="s">
        <v>629</v>
      </c>
      <c r="Q242" s="241"/>
      <c r="R242" s="147"/>
      <c r="S242" s="236"/>
      <c r="T242" s="392" t="s">
        <v>1914</v>
      </c>
      <c r="U242" s="392" t="s">
        <v>585</v>
      </c>
      <c r="W242" s="44" t="s">
        <v>1562</v>
      </c>
      <c r="X242" s="44" t="s">
        <v>3021</v>
      </c>
      <c r="Z242" s="44"/>
      <c r="AA242" s="115"/>
      <c r="AB242" s="115"/>
      <c r="AC242" s="380"/>
      <c r="AD242" s="68"/>
      <c r="AE242" s="115"/>
      <c r="AF242" s="115"/>
      <c r="AG242" s="115"/>
      <c r="AH242" s="115"/>
      <c r="AI242" s="115"/>
      <c r="AJ242" s="115"/>
      <c r="AK242" s="115"/>
    </row>
    <row r="243" spans="2:37" ht="10.5" customHeight="1">
      <c r="B243" s="236"/>
      <c r="C243" s="309" t="s">
        <v>109</v>
      </c>
      <c r="D243" s="353"/>
      <c r="F243" s="409"/>
      <c r="G243" s="786" t="s">
        <v>2385</v>
      </c>
      <c r="H243" s="786" t="s">
        <v>1234</v>
      </c>
      <c r="I243" s="787" t="s">
        <v>1894</v>
      </c>
      <c r="J243" s="787" t="s">
        <v>2402</v>
      </c>
      <c r="K243" s="788" t="s">
        <v>577</v>
      </c>
      <c r="L243" s="789" t="s">
        <v>399</v>
      </c>
      <c r="M243" s="1975" t="s">
        <v>2393</v>
      </c>
      <c r="N243" s="789" t="s">
        <v>159</v>
      </c>
      <c r="O243" s="1000" t="s">
        <v>3604</v>
      </c>
      <c r="P243" s="241" t="s">
        <v>2149</v>
      </c>
      <c r="Q243" s="241"/>
      <c r="R243" s="147"/>
      <c r="S243" s="236"/>
      <c r="T243" s="392" t="s">
        <v>1916</v>
      </c>
      <c r="U243" s="392" t="s">
        <v>2381</v>
      </c>
      <c r="W243" s="44" t="s">
        <v>809</v>
      </c>
      <c r="X243" s="44" t="s">
        <v>3021</v>
      </c>
      <c r="Z243" s="44"/>
      <c r="AA243" s="115"/>
      <c r="AB243" s="115"/>
      <c r="AC243" s="380"/>
      <c r="AD243" s="68"/>
      <c r="AE243" s="115"/>
      <c r="AF243" s="115"/>
      <c r="AG243" s="115"/>
      <c r="AH243" s="115"/>
      <c r="AI243" s="115"/>
      <c r="AJ243" s="115"/>
      <c r="AK243" s="115"/>
    </row>
    <row r="244" spans="2:37" ht="10.5" customHeight="1">
      <c r="B244" s="236"/>
      <c r="C244" s="309" t="s">
        <v>2208</v>
      </c>
      <c r="D244" s="353"/>
      <c r="F244" s="409"/>
      <c r="G244" s="786" t="s">
        <v>2386</v>
      </c>
      <c r="H244" s="786" t="s">
        <v>1234</v>
      </c>
      <c r="I244" s="787" t="s">
        <v>1894</v>
      </c>
      <c r="J244" s="787" t="s">
        <v>2402</v>
      </c>
      <c r="K244" s="788" t="s">
        <v>577</v>
      </c>
      <c r="L244" s="789" t="s">
        <v>399</v>
      </c>
      <c r="M244" s="1975" t="s">
        <v>2393</v>
      </c>
      <c r="N244" s="789" t="s">
        <v>159</v>
      </c>
      <c r="O244" s="1000" t="s">
        <v>3605</v>
      </c>
      <c r="P244" s="241" t="s">
        <v>2150</v>
      </c>
      <c r="Q244" s="241"/>
      <c r="R244" s="147"/>
      <c r="S244" s="236"/>
      <c r="T244" s="392" t="s">
        <v>3785</v>
      </c>
      <c r="U244" s="392" t="s">
        <v>1133</v>
      </c>
      <c r="W244" s="44" t="s">
        <v>1618</v>
      </c>
      <c r="X244" s="44" t="s">
        <v>3021</v>
      </c>
      <c r="Z244" s="44"/>
      <c r="AA244" s="115"/>
      <c r="AB244" s="115"/>
      <c r="AC244" s="380"/>
      <c r="AD244" s="68"/>
      <c r="AE244" s="115"/>
      <c r="AF244" s="115"/>
      <c r="AG244" s="115"/>
      <c r="AH244" s="115"/>
      <c r="AI244" s="115"/>
      <c r="AJ244" s="115"/>
      <c r="AK244" s="115"/>
    </row>
    <row r="245" spans="2:37" ht="10.5" customHeight="1">
      <c r="B245" s="236"/>
      <c r="C245" s="309" t="s">
        <v>2210</v>
      </c>
      <c r="D245" s="353"/>
      <c r="F245" s="409"/>
      <c r="G245" s="786" t="s">
        <v>2387</v>
      </c>
      <c r="H245" s="786" t="s">
        <v>1234</v>
      </c>
      <c r="I245" s="790" t="s">
        <v>712</v>
      </c>
      <c r="J245" s="790" t="s">
        <v>2402</v>
      </c>
      <c r="K245" s="788" t="s">
        <v>6731</v>
      </c>
      <c r="L245" s="789" t="s">
        <v>399</v>
      </c>
      <c r="M245" s="1975" t="s">
        <v>1123</v>
      </c>
      <c r="N245" s="789" t="s">
        <v>1132</v>
      </c>
      <c r="O245" s="1000" t="s">
        <v>3606</v>
      </c>
      <c r="P245" s="241" t="s">
        <v>1173</v>
      </c>
      <c r="Q245" s="241"/>
      <c r="R245" s="147"/>
      <c r="S245" s="236"/>
      <c r="T245" s="392" t="s">
        <v>2363</v>
      </c>
      <c r="U245" s="392" t="s">
        <v>1863</v>
      </c>
      <c r="W245" s="44" t="s">
        <v>588</v>
      </c>
      <c r="X245" s="44" t="s">
        <v>3021</v>
      </c>
      <c r="Z245" s="44"/>
      <c r="AA245" s="115"/>
      <c r="AB245" s="115"/>
      <c r="AC245" s="380"/>
      <c r="AD245" s="68"/>
      <c r="AE245" s="115"/>
      <c r="AF245" s="115"/>
      <c r="AG245" s="115"/>
      <c r="AH245" s="115"/>
      <c r="AI245" s="115"/>
      <c r="AJ245" s="115"/>
      <c r="AK245" s="115"/>
    </row>
    <row r="246" spans="2:37" ht="10.5" customHeight="1">
      <c r="B246" s="236"/>
      <c r="C246" s="309" t="s">
        <v>2212</v>
      </c>
      <c r="D246" s="353"/>
      <c r="F246" s="409"/>
      <c r="G246" s="786" t="s">
        <v>1027</v>
      </c>
      <c r="H246" s="786" t="s">
        <v>1234</v>
      </c>
      <c r="I246" s="790" t="s">
        <v>1028</v>
      </c>
      <c r="J246" s="790" t="s">
        <v>2402</v>
      </c>
      <c r="K246" s="788" t="s">
        <v>6737</v>
      </c>
      <c r="L246" s="789" t="s">
        <v>399</v>
      </c>
      <c r="M246" s="1975" t="s">
        <v>2393</v>
      </c>
      <c r="N246" s="789" t="s">
        <v>1243</v>
      </c>
      <c r="O246" s="1000" t="s">
        <v>3607</v>
      </c>
      <c r="P246" s="241" t="s">
        <v>1175</v>
      </c>
      <c r="Q246" s="241"/>
      <c r="R246" s="147"/>
      <c r="S246" s="236"/>
      <c r="T246" s="392" t="s">
        <v>1918</v>
      </c>
      <c r="U246" s="392" t="s">
        <v>192</v>
      </c>
      <c r="W246" s="44" t="s">
        <v>2114</v>
      </c>
      <c r="X246" s="44" t="s">
        <v>3021</v>
      </c>
      <c r="Z246" s="44"/>
      <c r="AA246" s="115"/>
      <c r="AB246" s="115"/>
      <c r="AC246" s="380"/>
      <c r="AD246" s="68"/>
      <c r="AE246" s="115"/>
      <c r="AF246" s="115"/>
      <c r="AG246" s="115"/>
      <c r="AH246" s="115"/>
      <c r="AI246" s="115"/>
      <c r="AJ246" s="115"/>
      <c r="AK246" s="115"/>
    </row>
    <row r="247" spans="2:37" ht="10.5" customHeight="1">
      <c r="F247" s="409"/>
      <c r="G247" s="786" t="s">
        <v>1029</v>
      </c>
      <c r="H247" s="786" t="s">
        <v>1234</v>
      </c>
      <c r="I247" s="790" t="s">
        <v>712</v>
      </c>
      <c r="J247" s="790" t="s">
        <v>2402</v>
      </c>
      <c r="K247" s="788" t="s">
        <v>6731</v>
      </c>
      <c r="L247" s="789" t="s">
        <v>399</v>
      </c>
      <c r="M247" s="1975" t="s">
        <v>1123</v>
      </c>
      <c r="N247" s="789" t="s">
        <v>1132</v>
      </c>
      <c r="O247" s="1000" t="s">
        <v>3608</v>
      </c>
      <c r="P247" s="241" t="s">
        <v>1177</v>
      </c>
      <c r="Q247" s="241"/>
      <c r="R247" s="147"/>
      <c r="S247" s="236"/>
      <c r="T247" s="392" t="s">
        <v>2533</v>
      </c>
      <c r="U247" s="392" t="s">
        <v>616</v>
      </c>
      <c r="W247" s="44" t="s">
        <v>970</v>
      </c>
      <c r="X247" s="44" t="s">
        <v>3021</v>
      </c>
      <c r="Z247" s="115"/>
      <c r="AA247" s="115"/>
      <c r="AB247" s="115"/>
      <c r="AC247" s="380"/>
      <c r="AD247" s="68"/>
      <c r="AE247" s="115"/>
      <c r="AF247" s="115"/>
      <c r="AG247" s="115"/>
      <c r="AH247" s="115"/>
      <c r="AI247" s="115"/>
      <c r="AJ247" s="115"/>
      <c r="AK247" s="115"/>
    </row>
    <row r="248" spans="2:37" ht="10.5" customHeight="1">
      <c r="F248" s="409"/>
      <c r="G248" s="786" t="s">
        <v>1030</v>
      </c>
      <c r="H248" s="786" t="s">
        <v>1138</v>
      </c>
      <c r="I248" s="787" t="s">
        <v>1031</v>
      </c>
      <c r="J248" s="787" t="s">
        <v>2401</v>
      </c>
      <c r="K248" s="788" t="s">
        <v>1814</v>
      </c>
      <c r="L248" s="789" t="s">
        <v>398</v>
      </c>
      <c r="M248" s="1975" t="s">
        <v>2393</v>
      </c>
      <c r="N248" s="789" t="s">
        <v>1578</v>
      </c>
      <c r="O248" s="1000" t="s">
        <v>3609</v>
      </c>
      <c r="P248" s="241" t="s">
        <v>1178</v>
      </c>
      <c r="Q248" s="241"/>
      <c r="R248" s="147"/>
      <c r="S248" s="236"/>
      <c r="T248" s="392" t="s">
        <v>1920</v>
      </c>
      <c r="U248" s="392" t="s">
        <v>192</v>
      </c>
      <c r="W248" s="44" t="s">
        <v>1805</v>
      </c>
      <c r="X248" s="44" t="s">
        <v>3021</v>
      </c>
      <c r="Z248" s="115"/>
      <c r="AA248" s="115"/>
      <c r="AB248" s="115"/>
      <c r="AC248" s="380"/>
      <c r="AD248" s="68"/>
      <c r="AE248" s="115"/>
      <c r="AF248" s="115"/>
      <c r="AG248" s="115"/>
      <c r="AH248" s="115"/>
      <c r="AI248" s="115"/>
      <c r="AJ248" s="115"/>
      <c r="AK248" s="115"/>
    </row>
    <row r="249" spans="2:37" ht="10.5" customHeight="1">
      <c r="F249" s="409"/>
      <c r="G249" s="786" t="s">
        <v>1032</v>
      </c>
      <c r="H249" s="786" t="s">
        <v>1138</v>
      </c>
      <c r="I249" s="790" t="s">
        <v>712</v>
      </c>
      <c r="J249" s="790" t="s">
        <v>2402</v>
      </c>
      <c r="K249" s="788" t="s">
        <v>6731</v>
      </c>
      <c r="L249" s="789" t="s">
        <v>399</v>
      </c>
      <c r="M249" s="1975" t="s">
        <v>1123</v>
      </c>
      <c r="N249" s="789" t="s">
        <v>1132</v>
      </c>
      <c r="O249" s="1000" t="s">
        <v>3610</v>
      </c>
      <c r="P249" s="241" t="s">
        <v>1180</v>
      </c>
      <c r="Q249" s="241"/>
      <c r="R249" s="147"/>
      <c r="S249" s="236"/>
      <c r="T249" s="392" t="s">
        <v>630</v>
      </c>
      <c r="U249" s="392" t="s">
        <v>1863</v>
      </c>
      <c r="W249" s="44" t="s">
        <v>463</v>
      </c>
      <c r="X249" s="44" t="s">
        <v>3021</v>
      </c>
      <c r="Z249" s="115"/>
      <c r="AA249" s="115"/>
      <c r="AB249" s="115"/>
      <c r="AC249" s="380"/>
      <c r="AD249" s="68"/>
      <c r="AE249" s="115"/>
      <c r="AF249" s="115"/>
      <c r="AG249" s="115"/>
      <c r="AH249" s="115"/>
      <c r="AI249" s="115"/>
      <c r="AJ249" s="115"/>
      <c r="AK249" s="115"/>
    </row>
    <row r="250" spans="2:37" ht="10.5" customHeight="1">
      <c r="F250" s="409"/>
      <c r="G250" s="786" t="s">
        <v>1033</v>
      </c>
      <c r="H250" s="786" t="s">
        <v>1234</v>
      </c>
      <c r="I250" s="787" t="s">
        <v>1034</v>
      </c>
      <c r="J250" s="787" t="s">
        <v>2401</v>
      </c>
      <c r="K250" s="788" t="s">
        <v>1815</v>
      </c>
      <c r="L250" s="789" t="s">
        <v>398</v>
      </c>
      <c r="M250" s="1975" t="s">
        <v>2393</v>
      </c>
      <c r="N250" s="789" t="s">
        <v>1132</v>
      </c>
      <c r="O250" s="1000" t="s">
        <v>3611</v>
      </c>
      <c r="P250" s="241" t="s">
        <v>2298</v>
      </c>
      <c r="Q250" s="241"/>
      <c r="R250" s="147"/>
      <c r="S250" s="236"/>
      <c r="T250" s="392" t="s">
        <v>2151</v>
      </c>
      <c r="U250" s="392" t="s">
        <v>116</v>
      </c>
      <c r="W250" s="44" t="s">
        <v>1535</v>
      </c>
      <c r="X250" s="44" t="s">
        <v>3021</v>
      </c>
      <c r="Z250" s="115"/>
      <c r="AA250" s="115"/>
      <c r="AB250" s="115"/>
      <c r="AC250" s="380"/>
      <c r="AD250" s="68"/>
      <c r="AE250" s="115"/>
      <c r="AF250" s="115"/>
      <c r="AG250" s="115"/>
      <c r="AH250" s="115"/>
      <c r="AI250" s="115"/>
      <c r="AJ250" s="115"/>
      <c r="AK250" s="115"/>
    </row>
    <row r="251" spans="2:37" ht="10.5" customHeight="1">
      <c r="F251" s="409"/>
      <c r="G251" s="786" t="s">
        <v>1035</v>
      </c>
      <c r="H251" s="786" t="s">
        <v>1138</v>
      </c>
      <c r="I251" s="790" t="s">
        <v>1036</v>
      </c>
      <c r="J251" s="790" t="s">
        <v>2402</v>
      </c>
      <c r="K251" s="788" t="s">
        <v>1816</v>
      </c>
      <c r="L251" s="789" t="s">
        <v>399</v>
      </c>
      <c r="M251" s="1975" t="s">
        <v>2393</v>
      </c>
      <c r="N251" s="789" t="s">
        <v>1243</v>
      </c>
      <c r="O251" s="1000" t="s">
        <v>3612</v>
      </c>
      <c r="P251" s="241" t="s">
        <v>77</v>
      </c>
      <c r="Q251" s="241"/>
      <c r="R251" s="147"/>
      <c r="S251" s="236"/>
      <c r="T251" s="392" t="s">
        <v>1174</v>
      </c>
      <c r="U251" s="392" t="s">
        <v>585</v>
      </c>
      <c r="W251" s="44" t="s">
        <v>884</v>
      </c>
      <c r="X251" s="44" t="s">
        <v>3021</v>
      </c>
      <c r="Z251" s="115"/>
      <c r="AA251" s="115"/>
      <c r="AB251" s="115"/>
      <c r="AC251" s="380"/>
      <c r="AD251" s="68"/>
      <c r="AE251" s="115"/>
      <c r="AF251" s="115"/>
      <c r="AG251" s="115"/>
      <c r="AH251" s="115"/>
      <c r="AI251" s="115"/>
      <c r="AJ251" s="115"/>
      <c r="AK251" s="115"/>
    </row>
    <row r="252" spans="2:37" ht="10.5" customHeight="1">
      <c r="F252" s="409"/>
      <c r="G252" s="786" t="s">
        <v>1037</v>
      </c>
      <c r="H252" s="786" t="s">
        <v>1234</v>
      </c>
      <c r="I252" s="790" t="s">
        <v>1038</v>
      </c>
      <c r="J252" s="790" t="s">
        <v>2401</v>
      </c>
      <c r="K252" s="788" t="s">
        <v>1817</v>
      </c>
      <c r="L252" s="789" t="s">
        <v>398</v>
      </c>
      <c r="M252" s="1975" t="s">
        <v>2393</v>
      </c>
      <c r="N252" s="789" t="s">
        <v>1132</v>
      </c>
      <c r="O252" s="1000" t="s">
        <v>3613</v>
      </c>
      <c r="P252" s="241" t="s">
        <v>78</v>
      </c>
      <c r="Q252" s="241"/>
      <c r="R252" s="147"/>
      <c r="S252" s="236"/>
      <c r="T252" s="392" t="s">
        <v>1176</v>
      </c>
      <c r="U252" s="392" t="s">
        <v>2076</v>
      </c>
      <c r="W252" s="44" t="s">
        <v>2129</v>
      </c>
      <c r="X252" s="44" t="s">
        <v>3021</v>
      </c>
      <c r="Z252" s="115"/>
      <c r="AA252" s="115"/>
      <c r="AB252" s="115"/>
      <c r="AC252" s="380"/>
      <c r="AD252" s="68"/>
      <c r="AE252" s="115"/>
      <c r="AF252" s="115"/>
      <c r="AG252" s="115"/>
      <c r="AH252" s="115"/>
      <c r="AI252" s="115"/>
      <c r="AJ252" s="115"/>
      <c r="AK252" s="115"/>
    </row>
    <row r="253" spans="2:37" ht="10.5" customHeight="1">
      <c r="F253" s="409"/>
      <c r="G253" s="786" t="s">
        <v>1039</v>
      </c>
      <c r="H253" s="786" t="s">
        <v>1138</v>
      </c>
      <c r="I253" s="787" t="s">
        <v>1040</v>
      </c>
      <c r="J253" s="787" t="s">
        <v>2401</v>
      </c>
      <c r="K253" s="788" t="s">
        <v>1660</v>
      </c>
      <c r="L253" s="789" t="s">
        <v>398</v>
      </c>
      <c r="M253" s="1975" t="s">
        <v>2393</v>
      </c>
      <c r="N253" s="789" t="s">
        <v>154</v>
      </c>
      <c r="O253" s="1000" t="s">
        <v>3614</v>
      </c>
      <c r="P253" s="241" t="s">
        <v>79</v>
      </c>
      <c r="Q253" s="241"/>
      <c r="R253" s="147"/>
      <c r="S253" s="236"/>
      <c r="T253" s="392" t="s">
        <v>2288</v>
      </c>
      <c r="U253" s="392" t="s">
        <v>1041</v>
      </c>
      <c r="W253" s="44" t="s">
        <v>310</v>
      </c>
      <c r="X253" s="44" t="s">
        <v>3021</v>
      </c>
      <c r="Z253" s="115"/>
      <c r="AA253" s="115"/>
      <c r="AB253" s="115"/>
      <c r="AC253" s="380"/>
      <c r="AD253" s="68"/>
      <c r="AE253" s="115"/>
      <c r="AF253" s="115"/>
      <c r="AG253" s="115"/>
      <c r="AH253" s="115"/>
      <c r="AI253" s="115"/>
      <c r="AJ253" s="115"/>
      <c r="AK253" s="115"/>
    </row>
    <row r="254" spans="2:37" ht="10.5" customHeight="1">
      <c r="F254" s="409"/>
      <c r="G254" s="786" t="s">
        <v>1041</v>
      </c>
      <c r="H254" s="786" t="s">
        <v>1234</v>
      </c>
      <c r="I254" s="787" t="s">
        <v>1042</v>
      </c>
      <c r="J254" s="787" t="s">
        <v>2401</v>
      </c>
      <c r="K254" s="788" t="s">
        <v>1661</v>
      </c>
      <c r="L254" s="789" t="s">
        <v>398</v>
      </c>
      <c r="M254" s="1975" t="s">
        <v>2393</v>
      </c>
      <c r="N254" s="789" t="s">
        <v>159</v>
      </c>
      <c r="O254" s="1000" t="s">
        <v>3615</v>
      </c>
      <c r="P254" s="241" t="s">
        <v>81</v>
      </c>
      <c r="Q254" s="241"/>
      <c r="R254" s="147"/>
      <c r="S254" s="236"/>
      <c r="T254" s="392" t="s">
        <v>1179</v>
      </c>
      <c r="U254" s="392" t="s">
        <v>298</v>
      </c>
      <c r="W254" s="44" t="s">
        <v>312</v>
      </c>
      <c r="X254" s="44" t="s">
        <v>3021</v>
      </c>
      <c r="Z254" s="115"/>
      <c r="AA254" s="115"/>
      <c r="AB254" s="115"/>
      <c r="AC254" s="380"/>
      <c r="AD254" s="68"/>
      <c r="AE254" s="115"/>
      <c r="AF254" s="115"/>
      <c r="AG254" s="115"/>
      <c r="AH254" s="115"/>
      <c r="AI254" s="115"/>
      <c r="AJ254" s="115"/>
      <c r="AK254" s="115"/>
    </row>
    <row r="255" spans="2:37" ht="10.5" customHeight="1">
      <c r="F255" s="409"/>
      <c r="G255" s="786" t="s">
        <v>1043</v>
      </c>
      <c r="H255" s="786" t="s">
        <v>1138</v>
      </c>
      <c r="I255" s="787" t="s">
        <v>1044</v>
      </c>
      <c r="J255" s="787" t="s">
        <v>2401</v>
      </c>
      <c r="K255" s="788" t="s">
        <v>1662</v>
      </c>
      <c r="L255" s="789" t="s">
        <v>398</v>
      </c>
      <c r="M255" s="1975" t="s">
        <v>2393</v>
      </c>
      <c r="N255" s="789" t="s">
        <v>1658</v>
      </c>
      <c r="O255" s="1000" t="s">
        <v>3616</v>
      </c>
      <c r="P255" s="241" t="s">
        <v>1154</v>
      </c>
      <c r="Q255" s="241"/>
      <c r="R255" s="147"/>
      <c r="S255" s="236"/>
      <c r="T255" s="392" t="s">
        <v>2297</v>
      </c>
      <c r="U255" s="392" t="s">
        <v>108</v>
      </c>
      <c r="W255" s="44" t="s">
        <v>315</v>
      </c>
      <c r="X255" s="44" t="s">
        <v>3021</v>
      </c>
      <c r="Z255" s="115"/>
      <c r="AA255" s="115"/>
      <c r="AB255" s="115"/>
      <c r="AC255" s="380"/>
      <c r="AD255" s="68"/>
      <c r="AE255" s="115"/>
      <c r="AF255" s="115"/>
      <c r="AG255" s="115"/>
      <c r="AH255" s="115"/>
      <c r="AI255" s="115"/>
      <c r="AJ255" s="115"/>
      <c r="AK255" s="115"/>
    </row>
    <row r="256" spans="2:37" ht="10.5" customHeight="1">
      <c r="F256" s="409"/>
      <c r="G256" s="786" t="s">
        <v>1045</v>
      </c>
      <c r="H256" s="786" t="s">
        <v>1670</v>
      </c>
      <c r="I256" s="790" t="s">
        <v>713</v>
      </c>
      <c r="J256" s="790" t="s">
        <v>2402</v>
      </c>
      <c r="K256" s="788" t="s">
        <v>6733</v>
      </c>
      <c r="L256" s="789" t="s">
        <v>399</v>
      </c>
      <c r="M256" s="1975" t="s">
        <v>1123</v>
      </c>
      <c r="N256" s="789" t="s">
        <v>1253</v>
      </c>
      <c r="O256" s="1000" t="s">
        <v>3617</v>
      </c>
      <c r="P256" s="241" t="s">
        <v>1156</v>
      </c>
      <c r="Q256" s="241"/>
      <c r="R256" s="147"/>
      <c r="S256" s="236"/>
      <c r="T256" s="392" t="s">
        <v>76</v>
      </c>
      <c r="U256" s="392" t="s">
        <v>189</v>
      </c>
      <c r="W256" s="44" t="s">
        <v>1633</v>
      </c>
      <c r="X256" s="44" t="s">
        <v>3021</v>
      </c>
      <c r="AA256"/>
      <c r="AB256"/>
      <c r="AC256" s="380"/>
      <c r="AD256" s="68"/>
    </row>
    <row r="257" spans="6:30" ht="10.5" customHeight="1">
      <c r="F257" s="409"/>
      <c r="G257" s="786" t="s">
        <v>1046</v>
      </c>
      <c r="H257" s="786" t="s">
        <v>1234</v>
      </c>
      <c r="I257" s="790" t="s">
        <v>712</v>
      </c>
      <c r="J257" s="790" t="s">
        <v>2402</v>
      </c>
      <c r="K257" s="788" t="s">
        <v>6731</v>
      </c>
      <c r="L257" s="789" t="s">
        <v>399</v>
      </c>
      <c r="M257" s="1975" t="s">
        <v>1123</v>
      </c>
      <c r="N257" s="789" t="s">
        <v>1132</v>
      </c>
      <c r="O257" s="1000" t="s">
        <v>3618</v>
      </c>
      <c r="P257" s="241" t="s">
        <v>1158</v>
      </c>
      <c r="Q257" s="241"/>
      <c r="R257" s="147"/>
      <c r="S257" s="236"/>
      <c r="T257" s="392" t="s">
        <v>80</v>
      </c>
      <c r="U257" s="392" t="s">
        <v>2027</v>
      </c>
      <c r="W257" s="44" t="s">
        <v>645</v>
      </c>
      <c r="X257" s="44" t="s">
        <v>3021</v>
      </c>
      <c r="AA257"/>
      <c r="AB257"/>
      <c r="AC257" s="380"/>
      <c r="AD257" s="68"/>
    </row>
    <row r="258" spans="6:30" ht="10.5" customHeight="1">
      <c r="F258" s="409"/>
      <c r="G258" s="786" t="s">
        <v>1047</v>
      </c>
      <c r="H258" s="786" t="s">
        <v>1138</v>
      </c>
      <c r="I258" s="787" t="s">
        <v>2011</v>
      </c>
      <c r="J258" s="787" t="s">
        <v>2401</v>
      </c>
      <c r="K258" s="788" t="s">
        <v>1663</v>
      </c>
      <c r="L258" s="789" t="s">
        <v>398</v>
      </c>
      <c r="M258" s="1975" t="s">
        <v>2393</v>
      </c>
      <c r="N258" s="789" t="s">
        <v>154</v>
      </c>
      <c r="O258" s="1000" t="s">
        <v>3619</v>
      </c>
      <c r="P258" s="241" t="s">
        <v>1160</v>
      </c>
      <c r="Q258" s="241"/>
      <c r="R258" s="147"/>
      <c r="S258" s="236"/>
      <c r="T258" s="392" t="s">
        <v>82</v>
      </c>
      <c r="U258" s="392" t="s">
        <v>1244</v>
      </c>
      <c r="W258" s="44" t="s">
        <v>2172</v>
      </c>
      <c r="X258" s="44" t="s">
        <v>3021</v>
      </c>
      <c r="AA258"/>
      <c r="AB258"/>
      <c r="AC258" s="380"/>
      <c r="AD258" s="68"/>
    </row>
    <row r="259" spans="6:30" ht="10.5" customHeight="1">
      <c r="F259" s="409"/>
      <c r="G259" s="786" t="s">
        <v>2012</v>
      </c>
      <c r="H259" s="786" t="s">
        <v>1138</v>
      </c>
      <c r="I259" s="787" t="s">
        <v>2013</v>
      </c>
      <c r="J259" s="787" t="s">
        <v>2401</v>
      </c>
      <c r="K259" s="788" t="s">
        <v>1664</v>
      </c>
      <c r="L259" s="789" t="s">
        <v>398</v>
      </c>
      <c r="M259" s="1975" t="s">
        <v>2393</v>
      </c>
      <c r="N259" s="789" t="s">
        <v>1249</v>
      </c>
      <c r="O259" s="1000" t="s">
        <v>3620</v>
      </c>
      <c r="P259" s="241" t="s">
        <v>1162</v>
      </c>
      <c r="Q259" s="241"/>
      <c r="R259" s="147"/>
      <c r="S259" s="236"/>
      <c r="T259" s="392" t="s">
        <v>1155</v>
      </c>
      <c r="U259" s="392" t="s">
        <v>1811</v>
      </c>
      <c r="W259" s="44" t="s">
        <v>448</v>
      </c>
      <c r="X259" s="44" t="s">
        <v>3021</v>
      </c>
      <c r="AA259"/>
      <c r="AB259"/>
      <c r="AC259" s="380"/>
      <c r="AD259" s="68"/>
    </row>
    <row r="260" spans="6:30" ht="10.5" customHeight="1">
      <c r="F260" s="409"/>
      <c r="G260" s="786" t="s">
        <v>1504</v>
      </c>
      <c r="H260" s="786"/>
      <c r="I260" s="786" t="s">
        <v>1504</v>
      </c>
      <c r="J260" s="787"/>
      <c r="K260" s="788"/>
      <c r="L260" s="789"/>
      <c r="M260" s="1976" t="s">
        <v>1504</v>
      </c>
      <c r="N260" s="786" t="s">
        <v>1504</v>
      </c>
      <c r="O260" s="1000" t="s">
        <v>3621</v>
      </c>
      <c r="P260" s="241" t="s">
        <v>1164</v>
      </c>
      <c r="Q260" s="241"/>
      <c r="R260" s="147"/>
      <c r="S260" s="236"/>
      <c r="T260" s="392" t="s">
        <v>1157</v>
      </c>
      <c r="U260" s="392" t="s">
        <v>172</v>
      </c>
      <c r="W260" s="44" t="s">
        <v>3014</v>
      </c>
      <c r="X260" s="44" t="s">
        <v>3021</v>
      </c>
      <c r="AA260"/>
      <c r="AB260"/>
      <c r="AC260" s="380"/>
      <c r="AD260" s="68"/>
    </row>
    <row r="261" spans="6:30" ht="10.5" customHeight="1">
      <c r="F261" s="409"/>
      <c r="G261" s="786" t="s">
        <v>2014</v>
      </c>
      <c r="H261" s="786" t="s">
        <v>1138</v>
      </c>
      <c r="I261" s="790" t="s">
        <v>2015</v>
      </c>
      <c r="J261" s="787" t="s">
        <v>2401</v>
      </c>
      <c r="K261" s="788" t="s">
        <v>430</v>
      </c>
      <c r="L261" s="789" t="s">
        <v>398</v>
      </c>
      <c r="M261" s="1975" t="s">
        <v>2393</v>
      </c>
      <c r="N261" s="789" t="s">
        <v>1658</v>
      </c>
      <c r="O261" s="1000" t="s">
        <v>3622</v>
      </c>
      <c r="P261" s="241" t="s">
        <v>833</v>
      </c>
      <c r="Q261" s="241"/>
      <c r="R261" s="147"/>
      <c r="S261" s="236"/>
      <c r="T261" s="236" t="s">
        <v>1159</v>
      </c>
      <c r="U261" s="236" t="s">
        <v>1043</v>
      </c>
      <c r="W261" s="44" t="s">
        <v>3015</v>
      </c>
      <c r="X261" s="44" t="s">
        <v>3021</v>
      </c>
      <c r="AA261"/>
      <c r="AB261"/>
      <c r="AC261" s="380"/>
      <c r="AD261" s="68"/>
    </row>
    <row r="262" spans="6:30" ht="10.5" customHeight="1">
      <c r="F262" s="409"/>
      <c r="G262" s="786" t="s">
        <v>2016</v>
      </c>
      <c r="H262" s="786" t="s">
        <v>1234</v>
      </c>
      <c r="I262" s="790" t="s">
        <v>712</v>
      </c>
      <c r="J262" s="790" t="s">
        <v>2402</v>
      </c>
      <c r="K262" s="788" t="s">
        <v>6731</v>
      </c>
      <c r="L262" s="789" t="s">
        <v>399</v>
      </c>
      <c r="M262" s="1975" t="s">
        <v>1123</v>
      </c>
      <c r="N262" s="789" t="s">
        <v>1132</v>
      </c>
      <c r="O262" s="1000" t="s">
        <v>3623</v>
      </c>
      <c r="P262" s="241" t="s">
        <v>834</v>
      </c>
      <c r="Q262" s="241"/>
      <c r="R262" s="147"/>
      <c r="S262" s="236"/>
      <c r="T262" s="392" t="s">
        <v>1161</v>
      </c>
      <c r="U262" s="392" t="s">
        <v>1133</v>
      </c>
      <c r="W262" s="44" t="s">
        <v>73</v>
      </c>
      <c r="X262" s="44" t="s">
        <v>3021</v>
      </c>
      <c r="AA262"/>
      <c r="AB262"/>
      <c r="AC262" s="68"/>
      <c r="AD262" s="68"/>
    </row>
    <row r="263" spans="6:30" ht="10.5" customHeight="1">
      <c r="F263" s="409"/>
      <c r="G263" s="786" t="s">
        <v>2017</v>
      </c>
      <c r="H263" s="786" t="s">
        <v>1234</v>
      </c>
      <c r="I263" s="790" t="s">
        <v>2018</v>
      </c>
      <c r="J263" s="790" t="s">
        <v>2401</v>
      </c>
      <c r="K263" s="788" t="s">
        <v>213</v>
      </c>
      <c r="L263" s="789" t="s">
        <v>398</v>
      </c>
      <c r="M263" s="1975" t="s">
        <v>2393</v>
      </c>
      <c r="N263" s="789" t="s">
        <v>159</v>
      </c>
      <c r="O263" s="1000" t="s">
        <v>3624</v>
      </c>
      <c r="P263" s="241" t="s">
        <v>836</v>
      </c>
      <c r="Q263" s="241"/>
      <c r="R263" s="147"/>
      <c r="S263" s="236"/>
      <c r="T263" s="392" t="s">
        <v>1163</v>
      </c>
      <c r="U263" s="392" t="s">
        <v>2027</v>
      </c>
      <c r="W263" s="44" t="s">
        <v>2223</v>
      </c>
      <c r="X263" s="44" t="s">
        <v>3021</v>
      </c>
      <c r="AA263"/>
      <c r="AB263"/>
      <c r="AC263" s="380"/>
      <c r="AD263" s="68"/>
    </row>
    <row r="264" spans="6:30" ht="10.5" customHeight="1">
      <c r="F264" s="409"/>
      <c r="G264" s="786" t="s">
        <v>2019</v>
      </c>
      <c r="H264" s="786" t="s">
        <v>1138</v>
      </c>
      <c r="I264" s="787" t="s">
        <v>2020</v>
      </c>
      <c r="J264" s="790" t="s">
        <v>2402</v>
      </c>
      <c r="K264" s="788" t="s">
        <v>6738</v>
      </c>
      <c r="L264" s="789" t="s">
        <v>398</v>
      </c>
      <c r="M264" s="1975" t="s">
        <v>2393</v>
      </c>
      <c r="N264" s="789" t="s">
        <v>154</v>
      </c>
      <c r="O264" s="1000" t="s">
        <v>3625</v>
      </c>
      <c r="P264" s="241" t="s">
        <v>838</v>
      </c>
      <c r="Q264" s="241"/>
      <c r="R264" s="147"/>
      <c r="S264" s="236"/>
      <c r="T264" s="392" t="s">
        <v>2294</v>
      </c>
      <c r="U264" s="392" t="s">
        <v>1525</v>
      </c>
      <c r="W264" s="44" t="s">
        <v>571</v>
      </c>
      <c r="X264" s="44" t="s">
        <v>3021</v>
      </c>
      <c r="AA264"/>
      <c r="AB264"/>
      <c r="AC264" s="380"/>
      <c r="AD264" s="68"/>
    </row>
    <row r="265" spans="6:30" ht="10.5" customHeight="1">
      <c r="F265" s="409"/>
      <c r="G265" s="786" t="s">
        <v>2021</v>
      </c>
      <c r="H265" s="786" t="s">
        <v>1670</v>
      </c>
      <c r="I265" s="787" t="s">
        <v>2022</v>
      </c>
      <c r="J265" s="787" t="s">
        <v>2401</v>
      </c>
      <c r="K265" s="788" t="s">
        <v>1339</v>
      </c>
      <c r="L265" s="789" t="s">
        <v>398</v>
      </c>
      <c r="M265" s="1975" t="s">
        <v>2393</v>
      </c>
      <c r="N265" s="789" t="s">
        <v>1658</v>
      </c>
      <c r="O265" s="1000" t="s">
        <v>3626</v>
      </c>
      <c r="P265" s="241" t="s">
        <v>1985</v>
      </c>
      <c r="Q265" s="241"/>
      <c r="R265" s="147"/>
      <c r="S265" s="236"/>
      <c r="T265" s="392" t="s">
        <v>154</v>
      </c>
      <c r="U265" s="392" t="s">
        <v>2383</v>
      </c>
      <c r="W265" s="44" t="s">
        <v>904</v>
      </c>
      <c r="X265" s="44" t="s">
        <v>3021</v>
      </c>
      <c r="AA265"/>
      <c r="AB265"/>
      <c r="AC265" s="380"/>
      <c r="AD265" s="68"/>
    </row>
    <row r="266" spans="6:30" ht="10.5" customHeight="1">
      <c r="F266" s="409"/>
      <c r="G266" s="786" t="s">
        <v>2023</v>
      </c>
      <c r="H266" s="786" t="s">
        <v>1138</v>
      </c>
      <c r="I266" s="787" t="s">
        <v>2024</v>
      </c>
      <c r="J266" s="787" t="s">
        <v>2402</v>
      </c>
      <c r="K266" s="788" t="s">
        <v>6739</v>
      </c>
      <c r="L266" s="789" t="s">
        <v>398</v>
      </c>
      <c r="M266" s="1975" t="s">
        <v>2393</v>
      </c>
      <c r="N266" s="789" t="s">
        <v>154</v>
      </c>
      <c r="O266" s="1000" t="s">
        <v>3627</v>
      </c>
      <c r="P266" s="241" t="s">
        <v>1986</v>
      </c>
      <c r="Q266" s="241"/>
      <c r="R266" s="147"/>
      <c r="S266" s="236"/>
      <c r="T266" s="392" t="s">
        <v>835</v>
      </c>
      <c r="U266" s="392" t="s">
        <v>172</v>
      </c>
      <c r="W266" s="44" t="s">
        <v>1397</v>
      </c>
      <c r="X266" s="44" t="s">
        <v>3021</v>
      </c>
      <c r="AA266"/>
      <c r="AB266"/>
      <c r="AC266" s="380"/>
      <c r="AD266" s="68"/>
    </row>
    <row r="267" spans="6:30" ht="10.5" customHeight="1">
      <c r="F267" s="409"/>
      <c r="G267" s="786" t="s">
        <v>2025</v>
      </c>
      <c r="H267" s="786" t="s">
        <v>1234</v>
      </c>
      <c r="I267" s="787" t="s">
        <v>2026</v>
      </c>
      <c r="J267" s="787" t="s">
        <v>2401</v>
      </c>
      <c r="K267" s="788" t="s">
        <v>1867</v>
      </c>
      <c r="L267" s="789" t="s">
        <v>398</v>
      </c>
      <c r="M267" s="1975" t="s">
        <v>2393</v>
      </c>
      <c r="N267" s="789" t="s">
        <v>159</v>
      </c>
      <c r="O267" s="1000" t="s">
        <v>3628</v>
      </c>
      <c r="P267" s="241" t="s">
        <v>1905</v>
      </c>
      <c r="Q267" s="241"/>
      <c r="R267" s="147"/>
      <c r="S267" s="236"/>
      <c r="T267" s="236" t="s">
        <v>837</v>
      </c>
      <c r="U267" s="236" t="s">
        <v>310</v>
      </c>
      <c r="W267" s="44" t="s">
        <v>2158</v>
      </c>
      <c r="X267" s="44" t="s">
        <v>3021</v>
      </c>
      <c r="AA267"/>
      <c r="AB267"/>
      <c r="AC267" s="380"/>
      <c r="AD267" s="68"/>
    </row>
    <row r="268" spans="6:30" ht="10.5" customHeight="1">
      <c r="F268" s="409"/>
      <c r="G268" s="786" t="s">
        <v>2027</v>
      </c>
      <c r="H268" s="786" t="s">
        <v>1138</v>
      </c>
      <c r="I268" s="787" t="s">
        <v>2028</v>
      </c>
      <c r="J268" s="787" t="s">
        <v>2401</v>
      </c>
      <c r="K268" s="788" t="s">
        <v>1868</v>
      </c>
      <c r="L268" s="789" t="s">
        <v>398</v>
      </c>
      <c r="M268" s="1975" t="s">
        <v>2393</v>
      </c>
      <c r="N268" s="789" t="s">
        <v>1249</v>
      </c>
      <c r="O268" s="1000" t="s">
        <v>3629</v>
      </c>
      <c r="P268" s="241" t="s">
        <v>1907</v>
      </c>
      <c r="Q268" s="241"/>
      <c r="R268" s="147"/>
      <c r="S268" s="236"/>
      <c r="T268" s="392" t="s">
        <v>839</v>
      </c>
      <c r="U268" s="392" t="s">
        <v>1032</v>
      </c>
      <c r="W268" s="44" t="s">
        <v>764</v>
      </c>
      <c r="X268" s="44" t="s">
        <v>3021</v>
      </c>
      <c r="AA268"/>
      <c r="AB268"/>
      <c r="AC268" s="68"/>
      <c r="AD268" s="68"/>
    </row>
    <row r="269" spans="6:30" ht="10.5" customHeight="1">
      <c r="F269" s="409"/>
      <c r="G269" s="786" t="s">
        <v>2029</v>
      </c>
      <c r="H269" s="786" t="s">
        <v>1138</v>
      </c>
      <c r="I269" s="787" t="s">
        <v>812</v>
      </c>
      <c r="J269" s="787" t="s">
        <v>2401</v>
      </c>
      <c r="K269" s="788" t="s">
        <v>1869</v>
      </c>
      <c r="L269" s="789" t="s">
        <v>398</v>
      </c>
      <c r="M269" s="1975" t="s">
        <v>2393</v>
      </c>
      <c r="N269" s="789" t="s">
        <v>154</v>
      </c>
      <c r="O269" s="1000" t="s">
        <v>3630</v>
      </c>
      <c r="P269" s="241" t="s">
        <v>555</v>
      </c>
      <c r="Q269" s="241"/>
      <c r="R269" s="147"/>
      <c r="S269" s="236"/>
      <c r="T269" s="392" t="s">
        <v>2364</v>
      </c>
      <c r="U269" s="392" t="s">
        <v>2288</v>
      </c>
      <c r="W269" s="44" t="s">
        <v>767</v>
      </c>
      <c r="X269" s="44" t="s">
        <v>3021</v>
      </c>
      <c r="AA269"/>
      <c r="AB269"/>
      <c r="AC269" s="380"/>
      <c r="AD269" s="68"/>
    </row>
    <row r="270" spans="6:30" ht="10.5" customHeight="1">
      <c r="F270" s="409"/>
      <c r="G270" s="786" t="s">
        <v>813</v>
      </c>
      <c r="H270" s="786" t="s">
        <v>1138</v>
      </c>
      <c r="I270" s="787" t="s">
        <v>814</v>
      </c>
      <c r="J270" s="787" t="s">
        <v>2401</v>
      </c>
      <c r="K270" s="788" t="s">
        <v>1870</v>
      </c>
      <c r="L270" s="789" t="s">
        <v>398</v>
      </c>
      <c r="M270" s="1975" t="s">
        <v>2393</v>
      </c>
      <c r="N270" s="789" t="s">
        <v>1658</v>
      </c>
      <c r="O270" s="1000" t="s">
        <v>3631</v>
      </c>
      <c r="P270" s="241" t="s">
        <v>556</v>
      </c>
      <c r="Q270" s="241"/>
      <c r="R270" s="147"/>
      <c r="S270" s="236"/>
      <c r="T270" s="392" t="s">
        <v>1987</v>
      </c>
      <c r="U270" s="392" t="s">
        <v>1046</v>
      </c>
      <c r="W270" s="44" t="s">
        <v>1413</v>
      </c>
      <c r="X270" s="44" t="s">
        <v>3021</v>
      </c>
      <c r="AA270"/>
      <c r="AB270"/>
      <c r="AC270" s="380"/>
      <c r="AD270" s="68"/>
    </row>
    <row r="271" spans="6:30" ht="10.5" customHeight="1">
      <c r="F271" s="409"/>
      <c r="G271" s="786" t="s">
        <v>1552</v>
      </c>
      <c r="H271" s="786" t="s">
        <v>1138</v>
      </c>
      <c r="I271" s="790" t="s">
        <v>1658</v>
      </c>
      <c r="J271" s="787" t="s">
        <v>2402</v>
      </c>
      <c r="K271" s="788" t="s">
        <v>1094</v>
      </c>
      <c r="L271" s="789" t="s">
        <v>399</v>
      </c>
      <c r="M271" s="1975" t="s">
        <v>2393</v>
      </c>
      <c r="N271" s="789" t="s">
        <v>1658</v>
      </c>
      <c r="O271" s="1000" t="s">
        <v>3632</v>
      </c>
      <c r="P271" s="241" t="s">
        <v>558</v>
      </c>
      <c r="Q271" s="241"/>
      <c r="R271" s="147"/>
      <c r="S271" s="236"/>
      <c r="T271" s="392" t="s">
        <v>1906</v>
      </c>
      <c r="U271" s="392" t="s">
        <v>1553</v>
      </c>
      <c r="W271" s="44" t="s">
        <v>456</v>
      </c>
      <c r="X271" s="44" t="s">
        <v>3021</v>
      </c>
      <c r="AA271"/>
      <c r="AB271"/>
      <c r="AC271" s="380"/>
      <c r="AD271" s="68"/>
    </row>
    <row r="272" spans="6:30" ht="10.5" customHeight="1">
      <c r="F272" s="409"/>
      <c r="G272" s="786" t="s">
        <v>1553</v>
      </c>
      <c r="H272" s="786" t="s">
        <v>1138</v>
      </c>
      <c r="I272" s="790" t="s">
        <v>1554</v>
      </c>
      <c r="J272" s="790" t="s">
        <v>2401</v>
      </c>
      <c r="K272" s="788" t="s">
        <v>1871</v>
      </c>
      <c r="L272" s="789" t="s">
        <v>398</v>
      </c>
      <c r="M272" s="1975" t="s">
        <v>2393</v>
      </c>
      <c r="N272" s="789" t="s">
        <v>1578</v>
      </c>
      <c r="O272" s="1000" t="s">
        <v>3633</v>
      </c>
      <c r="P272" s="241" t="s">
        <v>560</v>
      </c>
      <c r="Q272" s="241"/>
      <c r="R272" s="147"/>
      <c r="S272" s="236"/>
      <c r="T272" s="392" t="s">
        <v>1908</v>
      </c>
      <c r="U272" s="392" t="s">
        <v>2332</v>
      </c>
      <c r="W272" s="44" t="s">
        <v>1316</v>
      </c>
      <c r="X272" s="44" t="s">
        <v>3021</v>
      </c>
      <c r="AA272"/>
      <c r="AB272"/>
      <c r="AC272" s="380"/>
      <c r="AD272" s="68"/>
    </row>
    <row r="273" spans="6:30" ht="10.5" customHeight="1">
      <c r="F273" s="409"/>
      <c r="G273" s="786" t="s">
        <v>1555</v>
      </c>
      <c r="H273" s="786" t="s">
        <v>1138</v>
      </c>
      <c r="I273" s="790" t="s">
        <v>1769</v>
      </c>
      <c r="J273" s="790" t="s">
        <v>2401</v>
      </c>
      <c r="K273" s="788" t="s">
        <v>1098</v>
      </c>
      <c r="L273" s="789" t="s">
        <v>398</v>
      </c>
      <c r="M273" s="1975" t="s">
        <v>2393</v>
      </c>
      <c r="N273" s="789" t="s">
        <v>1658</v>
      </c>
      <c r="O273" s="1000" t="s">
        <v>3634</v>
      </c>
      <c r="P273" s="241" t="s">
        <v>561</v>
      </c>
      <c r="Q273" s="241"/>
      <c r="R273" s="147"/>
      <c r="S273" s="236"/>
      <c r="T273" s="392" t="s">
        <v>769</v>
      </c>
      <c r="U273" s="392" t="s">
        <v>305</v>
      </c>
      <c r="W273" s="44" t="s">
        <v>1318</v>
      </c>
      <c r="X273" s="44" t="s">
        <v>3021</v>
      </c>
      <c r="AA273"/>
      <c r="AB273"/>
      <c r="AC273" s="380"/>
      <c r="AD273" s="714"/>
    </row>
    <row r="274" spans="6:30" ht="10.5" customHeight="1">
      <c r="F274" s="409"/>
      <c r="G274" s="786" t="s">
        <v>1770</v>
      </c>
      <c r="H274" s="786" t="s">
        <v>1138</v>
      </c>
      <c r="I274" s="790" t="s">
        <v>1771</v>
      </c>
      <c r="J274" s="790" t="s">
        <v>2401</v>
      </c>
      <c r="K274" s="788" t="s">
        <v>1099</v>
      </c>
      <c r="L274" s="789" t="s">
        <v>398</v>
      </c>
      <c r="M274" s="1975" t="s">
        <v>2393</v>
      </c>
      <c r="N274" s="789" t="s">
        <v>1249</v>
      </c>
      <c r="O274" s="1000" t="s">
        <v>3635</v>
      </c>
      <c r="P274" s="241" t="s">
        <v>562</v>
      </c>
      <c r="Q274" s="241"/>
      <c r="R274" s="147"/>
      <c r="S274" s="236"/>
      <c r="T274" s="392" t="s">
        <v>557</v>
      </c>
      <c r="U274" s="392" t="s">
        <v>116</v>
      </c>
      <c r="W274" s="44" t="s">
        <v>2296</v>
      </c>
      <c r="X274" s="44" t="s">
        <v>3021</v>
      </c>
      <c r="AA274"/>
      <c r="AB274"/>
      <c r="AC274" s="380"/>
      <c r="AD274" s="68"/>
    </row>
    <row r="275" spans="6:30" ht="10.5" customHeight="1">
      <c r="F275" s="409"/>
      <c r="G275" s="786" t="s">
        <v>1772</v>
      </c>
      <c r="H275" s="786" t="s">
        <v>1234</v>
      </c>
      <c r="I275" s="790" t="s">
        <v>1773</v>
      </c>
      <c r="J275" s="790" t="s">
        <v>2401</v>
      </c>
      <c r="K275" s="788" t="s">
        <v>1100</v>
      </c>
      <c r="L275" s="789" t="s">
        <v>398</v>
      </c>
      <c r="M275" s="1975" t="s">
        <v>2393</v>
      </c>
      <c r="N275" s="789" t="s">
        <v>159</v>
      </c>
      <c r="O275" s="1000" t="s">
        <v>3636</v>
      </c>
      <c r="P275" s="241" t="s">
        <v>564</v>
      </c>
      <c r="Q275" s="241"/>
      <c r="R275" s="147"/>
      <c r="S275" s="236"/>
      <c r="T275" s="392" t="s">
        <v>2365</v>
      </c>
      <c r="U275" s="392" t="s">
        <v>1250</v>
      </c>
      <c r="W275" s="44" t="s">
        <v>993</v>
      </c>
      <c r="X275" s="44" t="s">
        <v>3021</v>
      </c>
      <c r="AA275"/>
      <c r="AB275"/>
      <c r="AC275" s="380"/>
      <c r="AD275" s="68"/>
    </row>
    <row r="276" spans="6:30" ht="10.5" customHeight="1">
      <c r="F276" s="409"/>
      <c r="G276" s="786" t="s">
        <v>1774</v>
      </c>
      <c r="H276" s="786" t="s">
        <v>1138</v>
      </c>
      <c r="I276" s="790" t="s">
        <v>1775</v>
      </c>
      <c r="J276" s="790" t="s">
        <v>2401</v>
      </c>
      <c r="K276" s="788" t="s">
        <v>1101</v>
      </c>
      <c r="L276" s="789" t="s">
        <v>398</v>
      </c>
      <c r="M276" s="1975" t="s">
        <v>2393</v>
      </c>
      <c r="N276" s="789" t="s">
        <v>1243</v>
      </c>
      <c r="O276" s="1000" t="s">
        <v>3637</v>
      </c>
      <c r="P276" s="241" t="s">
        <v>566</v>
      </c>
      <c r="Q276" s="241"/>
      <c r="R276" s="147"/>
      <c r="S276" s="236"/>
      <c r="T276" s="392" t="s">
        <v>559</v>
      </c>
      <c r="U276" s="392" t="s">
        <v>2384</v>
      </c>
      <c r="W276" s="44" t="s">
        <v>1243</v>
      </c>
      <c r="X276" s="44" t="s">
        <v>3021</v>
      </c>
      <c r="AA276"/>
      <c r="AB276"/>
      <c r="AC276" s="380"/>
      <c r="AD276" s="68"/>
    </row>
    <row r="277" spans="6:30" ht="10.5" customHeight="1">
      <c r="F277" s="409"/>
      <c r="G277" s="786" t="s">
        <v>1776</v>
      </c>
      <c r="H277" s="786" t="s">
        <v>1138</v>
      </c>
      <c r="I277" s="787" t="s">
        <v>1777</v>
      </c>
      <c r="J277" s="790" t="s">
        <v>2401</v>
      </c>
      <c r="K277" s="788" t="s">
        <v>1102</v>
      </c>
      <c r="L277" s="789" t="s">
        <v>398</v>
      </c>
      <c r="M277" s="1975" t="s">
        <v>2393</v>
      </c>
      <c r="N277" s="789" t="s">
        <v>1132</v>
      </c>
      <c r="O277" s="1000" t="s">
        <v>3638</v>
      </c>
      <c r="P277" s="241" t="s">
        <v>512</v>
      </c>
      <c r="Q277" s="241"/>
      <c r="R277" s="147"/>
      <c r="S277" s="236"/>
      <c r="T277" s="392" t="s">
        <v>2331</v>
      </c>
      <c r="U277" s="392" t="s">
        <v>2386</v>
      </c>
      <c r="W277" s="44" t="s">
        <v>172</v>
      </c>
      <c r="X277" s="44" t="s">
        <v>3021</v>
      </c>
      <c r="AA277"/>
      <c r="AB277"/>
      <c r="AC277" s="380"/>
      <c r="AD277" s="68"/>
    </row>
    <row r="278" spans="6:30" ht="10.5" customHeight="1">
      <c r="F278" s="409"/>
      <c r="G278" s="786" t="s">
        <v>1778</v>
      </c>
      <c r="H278" s="786" t="s">
        <v>1138</v>
      </c>
      <c r="I278" s="790" t="s">
        <v>1779</v>
      </c>
      <c r="J278" s="787" t="s">
        <v>2401</v>
      </c>
      <c r="K278" s="788" t="s">
        <v>1103</v>
      </c>
      <c r="L278" s="789" t="s">
        <v>398</v>
      </c>
      <c r="M278" s="1975" t="s">
        <v>2393</v>
      </c>
      <c r="N278" s="789" t="s">
        <v>1658</v>
      </c>
      <c r="O278" s="1000" t="s">
        <v>3639</v>
      </c>
      <c r="P278" s="241" t="s">
        <v>1089</v>
      </c>
      <c r="Q278" s="241"/>
      <c r="R278" s="147"/>
      <c r="S278" s="236"/>
      <c r="T278" s="392" t="s">
        <v>563</v>
      </c>
      <c r="U278" s="392" t="s">
        <v>2025</v>
      </c>
      <c r="W278" s="44" t="s">
        <v>1473</v>
      </c>
      <c r="X278" s="44" t="s">
        <v>3021</v>
      </c>
      <c r="AA278"/>
      <c r="AB278"/>
      <c r="AC278" s="380"/>
      <c r="AD278" s="68"/>
    </row>
    <row r="279" spans="6:30" ht="10.5" customHeight="1">
      <c r="F279" s="409"/>
      <c r="G279" s="786" t="s">
        <v>1780</v>
      </c>
      <c r="H279" s="786" t="s">
        <v>1138</v>
      </c>
      <c r="I279" s="790" t="s">
        <v>1243</v>
      </c>
      <c r="J279" s="790" t="s">
        <v>2402</v>
      </c>
      <c r="K279" s="788" t="s">
        <v>6732</v>
      </c>
      <c r="L279" s="789" t="s">
        <v>399</v>
      </c>
      <c r="M279" s="1975" t="s">
        <v>2393</v>
      </c>
      <c r="N279" s="789" t="s">
        <v>1243</v>
      </c>
      <c r="O279" s="1000" t="s">
        <v>3640</v>
      </c>
      <c r="P279" s="241" t="s">
        <v>696</v>
      </c>
      <c r="Q279" s="241"/>
      <c r="R279" s="147"/>
      <c r="S279" s="236"/>
      <c r="T279" s="392" t="s">
        <v>2534</v>
      </c>
      <c r="U279" s="392" t="s">
        <v>1037</v>
      </c>
      <c r="W279" s="44" t="s">
        <v>357</v>
      </c>
      <c r="X279" s="44" t="s">
        <v>3021</v>
      </c>
      <c r="AA279"/>
      <c r="AB279"/>
      <c r="AC279" s="380"/>
      <c r="AD279" s="68"/>
    </row>
    <row r="280" spans="6:30" ht="10.5" customHeight="1">
      <c r="F280" s="409"/>
      <c r="G280" s="786" t="s">
        <v>1781</v>
      </c>
      <c r="H280" s="786" t="s">
        <v>1234</v>
      </c>
      <c r="I280" s="790" t="s">
        <v>1782</v>
      </c>
      <c r="J280" s="790" t="s">
        <v>2401</v>
      </c>
      <c r="K280" s="788" t="s">
        <v>1104</v>
      </c>
      <c r="L280" s="789" t="s">
        <v>398</v>
      </c>
      <c r="M280" s="1975" t="s">
        <v>2393</v>
      </c>
      <c r="N280" s="789" t="s">
        <v>159</v>
      </c>
      <c r="O280" s="1000" t="s">
        <v>3641</v>
      </c>
      <c r="P280" s="241" t="s">
        <v>33</v>
      </c>
      <c r="Q280" s="241"/>
      <c r="R280" s="147"/>
      <c r="S280" s="236"/>
      <c r="T280" s="392" t="s">
        <v>565</v>
      </c>
      <c r="U280" s="392" t="s">
        <v>1529</v>
      </c>
      <c r="W280" s="44" t="s">
        <v>359</v>
      </c>
      <c r="X280" s="44" t="s">
        <v>3021</v>
      </c>
      <c r="AA280"/>
      <c r="AB280"/>
      <c r="AC280" s="380"/>
      <c r="AD280" s="68"/>
    </row>
    <row r="281" spans="6:30" ht="10.5" customHeight="1">
      <c r="F281" s="409"/>
      <c r="G281" s="786" t="s">
        <v>1861</v>
      </c>
      <c r="H281" s="786" t="s">
        <v>1138</v>
      </c>
      <c r="I281" s="787" t="s">
        <v>1862</v>
      </c>
      <c r="J281" s="790" t="s">
        <v>2401</v>
      </c>
      <c r="K281" s="788" t="s">
        <v>1105</v>
      </c>
      <c r="L281" s="789" t="s">
        <v>398</v>
      </c>
      <c r="M281" s="1975" t="s">
        <v>2393</v>
      </c>
      <c r="N281" s="789" t="s">
        <v>1132</v>
      </c>
      <c r="O281" s="1000" t="s">
        <v>3642</v>
      </c>
      <c r="P281" s="241" t="s">
        <v>1824</v>
      </c>
      <c r="Q281" s="241"/>
      <c r="R281" s="147"/>
      <c r="S281" s="236"/>
      <c r="T281" s="392" t="s">
        <v>511</v>
      </c>
      <c r="U281" s="392" t="s">
        <v>613</v>
      </c>
      <c r="W281" s="44" t="s">
        <v>1503</v>
      </c>
      <c r="X281" s="44" t="s">
        <v>3021</v>
      </c>
      <c r="AA281"/>
      <c r="AB281"/>
      <c r="AC281" s="380"/>
      <c r="AD281" s="68"/>
    </row>
    <row r="282" spans="6:30" ht="10.5" customHeight="1">
      <c r="F282" s="409"/>
      <c r="G282" s="786" t="s">
        <v>1863</v>
      </c>
      <c r="H282" s="786" t="s">
        <v>1234</v>
      </c>
      <c r="I282" s="790" t="s">
        <v>1425</v>
      </c>
      <c r="J282" s="787" t="s">
        <v>2402</v>
      </c>
      <c r="K282" s="788" t="s">
        <v>1563</v>
      </c>
      <c r="L282" s="789" t="s">
        <v>399</v>
      </c>
      <c r="M282" s="1975" t="s">
        <v>2393</v>
      </c>
      <c r="N282" s="789" t="s">
        <v>1425</v>
      </c>
      <c r="O282" s="1000" t="s">
        <v>3643</v>
      </c>
      <c r="P282" s="241" t="s">
        <v>1826</v>
      </c>
      <c r="Q282" s="241"/>
      <c r="R282" s="147"/>
      <c r="S282" s="236"/>
      <c r="T282" s="392" t="s">
        <v>513</v>
      </c>
      <c r="U282" s="392" t="s">
        <v>153</v>
      </c>
      <c r="W282" s="44" t="s">
        <v>1024</v>
      </c>
      <c r="X282" s="44" t="s">
        <v>3021</v>
      </c>
      <c r="AA282"/>
      <c r="AB282"/>
      <c r="AC282" s="380"/>
      <c r="AD282" s="68"/>
    </row>
    <row r="283" spans="6:30" ht="10.5" customHeight="1">
      <c r="F283" s="409"/>
      <c r="G283" s="786" t="s">
        <v>1864</v>
      </c>
      <c r="H283" s="786" t="s">
        <v>1234</v>
      </c>
      <c r="I283" s="790" t="s">
        <v>712</v>
      </c>
      <c r="J283" s="790" t="s">
        <v>2402</v>
      </c>
      <c r="K283" s="788" t="s">
        <v>6731</v>
      </c>
      <c r="L283" s="789" t="s">
        <v>399</v>
      </c>
      <c r="M283" s="1975" t="s">
        <v>1123</v>
      </c>
      <c r="N283" s="789" t="s">
        <v>1132</v>
      </c>
      <c r="O283" s="1000" t="s">
        <v>3644</v>
      </c>
      <c r="P283" s="241" t="s">
        <v>321</v>
      </c>
      <c r="Q283" s="241"/>
      <c r="R283" s="147"/>
      <c r="S283" s="236"/>
      <c r="T283" s="392" t="s">
        <v>695</v>
      </c>
      <c r="U283" s="392" t="s">
        <v>1043</v>
      </c>
      <c r="W283" s="44" t="s">
        <v>3016</v>
      </c>
      <c r="X283" s="44" t="s">
        <v>3021</v>
      </c>
      <c r="AA283"/>
      <c r="AB283"/>
      <c r="AC283" s="380"/>
      <c r="AD283" s="68"/>
    </row>
    <row r="284" spans="6:30" ht="10.5" customHeight="1">
      <c r="F284" s="409"/>
      <c r="G284" s="786" t="s">
        <v>1865</v>
      </c>
      <c r="H284" s="786" t="s">
        <v>1138</v>
      </c>
      <c r="I284" s="790" t="s">
        <v>97</v>
      </c>
      <c r="J284" s="790" t="s">
        <v>2401</v>
      </c>
      <c r="K284" s="788" t="s">
        <v>1106</v>
      </c>
      <c r="L284" s="789" t="s">
        <v>398</v>
      </c>
      <c r="M284" s="1975" t="s">
        <v>2393</v>
      </c>
      <c r="N284" s="789" t="s">
        <v>1578</v>
      </c>
      <c r="O284" s="1000" t="s">
        <v>3645</v>
      </c>
      <c r="P284" s="241" t="s">
        <v>323</v>
      </c>
      <c r="Q284" s="241"/>
      <c r="R284" s="147"/>
      <c r="S284" s="236"/>
      <c r="T284" s="392" t="s">
        <v>697</v>
      </c>
      <c r="U284" s="392" t="s">
        <v>115</v>
      </c>
      <c r="W284" s="44" t="s">
        <v>3017</v>
      </c>
      <c r="X284" s="44" t="s">
        <v>3021</v>
      </c>
      <c r="AA284"/>
      <c r="AB284"/>
      <c r="AC284" s="380"/>
      <c r="AD284" s="68"/>
    </row>
    <row r="285" spans="6:30" ht="10.5" customHeight="1">
      <c r="F285" s="409"/>
      <c r="G285" s="786" t="s">
        <v>98</v>
      </c>
      <c r="H285" s="786" t="s">
        <v>1234</v>
      </c>
      <c r="I285" s="790" t="s">
        <v>99</v>
      </c>
      <c r="J285" s="790" t="s">
        <v>2401</v>
      </c>
      <c r="K285" s="788" t="s">
        <v>1107</v>
      </c>
      <c r="L285" s="789" t="s">
        <v>398</v>
      </c>
      <c r="M285" s="1975" t="s">
        <v>2393</v>
      </c>
      <c r="N285" s="789" t="s">
        <v>1253</v>
      </c>
      <c r="O285" s="1000" t="s">
        <v>3646</v>
      </c>
      <c r="P285" s="241" t="s">
        <v>325</v>
      </c>
      <c r="Q285" s="241"/>
      <c r="R285" s="147"/>
      <c r="S285" s="236"/>
      <c r="T285" s="392" t="s">
        <v>34</v>
      </c>
      <c r="U285" s="392" t="s">
        <v>169</v>
      </c>
      <c r="W285" s="44" t="s">
        <v>487</v>
      </c>
      <c r="X285" s="44" t="s">
        <v>3021</v>
      </c>
      <c r="AA285"/>
      <c r="AB285"/>
      <c r="AC285" s="380"/>
      <c r="AD285" s="68"/>
    </row>
    <row r="286" spans="6:30" ht="10.5" customHeight="1">
      <c r="F286" s="409"/>
      <c r="G286" s="786" t="s">
        <v>100</v>
      </c>
      <c r="H286" s="786" t="s">
        <v>1138</v>
      </c>
      <c r="I286" s="790" t="s">
        <v>101</v>
      </c>
      <c r="J286" s="790" t="s">
        <v>2401</v>
      </c>
      <c r="K286" s="788" t="s">
        <v>1108</v>
      </c>
      <c r="L286" s="789" t="s">
        <v>398</v>
      </c>
      <c r="M286" s="1975" t="s">
        <v>2393</v>
      </c>
      <c r="N286" s="789" t="s">
        <v>1243</v>
      </c>
      <c r="O286" s="1000" t="s">
        <v>3647</v>
      </c>
      <c r="P286" s="241" t="s">
        <v>327</v>
      </c>
      <c r="Q286" s="241"/>
      <c r="R286" s="147"/>
      <c r="S286" s="236"/>
      <c r="T286" s="392" t="s">
        <v>1825</v>
      </c>
      <c r="U286" s="392" t="s">
        <v>2076</v>
      </c>
      <c r="W286" s="44" t="s">
        <v>489</v>
      </c>
      <c r="X286" s="44" t="s">
        <v>3021</v>
      </c>
      <c r="AA286"/>
      <c r="AB286"/>
      <c r="AC286" s="380"/>
      <c r="AD286" s="68"/>
    </row>
    <row r="287" spans="6:30" ht="10.5" customHeight="1">
      <c r="F287" s="409"/>
      <c r="G287" s="786" t="s">
        <v>102</v>
      </c>
      <c r="H287" s="786" t="s">
        <v>1138</v>
      </c>
      <c r="I287" s="790" t="s">
        <v>103</v>
      </c>
      <c r="J287" s="790" t="s">
        <v>2401</v>
      </c>
      <c r="K287" s="788" t="s">
        <v>1109</v>
      </c>
      <c r="L287" s="789" t="s">
        <v>398</v>
      </c>
      <c r="M287" s="1975" t="s">
        <v>2393</v>
      </c>
      <c r="N287" s="789" t="s">
        <v>1249</v>
      </c>
      <c r="O287" s="1000" t="s">
        <v>3648</v>
      </c>
      <c r="P287" s="241" t="s">
        <v>329</v>
      </c>
      <c r="Q287" s="241"/>
      <c r="R287" s="147"/>
      <c r="S287" s="236"/>
      <c r="T287" s="392" t="s">
        <v>1827</v>
      </c>
      <c r="U287" s="392" t="s">
        <v>2387</v>
      </c>
      <c r="W287" s="44" t="s">
        <v>495</v>
      </c>
      <c r="X287" s="44" t="s">
        <v>3021</v>
      </c>
      <c r="AA287"/>
      <c r="AB287"/>
      <c r="AC287" s="380"/>
      <c r="AD287" s="68"/>
    </row>
    <row r="288" spans="6:30" ht="10.5" customHeight="1">
      <c r="F288" s="409"/>
      <c r="G288" s="786" t="s">
        <v>104</v>
      </c>
      <c r="H288" s="786" t="s">
        <v>1138</v>
      </c>
      <c r="I288" s="790" t="s">
        <v>105</v>
      </c>
      <c r="J288" s="790" t="s">
        <v>2401</v>
      </c>
      <c r="K288" s="788" t="s">
        <v>1110</v>
      </c>
      <c r="L288" s="789" t="s">
        <v>398</v>
      </c>
      <c r="M288" s="1975" t="s">
        <v>2393</v>
      </c>
      <c r="N288" s="789" t="s">
        <v>154</v>
      </c>
      <c r="O288" s="1000" t="s">
        <v>3649</v>
      </c>
      <c r="P288" s="241" t="s">
        <v>331</v>
      </c>
      <c r="Q288" s="241"/>
      <c r="R288" s="147"/>
      <c r="S288" s="236"/>
      <c r="T288" s="392" t="s">
        <v>322</v>
      </c>
      <c r="U288" s="392" t="s">
        <v>1811</v>
      </c>
      <c r="W288" s="44" t="s">
        <v>507</v>
      </c>
      <c r="X288" s="44" t="s">
        <v>3021</v>
      </c>
      <c r="AA288"/>
      <c r="AB288"/>
      <c r="AC288" s="380"/>
      <c r="AD288" s="68"/>
    </row>
    <row r="289" spans="3:30" ht="10.5" customHeight="1">
      <c r="F289" s="409"/>
      <c r="G289" s="786" t="s">
        <v>106</v>
      </c>
      <c r="H289" s="786" t="s">
        <v>1138</v>
      </c>
      <c r="I289" s="790" t="s">
        <v>107</v>
      </c>
      <c r="J289" s="790" t="s">
        <v>2401</v>
      </c>
      <c r="K289" s="788" t="s">
        <v>2176</v>
      </c>
      <c r="L289" s="789" t="s">
        <v>398</v>
      </c>
      <c r="M289" s="1975" t="s">
        <v>2393</v>
      </c>
      <c r="N289" s="789" t="s">
        <v>1243</v>
      </c>
      <c r="O289" s="1000" t="s">
        <v>3650</v>
      </c>
      <c r="P289" s="241" t="s">
        <v>1801</v>
      </c>
      <c r="Q289" s="241"/>
      <c r="R289" s="147"/>
      <c r="S289" s="236"/>
      <c r="T289" s="392" t="s">
        <v>324</v>
      </c>
      <c r="U289" s="392" t="s">
        <v>816</v>
      </c>
      <c r="W289" s="44" t="s">
        <v>1529</v>
      </c>
      <c r="X289" s="44" t="s">
        <v>3021</v>
      </c>
      <c r="AA289"/>
      <c r="AB289"/>
      <c r="AC289" s="380"/>
      <c r="AD289" s="68"/>
    </row>
    <row r="290" spans="3:30" ht="10.5" customHeight="1">
      <c r="F290" s="409"/>
      <c r="G290" s="786" t="s">
        <v>108</v>
      </c>
      <c r="H290" s="786" t="s">
        <v>1234</v>
      </c>
      <c r="I290" s="790" t="s">
        <v>109</v>
      </c>
      <c r="J290" s="790" t="s">
        <v>2401</v>
      </c>
      <c r="K290" s="788" t="s">
        <v>2177</v>
      </c>
      <c r="L290" s="789" t="s">
        <v>398</v>
      </c>
      <c r="M290" s="1975" t="s">
        <v>2393</v>
      </c>
      <c r="N290" s="789" t="s">
        <v>159</v>
      </c>
      <c r="O290" s="1000" t="s">
        <v>3651</v>
      </c>
      <c r="P290" s="241" t="s">
        <v>1803</v>
      </c>
      <c r="Q290" s="241"/>
      <c r="R290" s="147"/>
      <c r="S290" s="236"/>
      <c r="T290" s="392" t="s">
        <v>326</v>
      </c>
      <c r="U290" s="392" t="s">
        <v>172</v>
      </c>
      <c r="W290" s="44" t="s">
        <v>1945</v>
      </c>
      <c r="X290" s="44" t="s">
        <v>3021</v>
      </c>
      <c r="AA290"/>
      <c r="AB290"/>
      <c r="AC290" s="380"/>
      <c r="AD290" s="68"/>
    </row>
    <row r="291" spans="3:30" ht="10.5" customHeight="1">
      <c r="F291" s="409"/>
      <c r="G291" s="786" t="s">
        <v>1811</v>
      </c>
      <c r="H291" s="786" t="s">
        <v>1234</v>
      </c>
      <c r="I291" s="787" t="s">
        <v>322</v>
      </c>
      <c r="J291" s="790" t="s">
        <v>2402</v>
      </c>
      <c r="K291" s="788" t="s">
        <v>2178</v>
      </c>
      <c r="L291" s="789" t="s">
        <v>399</v>
      </c>
      <c r="M291" s="1975" t="s">
        <v>1123</v>
      </c>
      <c r="N291" s="789" t="s">
        <v>1425</v>
      </c>
      <c r="O291" s="1000" t="s">
        <v>3652</v>
      </c>
      <c r="P291" s="241" t="s">
        <v>2000</v>
      </c>
      <c r="Q291" s="241"/>
      <c r="R291" s="147"/>
      <c r="S291" s="236"/>
      <c r="T291" s="236" t="s">
        <v>328</v>
      </c>
      <c r="U291" s="236" t="s">
        <v>2211</v>
      </c>
      <c r="W291" s="44" t="s">
        <v>3018</v>
      </c>
      <c r="X291" s="44" t="s">
        <v>3021</v>
      </c>
      <c r="AA291"/>
      <c r="AB291"/>
      <c r="AC291" s="380"/>
      <c r="AD291" s="68"/>
    </row>
    <row r="292" spans="3:30" ht="10.5" customHeight="1">
      <c r="F292" s="409"/>
      <c r="G292" s="786" t="s">
        <v>1812</v>
      </c>
      <c r="H292" s="786" t="s">
        <v>1138</v>
      </c>
      <c r="I292" s="790" t="s">
        <v>2208</v>
      </c>
      <c r="J292" s="787" t="s">
        <v>2401</v>
      </c>
      <c r="K292" s="788" t="s">
        <v>2179</v>
      </c>
      <c r="L292" s="789" t="s">
        <v>398</v>
      </c>
      <c r="M292" s="1975" t="s">
        <v>2393</v>
      </c>
      <c r="N292" s="789" t="s">
        <v>1658</v>
      </c>
      <c r="O292" s="1000" t="s">
        <v>3653</v>
      </c>
      <c r="P292" s="241" t="s">
        <v>146</v>
      </c>
      <c r="Q292" s="241"/>
      <c r="R292" s="147"/>
      <c r="S292" s="236"/>
      <c r="T292" s="392" t="s">
        <v>330</v>
      </c>
      <c r="U292" s="392" t="s">
        <v>1739</v>
      </c>
      <c r="W292" s="44" t="s">
        <v>2078</v>
      </c>
      <c r="X292" s="44" t="s">
        <v>3021</v>
      </c>
      <c r="AA292"/>
      <c r="AB292"/>
      <c r="AC292" s="68"/>
      <c r="AD292" s="68"/>
    </row>
    <row r="293" spans="3:30" ht="10.5" customHeight="1">
      <c r="F293" s="409"/>
      <c r="G293" s="786" t="s">
        <v>2209</v>
      </c>
      <c r="H293" s="786" t="s">
        <v>1234</v>
      </c>
      <c r="I293" s="790" t="s">
        <v>2210</v>
      </c>
      <c r="J293" s="790" t="s">
        <v>2401</v>
      </c>
      <c r="K293" s="788" t="s">
        <v>396</v>
      </c>
      <c r="L293" s="789" t="s">
        <v>398</v>
      </c>
      <c r="M293" s="1975" t="s">
        <v>2393</v>
      </c>
      <c r="N293" s="789" t="s">
        <v>1253</v>
      </c>
      <c r="O293" s="1000" t="s">
        <v>3654</v>
      </c>
      <c r="P293" s="241" t="s">
        <v>147</v>
      </c>
      <c r="Q293" s="241"/>
      <c r="R293" s="147"/>
      <c r="S293" s="236"/>
      <c r="T293" s="392" t="s">
        <v>332</v>
      </c>
      <c r="U293" s="392" t="s">
        <v>168</v>
      </c>
      <c r="W293" s="44" t="s">
        <v>376</v>
      </c>
      <c r="X293" s="44" t="s">
        <v>3021</v>
      </c>
      <c r="AA293"/>
      <c r="AB293"/>
      <c r="AC293" s="380"/>
      <c r="AD293" s="68"/>
    </row>
    <row r="294" spans="3:30" ht="10.5" customHeight="1">
      <c r="F294" s="409"/>
      <c r="G294" s="786" t="s">
        <v>2211</v>
      </c>
      <c r="H294" s="786" t="s">
        <v>1138</v>
      </c>
      <c r="I294" s="790" t="s">
        <v>2212</v>
      </c>
      <c r="J294" s="790" t="s">
        <v>2401</v>
      </c>
      <c r="K294" s="788" t="s">
        <v>397</v>
      </c>
      <c r="L294" s="789" t="s">
        <v>398</v>
      </c>
      <c r="M294" s="1975" t="s">
        <v>2393</v>
      </c>
      <c r="N294" s="789" t="s">
        <v>1243</v>
      </c>
      <c r="O294" s="1000" t="s">
        <v>3655</v>
      </c>
      <c r="P294" s="241" t="s">
        <v>1478</v>
      </c>
      <c r="Q294" s="241"/>
      <c r="R294" s="147"/>
      <c r="S294" s="236"/>
      <c r="T294" s="392" t="s">
        <v>1802</v>
      </c>
      <c r="U294" s="392" t="s">
        <v>100</v>
      </c>
      <c r="W294" s="44" t="s">
        <v>1708</v>
      </c>
      <c r="X294" s="44" t="s">
        <v>3021</v>
      </c>
      <c r="AA294"/>
      <c r="AB294"/>
      <c r="AC294" s="380"/>
      <c r="AD294" s="68"/>
    </row>
    <row r="295" spans="3:30" ht="10.5" customHeight="1">
      <c r="F295" s="253"/>
      <c r="G295" s="786" t="s">
        <v>2213</v>
      </c>
      <c r="H295" s="786" t="s">
        <v>1138</v>
      </c>
      <c r="I295" s="790" t="s">
        <v>1658</v>
      </c>
      <c r="J295" s="790" t="s">
        <v>2402</v>
      </c>
      <c r="K295" s="788" t="s">
        <v>1094</v>
      </c>
      <c r="L295" s="789" t="s">
        <v>399</v>
      </c>
      <c r="M295" s="1975" t="s">
        <v>2393</v>
      </c>
      <c r="N295" s="789" t="s">
        <v>1658</v>
      </c>
      <c r="O295" s="1000" t="s">
        <v>3656</v>
      </c>
      <c r="P295" s="241" t="s">
        <v>736</v>
      </c>
      <c r="Q295" s="241"/>
      <c r="R295" s="147"/>
      <c r="S295" s="236"/>
      <c r="T295" s="392" t="s">
        <v>188</v>
      </c>
      <c r="U295" s="392" t="s">
        <v>1552</v>
      </c>
      <c r="W295" s="44" t="s">
        <v>2101</v>
      </c>
      <c r="X295" s="44" t="s">
        <v>3021</v>
      </c>
      <c r="AA295"/>
      <c r="AB295"/>
      <c r="AC295" s="380"/>
      <c r="AD295" s="68"/>
    </row>
    <row r="296" spans="3:30" ht="10.5" customHeight="1">
      <c r="F296" s="253"/>
      <c r="G296" s="145"/>
      <c r="H296" s="145"/>
      <c r="I296" s="309"/>
      <c r="J296" s="309"/>
      <c r="K296" s="1407"/>
      <c r="L296" s="322"/>
      <c r="M296" s="252"/>
      <c r="N296" s="252"/>
      <c r="O296" s="252"/>
      <c r="P296" s="241" t="s">
        <v>738</v>
      </c>
      <c r="Q296" s="241"/>
      <c r="R296" s="147"/>
      <c r="S296" s="236"/>
      <c r="T296" s="392" t="s">
        <v>2001</v>
      </c>
      <c r="U296" s="392" t="s">
        <v>188</v>
      </c>
      <c r="W296" s="44" t="s">
        <v>522</v>
      </c>
      <c r="X296" s="44" t="s">
        <v>3021</v>
      </c>
      <c r="AA296"/>
      <c r="AB296"/>
      <c r="AC296" s="380"/>
      <c r="AD296" s="68"/>
    </row>
    <row r="297" spans="3:30" ht="10.5" customHeight="1">
      <c r="C297" s="4009">
        <v>2019</v>
      </c>
      <c r="D297" s="4010"/>
      <c r="E297" s="4010"/>
      <c r="F297" s="4010"/>
      <c r="G297" s="4009">
        <v>2020</v>
      </c>
      <c r="H297" s="4009"/>
      <c r="I297" s="4009"/>
      <c r="J297" s="4009"/>
      <c r="L297" s="4011" t="s">
        <v>4063</v>
      </c>
      <c r="M297" s="4012"/>
      <c r="N297" s="4012"/>
      <c r="O297" s="4013"/>
      <c r="P297" s="241" t="s">
        <v>740</v>
      </c>
      <c r="Q297" s="241"/>
      <c r="R297" s="147"/>
      <c r="S297" s="236"/>
      <c r="T297" s="236" t="s">
        <v>643</v>
      </c>
      <c r="U297" s="236" t="s">
        <v>2021</v>
      </c>
      <c r="W297" s="44" t="s">
        <v>1362</v>
      </c>
      <c r="X297" s="44" t="s">
        <v>3021</v>
      </c>
      <c r="AA297"/>
      <c r="AB297"/>
      <c r="AC297" s="380"/>
      <c r="AD297" s="68"/>
    </row>
    <row r="298" spans="3:30" ht="10.5" customHeight="1">
      <c r="C298" s="4017" t="s">
        <v>3967</v>
      </c>
      <c r="D298" s="4018" t="s">
        <v>3968</v>
      </c>
      <c r="E298" s="4018" t="s">
        <v>3969</v>
      </c>
      <c r="F298" s="4018" t="s">
        <v>3970</v>
      </c>
      <c r="G298" s="4017" t="s">
        <v>3967</v>
      </c>
      <c r="H298" s="4018" t="s">
        <v>3968</v>
      </c>
      <c r="I298" s="4018" t="s">
        <v>3969</v>
      </c>
      <c r="J298" s="4018" t="s">
        <v>3970</v>
      </c>
      <c r="L298" s="4017" t="s">
        <v>3967</v>
      </c>
      <c r="M298" s="4018" t="s">
        <v>3968</v>
      </c>
      <c r="N298" s="4018" t="s">
        <v>3969</v>
      </c>
      <c r="O298" s="4018" t="s">
        <v>3970</v>
      </c>
      <c r="P298" s="241" t="s">
        <v>2228</v>
      </c>
      <c r="Q298" s="241"/>
      <c r="R298" s="147"/>
      <c r="S298" s="236"/>
      <c r="T298" s="392" t="s">
        <v>148</v>
      </c>
      <c r="U298" s="392" t="s">
        <v>1738</v>
      </c>
      <c r="W298" s="44" t="s">
        <v>1480</v>
      </c>
      <c r="X298" s="44" t="s">
        <v>3021</v>
      </c>
      <c r="AA298"/>
      <c r="AB298"/>
      <c r="AC298" s="68"/>
      <c r="AD298" s="68"/>
    </row>
    <row r="299" spans="3:30" ht="10.5" customHeight="1">
      <c r="C299" s="4017"/>
      <c r="D299" s="4018"/>
      <c r="E299" s="4018"/>
      <c r="F299" s="4018"/>
      <c r="G299" s="4017"/>
      <c r="H299" s="4018"/>
      <c r="I299" s="4018"/>
      <c r="J299" s="4018"/>
      <c r="L299" s="4017"/>
      <c r="M299" s="4018"/>
      <c r="N299" s="4018"/>
      <c r="O299" s="4018"/>
      <c r="P299" s="241" t="s">
        <v>2229</v>
      </c>
      <c r="Q299" s="241"/>
      <c r="R299" s="147"/>
      <c r="S299" s="236"/>
      <c r="T299" s="392" t="s">
        <v>189</v>
      </c>
      <c r="U299" s="392" t="s">
        <v>585</v>
      </c>
      <c r="W299" s="44" t="s">
        <v>1968</v>
      </c>
      <c r="X299" s="44" t="s">
        <v>3021</v>
      </c>
      <c r="AA299"/>
      <c r="AB299"/>
      <c r="AC299" s="380"/>
      <c r="AD299" s="68"/>
    </row>
    <row r="300" spans="3:30" ht="10.5" customHeight="1">
      <c r="C300" s="4017"/>
      <c r="D300" s="4018"/>
      <c r="E300" s="4018"/>
      <c r="F300" s="4018"/>
      <c r="G300" s="4017"/>
      <c r="H300" s="4018"/>
      <c r="I300" s="4018"/>
      <c r="J300" s="4018"/>
      <c r="L300" s="4017"/>
      <c r="M300" s="4018"/>
      <c r="N300" s="4018"/>
      <c r="O300" s="4018"/>
      <c r="P300" s="241" t="s">
        <v>2231</v>
      </c>
      <c r="Q300" s="241"/>
      <c r="R300" s="147"/>
      <c r="S300" s="236"/>
      <c r="T300" s="392" t="s">
        <v>2366</v>
      </c>
      <c r="U300" s="392" t="s">
        <v>1865</v>
      </c>
      <c r="W300" s="44" t="s">
        <v>1970</v>
      </c>
      <c r="X300" s="44" t="s">
        <v>3021</v>
      </c>
      <c r="AA300"/>
      <c r="AB300"/>
      <c r="AC300" s="380"/>
      <c r="AD300" s="68"/>
    </row>
    <row r="301" spans="3:30" ht="10.5" customHeight="1">
      <c r="C301" s="4017"/>
      <c r="D301" s="4018"/>
      <c r="E301" s="4018"/>
      <c r="F301" s="4018"/>
      <c r="G301" s="4017"/>
      <c r="H301" s="4018"/>
      <c r="I301" s="4018"/>
      <c r="J301" s="4018"/>
      <c r="L301" s="4017"/>
      <c r="M301" s="4018"/>
      <c r="N301" s="4018"/>
      <c r="O301" s="4018"/>
      <c r="P301" s="241" t="s">
        <v>2233</v>
      </c>
      <c r="Q301" s="241"/>
      <c r="R301" s="147"/>
      <c r="S301" s="236"/>
      <c r="T301" s="392" t="s">
        <v>737</v>
      </c>
      <c r="U301" s="392" t="s">
        <v>100</v>
      </c>
      <c r="W301" s="44" t="s">
        <v>1353</v>
      </c>
      <c r="X301" s="44" t="s">
        <v>3021</v>
      </c>
      <c r="AA301"/>
      <c r="AB301"/>
      <c r="AC301" s="380"/>
      <c r="AD301" s="68"/>
    </row>
    <row r="302" spans="3:30" ht="10.5" customHeight="1">
      <c r="C302" s="4017"/>
      <c r="D302" s="4018"/>
      <c r="E302" s="4018"/>
      <c r="F302" s="4018"/>
      <c r="G302" s="4017"/>
      <c r="H302" s="4018"/>
      <c r="I302" s="4018"/>
      <c r="J302" s="4018"/>
      <c r="L302" s="4017"/>
      <c r="M302" s="4018"/>
      <c r="N302" s="4018"/>
      <c r="O302" s="4018"/>
      <c r="P302" s="241" t="s">
        <v>2234</v>
      </c>
      <c r="Q302" s="241"/>
      <c r="R302" s="147"/>
      <c r="S302" s="236"/>
      <c r="T302" s="392" t="s">
        <v>739</v>
      </c>
      <c r="U302" s="392" t="s">
        <v>116</v>
      </c>
      <c r="W302" s="44" t="s">
        <v>1454</v>
      </c>
      <c r="X302" s="44" t="s">
        <v>3021</v>
      </c>
      <c r="AA302"/>
      <c r="AB302"/>
      <c r="AC302" s="380"/>
      <c r="AD302" s="68"/>
    </row>
    <row r="303" spans="3:30" ht="10.5" customHeight="1">
      <c r="C303" s="4017"/>
      <c r="D303" s="4018"/>
      <c r="E303" s="4018"/>
      <c r="F303" s="4018"/>
      <c r="G303" s="4017"/>
      <c r="H303" s="4018"/>
      <c r="I303" s="4018"/>
      <c r="J303" s="4018"/>
      <c r="L303" s="4017"/>
      <c r="M303" s="4018"/>
      <c r="N303" s="4018"/>
      <c r="O303" s="4018"/>
      <c r="P303" s="241" t="s">
        <v>361</v>
      </c>
      <c r="Q303" s="241"/>
      <c r="R303" s="147"/>
      <c r="S303" s="236"/>
      <c r="T303" s="392" t="s">
        <v>741</v>
      </c>
      <c r="U303" s="392" t="s">
        <v>313</v>
      </c>
      <c r="W303" s="44" t="s">
        <v>1114</v>
      </c>
      <c r="X303" s="44" t="s">
        <v>3021</v>
      </c>
      <c r="AA303"/>
      <c r="AB303"/>
      <c r="AC303" s="380"/>
      <c r="AD303" s="68"/>
    </row>
    <row r="304" spans="3:30" ht="10.5" customHeight="1">
      <c r="C304" s="1459">
        <v>13001950100</v>
      </c>
      <c r="D304" s="1460">
        <v>0</v>
      </c>
      <c r="E304" s="1460">
        <v>1</v>
      </c>
      <c r="F304" s="1461">
        <v>1</v>
      </c>
      <c r="G304" s="1469" t="s">
        <v>4050</v>
      </c>
      <c r="H304" s="1470">
        <v>0</v>
      </c>
      <c r="I304" s="1470">
        <v>0</v>
      </c>
      <c r="J304" s="1471">
        <v>0</v>
      </c>
      <c r="K304" s="1462"/>
      <c r="L304" s="1454" t="s">
        <v>4050</v>
      </c>
      <c r="M304" s="1455">
        <v>0</v>
      </c>
      <c r="N304" s="1455">
        <v>1</v>
      </c>
      <c r="O304" s="1455">
        <v>1</v>
      </c>
      <c r="P304" s="241" t="s">
        <v>42</v>
      </c>
      <c r="Q304" s="241"/>
      <c r="R304" s="147"/>
      <c r="S304" s="236"/>
      <c r="T304" s="236" t="s">
        <v>2535</v>
      </c>
      <c r="U304" s="236" t="s">
        <v>820</v>
      </c>
      <c r="W304" s="44" t="s">
        <v>1628</v>
      </c>
      <c r="X304" s="44" t="s">
        <v>3021</v>
      </c>
      <c r="AA304"/>
      <c r="AB304"/>
      <c r="AC304" s="380"/>
      <c r="AD304" s="68"/>
    </row>
    <row r="305" spans="3:30" ht="10.5" customHeight="1">
      <c r="C305" s="1463" t="s">
        <v>4097</v>
      </c>
      <c r="D305" s="1460">
        <v>0</v>
      </c>
      <c r="E305" s="1460">
        <v>0</v>
      </c>
      <c r="F305" s="1461">
        <v>0</v>
      </c>
      <c r="G305" s="1472" t="s">
        <v>4097</v>
      </c>
      <c r="H305" s="1458">
        <v>0</v>
      </c>
      <c r="I305" s="1458">
        <v>0</v>
      </c>
      <c r="J305" s="1473">
        <v>0</v>
      </c>
      <c r="K305" s="1462"/>
      <c r="L305" s="1456">
        <v>13001950200</v>
      </c>
      <c r="M305" s="1457">
        <v>0</v>
      </c>
      <c r="N305" s="1457">
        <v>0</v>
      </c>
      <c r="O305" s="1457">
        <v>0</v>
      </c>
      <c r="P305" s="241" t="s">
        <v>44</v>
      </c>
      <c r="Q305" s="241"/>
      <c r="R305" s="147"/>
      <c r="S305" s="236"/>
      <c r="T305" s="392" t="s">
        <v>2230</v>
      </c>
      <c r="U305" s="392" t="s">
        <v>1364</v>
      </c>
      <c r="W305" s="44" t="s">
        <v>1685</v>
      </c>
      <c r="X305" s="44" t="s">
        <v>3021</v>
      </c>
      <c r="AA305"/>
      <c r="AB305"/>
      <c r="AC305" s="68"/>
      <c r="AD305" s="68"/>
    </row>
    <row r="306" spans="3:30" ht="10.5" customHeight="1">
      <c r="C306" s="1463" t="s">
        <v>4098</v>
      </c>
      <c r="D306" s="1460">
        <v>0</v>
      </c>
      <c r="E306" s="1460">
        <v>0</v>
      </c>
      <c r="F306" s="1461">
        <v>0</v>
      </c>
      <c r="G306" s="1472" t="s">
        <v>4098</v>
      </c>
      <c r="H306" s="1458">
        <v>0</v>
      </c>
      <c r="I306" s="1458">
        <v>0</v>
      </c>
      <c r="J306" s="1473">
        <v>0</v>
      </c>
      <c r="K306" s="1462"/>
      <c r="L306" s="1456">
        <v>13001950300</v>
      </c>
      <c r="M306" s="1457">
        <v>0</v>
      </c>
      <c r="N306" s="1457">
        <v>0</v>
      </c>
      <c r="O306" s="1457">
        <v>0</v>
      </c>
      <c r="P306" s="241" t="s">
        <v>1783</v>
      </c>
      <c r="Q306" s="241"/>
      <c r="R306" s="147"/>
      <c r="S306" s="236"/>
      <c r="T306" s="392" t="s">
        <v>2232</v>
      </c>
      <c r="U306" s="392" t="s">
        <v>1041</v>
      </c>
      <c r="W306" s="44" t="s">
        <v>1039</v>
      </c>
      <c r="X306" s="44" t="s">
        <v>3021</v>
      </c>
      <c r="AA306"/>
      <c r="AB306"/>
      <c r="AC306" s="380"/>
      <c r="AD306" s="68"/>
    </row>
    <row r="307" spans="3:30" ht="10.5" customHeight="1">
      <c r="C307" s="1463" t="s">
        <v>4099</v>
      </c>
      <c r="D307" s="1460">
        <v>0</v>
      </c>
      <c r="E307" s="1460">
        <v>0</v>
      </c>
      <c r="F307" s="1461">
        <v>0</v>
      </c>
      <c r="G307" s="1472" t="s">
        <v>4099</v>
      </c>
      <c r="H307" s="1458">
        <v>0</v>
      </c>
      <c r="I307" s="1458">
        <v>0</v>
      </c>
      <c r="J307" s="1473">
        <v>0</v>
      </c>
      <c r="K307" s="1462"/>
      <c r="L307" s="1456">
        <v>13001950400</v>
      </c>
      <c r="M307" s="1457">
        <v>0</v>
      </c>
      <c r="N307" s="1457">
        <v>0</v>
      </c>
      <c r="O307" s="1457">
        <v>0</v>
      </c>
      <c r="P307" s="241" t="s">
        <v>1784</v>
      </c>
      <c r="Q307" s="241"/>
      <c r="R307" s="147"/>
      <c r="S307" s="236"/>
      <c r="T307" s="392" t="s">
        <v>2367</v>
      </c>
      <c r="U307" s="392" t="s">
        <v>620</v>
      </c>
      <c r="W307" s="44" t="s">
        <v>3019</v>
      </c>
      <c r="X307" s="44" t="s">
        <v>3021</v>
      </c>
      <c r="AA307"/>
      <c r="AB307"/>
      <c r="AC307" s="380"/>
      <c r="AD307" s="68"/>
    </row>
    <row r="308" spans="3:30" ht="10.5" customHeight="1">
      <c r="C308" s="1463" t="s">
        <v>4100</v>
      </c>
      <c r="D308" s="1460">
        <v>0</v>
      </c>
      <c r="E308" s="1460">
        <v>0</v>
      </c>
      <c r="F308" s="1461">
        <v>0</v>
      </c>
      <c r="G308" s="1472" t="s">
        <v>4100</v>
      </c>
      <c r="H308" s="1458">
        <v>0</v>
      </c>
      <c r="I308" s="1458">
        <v>0</v>
      </c>
      <c r="J308" s="1473">
        <v>0</v>
      </c>
      <c r="K308" s="1462"/>
      <c r="L308" s="1456">
        <v>13001950500</v>
      </c>
      <c r="M308" s="1457">
        <v>0</v>
      </c>
      <c r="N308" s="1457">
        <v>0</v>
      </c>
      <c r="O308" s="1457">
        <v>0</v>
      </c>
      <c r="P308" s="241" t="s">
        <v>1786</v>
      </c>
      <c r="Q308" s="241"/>
      <c r="R308" s="147"/>
      <c r="S308" s="236"/>
      <c r="T308" s="436" t="s">
        <v>360</v>
      </c>
      <c r="U308" s="392" t="s">
        <v>2294</v>
      </c>
      <c r="W308" s="44" t="s">
        <v>1991</v>
      </c>
      <c r="X308" s="44" t="s">
        <v>3021</v>
      </c>
      <c r="AA308"/>
      <c r="AB308"/>
      <c r="AC308" s="380"/>
      <c r="AD308" s="68"/>
    </row>
    <row r="309" spans="3:30" ht="10.5" customHeight="1">
      <c r="C309" s="1463" t="s">
        <v>4101</v>
      </c>
      <c r="D309" s="1460">
        <v>0</v>
      </c>
      <c r="E309" s="1460">
        <v>0</v>
      </c>
      <c r="F309" s="1461">
        <v>0</v>
      </c>
      <c r="G309" s="1472" t="s">
        <v>4101</v>
      </c>
      <c r="H309" s="1458">
        <v>0</v>
      </c>
      <c r="I309" s="1458">
        <v>0</v>
      </c>
      <c r="J309" s="1473">
        <v>0</v>
      </c>
      <c r="K309" s="1462"/>
      <c r="L309" s="1456">
        <v>13003960100</v>
      </c>
      <c r="M309" s="1457">
        <v>0</v>
      </c>
      <c r="N309" s="1457">
        <v>0</v>
      </c>
      <c r="O309" s="1457">
        <v>0</v>
      </c>
      <c r="P309" s="241" t="s">
        <v>1787</v>
      </c>
      <c r="Q309" s="241"/>
      <c r="R309" s="147"/>
      <c r="S309" s="236"/>
      <c r="T309" s="392" t="s">
        <v>362</v>
      </c>
      <c r="U309" s="392" t="s">
        <v>2014</v>
      </c>
      <c r="W309" s="44" t="s">
        <v>1423</v>
      </c>
      <c r="X309" s="44" t="s">
        <v>3021</v>
      </c>
      <c r="AA309"/>
      <c r="AB309"/>
      <c r="AC309" s="712"/>
      <c r="AD309" s="68"/>
    </row>
    <row r="310" spans="3:30" ht="10.5" customHeight="1">
      <c r="C310" s="1463" t="s">
        <v>4102</v>
      </c>
      <c r="D310" s="1460">
        <v>0</v>
      </c>
      <c r="E310" s="1460">
        <v>0</v>
      </c>
      <c r="F310" s="1461">
        <v>0</v>
      </c>
      <c r="G310" s="1472" t="s">
        <v>4102</v>
      </c>
      <c r="H310" s="1458">
        <v>0</v>
      </c>
      <c r="I310" s="1458">
        <v>0</v>
      </c>
      <c r="J310" s="1473">
        <v>0</v>
      </c>
      <c r="K310" s="1462"/>
      <c r="L310" s="1456">
        <v>13003960200</v>
      </c>
      <c r="M310" s="1457">
        <v>0</v>
      </c>
      <c r="N310" s="1457">
        <v>0</v>
      </c>
      <c r="O310" s="1457">
        <v>0</v>
      </c>
      <c r="P310" s="241" t="s">
        <v>1788</v>
      </c>
      <c r="Q310" s="241"/>
      <c r="R310" s="147"/>
      <c r="S310" s="236"/>
      <c r="T310" s="392" t="s">
        <v>43</v>
      </c>
      <c r="U310" s="392" t="s">
        <v>893</v>
      </c>
      <c r="W310" s="44" t="s">
        <v>58</v>
      </c>
      <c r="X310" s="44" t="s">
        <v>3021</v>
      </c>
      <c r="AA310"/>
      <c r="AB310"/>
      <c r="AC310" s="380"/>
      <c r="AD310" s="68"/>
    </row>
    <row r="311" spans="3:30" ht="10.5" customHeight="1">
      <c r="C311" s="1463" t="s">
        <v>4103</v>
      </c>
      <c r="D311" s="1460">
        <v>0</v>
      </c>
      <c r="E311" s="1460">
        <v>0</v>
      </c>
      <c r="F311" s="1461">
        <v>0</v>
      </c>
      <c r="G311" s="1472" t="s">
        <v>4103</v>
      </c>
      <c r="H311" s="1458">
        <v>0</v>
      </c>
      <c r="I311" s="1458">
        <v>0</v>
      </c>
      <c r="J311" s="1473">
        <v>0</v>
      </c>
      <c r="K311" s="1462"/>
      <c r="L311" s="1456">
        <v>13003960300</v>
      </c>
      <c r="M311" s="1457">
        <v>0</v>
      </c>
      <c r="N311" s="1457">
        <v>0</v>
      </c>
      <c r="O311" s="1457">
        <v>0</v>
      </c>
      <c r="P311" s="241" t="s">
        <v>1790</v>
      </c>
      <c r="Q311" s="241"/>
      <c r="R311" s="147"/>
      <c r="S311" s="236"/>
      <c r="T311" s="392" t="s">
        <v>45</v>
      </c>
      <c r="U311" s="392" t="s">
        <v>585</v>
      </c>
      <c r="W311" s="44" t="s">
        <v>62</v>
      </c>
      <c r="X311" s="44" t="s">
        <v>3021</v>
      </c>
      <c r="AA311"/>
      <c r="AB311"/>
      <c r="AC311" s="380"/>
      <c r="AD311" s="68"/>
    </row>
    <row r="312" spans="3:30" ht="10.5" customHeight="1">
      <c r="C312" s="1463" t="s">
        <v>4104</v>
      </c>
      <c r="D312" s="1460">
        <v>1</v>
      </c>
      <c r="E312" s="1460">
        <v>0</v>
      </c>
      <c r="F312" s="1461">
        <v>1</v>
      </c>
      <c r="G312" s="1472" t="s">
        <v>4104</v>
      </c>
      <c r="H312" s="1458">
        <v>0</v>
      </c>
      <c r="I312" s="1458">
        <v>0</v>
      </c>
      <c r="J312" s="1473">
        <v>0</v>
      </c>
      <c r="K312" s="1462"/>
      <c r="L312" s="1456">
        <v>13005970100</v>
      </c>
      <c r="M312" s="1457">
        <v>1</v>
      </c>
      <c r="N312" s="1457">
        <v>0</v>
      </c>
      <c r="O312" s="1457">
        <v>1</v>
      </c>
      <c r="P312" s="241" t="s">
        <v>670</v>
      </c>
      <c r="Q312" s="241"/>
      <c r="R312" s="147"/>
      <c r="S312" s="236"/>
      <c r="T312" s="236" t="s">
        <v>815</v>
      </c>
      <c r="U312" s="236" t="s">
        <v>2292</v>
      </c>
      <c r="W312" s="44" t="s">
        <v>64</v>
      </c>
      <c r="X312" s="44" t="s">
        <v>3021</v>
      </c>
      <c r="AA312"/>
      <c r="AB312"/>
      <c r="AC312" s="380"/>
      <c r="AD312" s="68"/>
    </row>
    <row r="313" spans="3:30" ht="10.5" customHeight="1">
      <c r="C313" s="1463" t="s">
        <v>4105</v>
      </c>
      <c r="D313" s="1460">
        <v>0</v>
      </c>
      <c r="E313" s="1460">
        <v>0</v>
      </c>
      <c r="F313" s="1461">
        <v>0</v>
      </c>
      <c r="G313" s="1472" t="s">
        <v>4105</v>
      </c>
      <c r="H313" s="1458">
        <v>0</v>
      </c>
      <c r="I313" s="1458">
        <v>0</v>
      </c>
      <c r="J313" s="1473">
        <v>0</v>
      </c>
      <c r="K313" s="1462"/>
      <c r="L313" s="1456">
        <v>13005970201</v>
      </c>
      <c r="M313" s="1457">
        <v>0</v>
      </c>
      <c r="N313" s="1457">
        <v>0</v>
      </c>
      <c r="O313" s="1457">
        <v>0</v>
      </c>
      <c r="P313" s="241" t="s">
        <v>1072</v>
      </c>
      <c r="Q313" s="241"/>
      <c r="R313" s="147"/>
      <c r="S313" s="236"/>
      <c r="T313" s="236" t="s">
        <v>1785</v>
      </c>
      <c r="U313" s="236" t="s">
        <v>815</v>
      </c>
      <c r="W313" s="44" t="s">
        <v>723</v>
      </c>
      <c r="X313" s="44" t="s">
        <v>3021</v>
      </c>
      <c r="AA313"/>
      <c r="AB313"/>
      <c r="AC313" s="68"/>
      <c r="AD313" s="68"/>
    </row>
    <row r="314" spans="3:30" ht="10.5" customHeight="1">
      <c r="C314" s="1463" t="s">
        <v>4106</v>
      </c>
      <c r="D314" s="1460">
        <v>0</v>
      </c>
      <c r="E314" s="1460">
        <v>0</v>
      </c>
      <c r="F314" s="1461">
        <v>0</v>
      </c>
      <c r="G314" s="1472" t="s">
        <v>4106</v>
      </c>
      <c r="H314" s="1458">
        <v>0</v>
      </c>
      <c r="I314" s="1458">
        <v>0</v>
      </c>
      <c r="J314" s="1473">
        <v>0</v>
      </c>
      <c r="K314" s="1462"/>
      <c r="L314" s="1456">
        <v>13005970202</v>
      </c>
      <c r="M314" s="1457">
        <v>0</v>
      </c>
      <c r="N314" s="1457">
        <v>0</v>
      </c>
      <c r="O314" s="1457">
        <v>0</v>
      </c>
      <c r="P314" s="241" t="s">
        <v>1074</v>
      </c>
      <c r="Q314" s="241"/>
      <c r="R314" s="147"/>
      <c r="S314" s="236"/>
      <c r="T314" s="392" t="s">
        <v>2368</v>
      </c>
      <c r="U314" s="392" t="s">
        <v>585</v>
      </c>
      <c r="W314" s="44" t="s">
        <v>882</v>
      </c>
      <c r="X314" s="44" t="s">
        <v>3021</v>
      </c>
      <c r="AA314"/>
      <c r="AB314"/>
      <c r="AC314" s="68"/>
      <c r="AD314" s="68"/>
    </row>
    <row r="315" spans="3:30" ht="10.5" customHeight="1">
      <c r="C315" s="1463" t="s">
        <v>4107</v>
      </c>
      <c r="D315" s="1460">
        <v>0</v>
      </c>
      <c r="E315" s="1460">
        <v>0</v>
      </c>
      <c r="F315" s="1461">
        <v>0</v>
      </c>
      <c r="G315" s="1472" t="s">
        <v>4107</v>
      </c>
      <c r="H315" s="1458">
        <v>0</v>
      </c>
      <c r="I315" s="1458">
        <v>1</v>
      </c>
      <c r="J315" s="1473">
        <v>1</v>
      </c>
      <c r="K315" s="1462"/>
      <c r="L315" s="1456">
        <v>13007960100</v>
      </c>
      <c r="M315" s="1457">
        <v>0</v>
      </c>
      <c r="N315" s="1457">
        <v>1</v>
      </c>
      <c r="O315" s="1457">
        <v>1</v>
      </c>
      <c r="P315" s="241" t="s">
        <v>1076</v>
      </c>
      <c r="Q315" s="241"/>
      <c r="R315" s="147"/>
      <c r="S315" s="236"/>
      <c r="T315" s="392" t="s">
        <v>2536</v>
      </c>
      <c r="U315" s="392" t="s">
        <v>2289</v>
      </c>
      <c r="W315" s="44" t="s">
        <v>979</v>
      </c>
      <c r="X315" s="44" t="s">
        <v>3021</v>
      </c>
      <c r="AA315"/>
      <c r="AB315"/>
      <c r="AC315" s="380"/>
      <c r="AD315" s="68"/>
    </row>
    <row r="316" spans="3:30" ht="10.5" customHeight="1">
      <c r="C316" s="1463" t="s">
        <v>4108</v>
      </c>
      <c r="D316" s="1460">
        <v>1</v>
      </c>
      <c r="E316" s="1460">
        <v>0</v>
      </c>
      <c r="F316" s="1461">
        <v>1</v>
      </c>
      <c r="G316" s="1472" t="s">
        <v>4108</v>
      </c>
      <c r="H316" s="1458">
        <v>0</v>
      </c>
      <c r="I316" s="1458">
        <v>0</v>
      </c>
      <c r="J316" s="1473">
        <v>0</v>
      </c>
      <c r="K316" s="1462"/>
      <c r="L316" s="1456">
        <v>13007960200</v>
      </c>
      <c r="M316" s="1457">
        <v>1</v>
      </c>
      <c r="N316" s="1457">
        <v>0</v>
      </c>
      <c r="O316" s="1457">
        <v>1</v>
      </c>
      <c r="P316" s="241" t="s">
        <v>2312</v>
      </c>
      <c r="Q316" s="241"/>
      <c r="R316" s="147"/>
      <c r="S316" s="236"/>
      <c r="T316" s="392" t="s">
        <v>1789</v>
      </c>
      <c r="U316" s="392" t="s">
        <v>1364</v>
      </c>
      <c r="W316" s="44" t="s">
        <v>2097</v>
      </c>
      <c r="X316" s="44" t="s">
        <v>3021</v>
      </c>
      <c r="AA316"/>
      <c r="AB316"/>
      <c r="AC316" s="380"/>
      <c r="AD316" s="68"/>
    </row>
    <row r="317" spans="3:30" ht="10.5" customHeight="1">
      <c r="C317" s="1463" t="s">
        <v>4109</v>
      </c>
      <c r="D317" s="1460">
        <v>0</v>
      </c>
      <c r="E317" s="1460">
        <v>0</v>
      </c>
      <c r="F317" s="1461">
        <v>0</v>
      </c>
      <c r="G317" s="1472" t="s">
        <v>4109</v>
      </c>
      <c r="H317" s="1458">
        <v>1</v>
      </c>
      <c r="I317" s="1458">
        <v>0</v>
      </c>
      <c r="J317" s="1473">
        <v>1</v>
      </c>
      <c r="K317" s="1462"/>
      <c r="L317" s="1456">
        <v>13009970100</v>
      </c>
      <c r="M317" s="1457">
        <v>1</v>
      </c>
      <c r="N317" s="1457">
        <v>0</v>
      </c>
      <c r="O317" s="1457">
        <v>1</v>
      </c>
      <c r="P317" s="241" t="s">
        <v>2314</v>
      </c>
      <c r="Q317" s="241"/>
      <c r="R317" s="147"/>
      <c r="S317" s="236"/>
      <c r="T317" s="392" t="s">
        <v>1791</v>
      </c>
      <c r="U317" s="392" t="s">
        <v>1364</v>
      </c>
      <c r="W317" s="44" t="s">
        <v>2320</v>
      </c>
      <c r="X317" s="44" t="s">
        <v>3021</v>
      </c>
      <c r="AA317"/>
      <c r="AB317"/>
      <c r="AC317" s="380"/>
      <c r="AD317" s="68"/>
    </row>
    <row r="318" spans="3:30" ht="10.5" customHeight="1">
      <c r="C318" s="1463" t="s">
        <v>4110</v>
      </c>
      <c r="D318" s="1460">
        <v>0</v>
      </c>
      <c r="E318" s="1460">
        <v>0</v>
      </c>
      <c r="F318" s="1461">
        <v>0</v>
      </c>
      <c r="G318" s="1472" t="s">
        <v>4110</v>
      </c>
      <c r="H318" s="1458">
        <v>0</v>
      </c>
      <c r="I318" s="1458">
        <v>1</v>
      </c>
      <c r="J318" s="1473">
        <v>1</v>
      </c>
      <c r="K318" s="1462"/>
      <c r="L318" s="1456">
        <v>13009970200</v>
      </c>
      <c r="M318" s="1457">
        <v>0</v>
      </c>
      <c r="N318" s="1457">
        <v>1</v>
      </c>
      <c r="O318" s="1457">
        <v>1</v>
      </c>
      <c r="P318" s="241" t="s">
        <v>181</v>
      </c>
      <c r="Q318" s="241"/>
      <c r="R318" s="147"/>
      <c r="S318" s="236"/>
      <c r="T318" s="392" t="s">
        <v>671</v>
      </c>
      <c r="U318" s="392" t="s">
        <v>115</v>
      </c>
      <c r="W318" s="44" t="s">
        <v>2010</v>
      </c>
      <c r="X318" s="44" t="s">
        <v>3021</v>
      </c>
      <c r="AA318"/>
      <c r="AB318"/>
      <c r="AC318" s="380"/>
      <c r="AD318" s="68"/>
    </row>
    <row r="319" spans="3:30" ht="10.5" customHeight="1">
      <c r="C319" s="1463" t="s">
        <v>4111</v>
      </c>
      <c r="D319" s="1460">
        <v>1</v>
      </c>
      <c r="E319" s="1460">
        <v>1</v>
      </c>
      <c r="F319" s="1461">
        <v>2</v>
      </c>
      <c r="G319" s="1472" t="s">
        <v>4111</v>
      </c>
      <c r="H319" s="1458">
        <v>0</v>
      </c>
      <c r="I319" s="1458">
        <v>1</v>
      </c>
      <c r="J319" s="1473">
        <v>1</v>
      </c>
      <c r="K319" s="1462"/>
      <c r="L319" s="1456">
        <v>13009970300</v>
      </c>
      <c r="M319" s="1457">
        <v>1</v>
      </c>
      <c r="N319" s="1457">
        <v>1</v>
      </c>
      <c r="O319" s="1457">
        <v>2</v>
      </c>
      <c r="P319" s="241" t="s">
        <v>182</v>
      </c>
      <c r="Q319" s="241"/>
      <c r="R319" s="147"/>
      <c r="S319" s="236"/>
      <c r="T319" s="392" t="s">
        <v>644</v>
      </c>
      <c r="U319" s="392" t="s">
        <v>585</v>
      </c>
      <c r="W319" s="44" t="s">
        <v>1508</v>
      </c>
      <c r="X319" s="44" t="s">
        <v>3021</v>
      </c>
      <c r="AA319"/>
      <c r="AB319"/>
      <c r="AC319" s="380"/>
      <c r="AD319" s="68"/>
    </row>
    <row r="320" spans="3:30" ht="10.5" customHeight="1">
      <c r="C320" s="1463" t="s">
        <v>4112</v>
      </c>
      <c r="D320" s="1460">
        <v>0</v>
      </c>
      <c r="E320" s="1460">
        <v>0</v>
      </c>
      <c r="F320" s="1461">
        <v>0</v>
      </c>
      <c r="G320" s="1472" t="s">
        <v>4112</v>
      </c>
      <c r="H320" s="1458">
        <v>0</v>
      </c>
      <c r="I320" s="1458">
        <v>1</v>
      </c>
      <c r="J320" s="1473">
        <v>1</v>
      </c>
      <c r="K320" s="1462"/>
      <c r="L320" s="1456">
        <v>13009970400</v>
      </c>
      <c r="M320" s="1457">
        <v>0</v>
      </c>
      <c r="N320" s="1457">
        <v>1</v>
      </c>
      <c r="O320" s="1457">
        <v>1</v>
      </c>
      <c r="P320" s="241" t="s">
        <v>1692</v>
      </c>
      <c r="Q320" s="241"/>
      <c r="R320" s="147"/>
      <c r="S320" s="236"/>
      <c r="T320" s="392" t="s">
        <v>2537</v>
      </c>
      <c r="U320" s="392" t="s">
        <v>152</v>
      </c>
      <c r="W320" s="44" t="s">
        <v>2226</v>
      </c>
      <c r="X320" s="44" t="s">
        <v>3021</v>
      </c>
      <c r="AA320"/>
      <c r="AB320"/>
      <c r="AC320" s="380"/>
      <c r="AD320" s="68"/>
    </row>
    <row r="321" spans="3:30" ht="10.5" customHeight="1">
      <c r="C321" s="1463" t="s">
        <v>4113</v>
      </c>
      <c r="D321" s="1460">
        <v>0</v>
      </c>
      <c r="E321" s="1460">
        <v>0</v>
      </c>
      <c r="F321" s="1461">
        <v>0</v>
      </c>
      <c r="G321" s="1472" t="s">
        <v>4113</v>
      </c>
      <c r="H321" s="1458">
        <v>0</v>
      </c>
      <c r="I321" s="1458">
        <v>0</v>
      </c>
      <c r="J321" s="1473">
        <v>0</v>
      </c>
      <c r="K321" s="1462"/>
      <c r="L321" s="1456">
        <v>13009970500</v>
      </c>
      <c r="M321" s="1457">
        <v>0</v>
      </c>
      <c r="N321" s="1457">
        <v>0</v>
      </c>
      <c r="O321" s="1457">
        <v>0</v>
      </c>
      <c r="P321" s="241" t="s">
        <v>1694</v>
      </c>
      <c r="Q321" s="241"/>
      <c r="R321" s="147"/>
      <c r="S321" s="236"/>
      <c r="T321" s="392" t="s">
        <v>2538</v>
      </c>
      <c r="U321" s="392" t="s">
        <v>303</v>
      </c>
      <c r="W321" s="44" t="s">
        <v>758</v>
      </c>
      <c r="X321" s="44" t="s">
        <v>3021</v>
      </c>
      <c r="AA321"/>
      <c r="AB321"/>
      <c r="AC321" s="380"/>
      <c r="AD321" s="68"/>
    </row>
    <row r="322" spans="3:30" ht="10.5" customHeight="1">
      <c r="C322" s="1463" t="s">
        <v>4114</v>
      </c>
      <c r="D322" s="1460">
        <v>0</v>
      </c>
      <c r="E322" s="1460">
        <v>0</v>
      </c>
      <c r="F322" s="1461">
        <v>0</v>
      </c>
      <c r="G322" s="1472" t="s">
        <v>4114</v>
      </c>
      <c r="H322" s="1458">
        <v>0</v>
      </c>
      <c r="I322" s="1458">
        <v>0</v>
      </c>
      <c r="J322" s="1473">
        <v>0</v>
      </c>
      <c r="K322" s="1462"/>
      <c r="L322" s="1456">
        <v>13009970600</v>
      </c>
      <c r="M322" s="1457">
        <v>0</v>
      </c>
      <c r="N322" s="1457">
        <v>0</v>
      </c>
      <c r="O322" s="1457">
        <v>0</v>
      </c>
      <c r="P322" s="241" t="s">
        <v>1752</v>
      </c>
      <c r="Q322" s="241"/>
      <c r="R322" s="147"/>
      <c r="S322" s="236"/>
      <c r="T322" s="392" t="s">
        <v>1073</v>
      </c>
      <c r="U322" s="392" t="s">
        <v>1364</v>
      </c>
      <c r="W322" s="44" t="s">
        <v>161</v>
      </c>
      <c r="X322" s="44" t="s">
        <v>3021</v>
      </c>
      <c r="AA322"/>
      <c r="AB322"/>
      <c r="AC322" s="380"/>
      <c r="AD322" s="68"/>
    </row>
    <row r="323" spans="3:30" ht="10.5" customHeight="1">
      <c r="C323" s="1463" t="s">
        <v>4115</v>
      </c>
      <c r="D323" s="1460">
        <v>0</v>
      </c>
      <c r="E323" s="1460">
        <v>0</v>
      </c>
      <c r="F323" s="1461">
        <v>0</v>
      </c>
      <c r="G323" s="1472" t="s">
        <v>4115</v>
      </c>
      <c r="H323" s="1458">
        <v>0</v>
      </c>
      <c r="I323" s="1458">
        <v>0</v>
      </c>
      <c r="J323" s="1473">
        <v>0</v>
      </c>
      <c r="K323" s="1462"/>
      <c r="L323" s="1456">
        <v>13009970701</v>
      </c>
      <c r="M323" s="1457">
        <v>0</v>
      </c>
      <c r="N323" s="1457">
        <v>0</v>
      </c>
      <c r="O323" s="1457">
        <v>0</v>
      </c>
      <c r="P323" s="241" t="s">
        <v>1754</v>
      </c>
      <c r="Q323" s="241"/>
      <c r="R323" s="147"/>
      <c r="S323" s="236"/>
      <c r="T323" s="392" t="s">
        <v>1075</v>
      </c>
      <c r="U323" s="392" t="s">
        <v>616</v>
      </c>
      <c r="W323" s="44" t="s">
        <v>1249</v>
      </c>
      <c r="X323" s="44" t="s">
        <v>3021</v>
      </c>
      <c r="AA323"/>
      <c r="AB323"/>
      <c r="AC323" s="380"/>
      <c r="AD323" s="68"/>
    </row>
    <row r="324" spans="3:30" ht="10.5" customHeight="1">
      <c r="C324" s="1463" t="s">
        <v>4116</v>
      </c>
      <c r="D324" s="1460">
        <v>0</v>
      </c>
      <c r="E324" s="1460">
        <v>0</v>
      </c>
      <c r="F324" s="1461">
        <v>0</v>
      </c>
      <c r="G324" s="1472" t="s">
        <v>4116</v>
      </c>
      <c r="H324" s="1458">
        <v>0</v>
      </c>
      <c r="I324" s="1458">
        <v>0</v>
      </c>
      <c r="J324" s="1473">
        <v>0</v>
      </c>
      <c r="K324" s="1462"/>
      <c r="L324" s="1456">
        <v>13009970702</v>
      </c>
      <c r="M324" s="1457">
        <v>0</v>
      </c>
      <c r="N324" s="1457">
        <v>0</v>
      </c>
      <c r="O324" s="1457">
        <v>0</v>
      </c>
      <c r="P324" s="241" t="s">
        <v>1755</v>
      </c>
      <c r="Q324" s="241"/>
      <c r="R324" s="147"/>
      <c r="S324" s="236"/>
      <c r="T324" s="392" t="s">
        <v>2369</v>
      </c>
      <c r="U324" s="392" t="s">
        <v>2016</v>
      </c>
      <c r="W324" s="44" t="s">
        <v>1008</v>
      </c>
      <c r="X324" s="44" t="s">
        <v>3021</v>
      </c>
      <c r="AA324"/>
      <c r="AB324"/>
      <c r="AC324" s="380"/>
      <c r="AD324" s="68"/>
    </row>
    <row r="325" spans="3:30" ht="10.5" customHeight="1">
      <c r="C325" s="1463" t="s">
        <v>4117</v>
      </c>
      <c r="D325" s="1460">
        <v>0</v>
      </c>
      <c r="E325" s="1460">
        <v>0</v>
      </c>
      <c r="F325" s="1461">
        <v>0</v>
      </c>
      <c r="G325" s="1472" t="s">
        <v>4117</v>
      </c>
      <c r="H325" s="1458">
        <v>0</v>
      </c>
      <c r="I325" s="1458">
        <v>0</v>
      </c>
      <c r="J325" s="1473">
        <v>0</v>
      </c>
      <c r="K325" s="1462"/>
      <c r="L325" s="1456">
        <v>13009970800</v>
      </c>
      <c r="M325" s="1457">
        <v>0</v>
      </c>
      <c r="N325" s="1457">
        <v>0</v>
      </c>
      <c r="O325" s="1457">
        <v>0</v>
      </c>
      <c r="P325" s="241" t="s">
        <v>1757</v>
      </c>
      <c r="Q325" s="241"/>
      <c r="R325" s="147"/>
      <c r="S325" s="236"/>
      <c r="T325" s="392" t="s">
        <v>2370</v>
      </c>
      <c r="U325" s="392" t="s">
        <v>2330</v>
      </c>
      <c r="W325" s="44" t="s">
        <v>1851</v>
      </c>
      <c r="X325" s="44" t="s">
        <v>3021</v>
      </c>
      <c r="AA325"/>
      <c r="AB325"/>
      <c r="AC325" s="380"/>
      <c r="AD325" s="68"/>
    </row>
    <row r="326" spans="3:30" ht="10.5" customHeight="1">
      <c r="C326" s="1463" t="s">
        <v>4118</v>
      </c>
      <c r="D326" s="1460">
        <v>0</v>
      </c>
      <c r="E326" s="1460">
        <v>0</v>
      </c>
      <c r="F326" s="1461">
        <v>0</v>
      </c>
      <c r="G326" s="1472" t="s">
        <v>4118</v>
      </c>
      <c r="H326" s="1458">
        <v>0</v>
      </c>
      <c r="I326" s="1458">
        <v>0</v>
      </c>
      <c r="J326" s="1473">
        <v>0</v>
      </c>
      <c r="K326" s="1462"/>
      <c r="L326" s="1456">
        <v>13011970100</v>
      </c>
      <c r="M326" s="1457">
        <v>0</v>
      </c>
      <c r="N326" s="1457">
        <v>0</v>
      </c>
      <c r="O326" s="1457">
        <v>0</v>
      </c>
      <c r="P326" s="241" t="s">
        <v>1759</v>
      </c>
      <c r="Q326" s="241"/>
      <c r="R326" s="147"/>
      <c r="S326" s="236"/>
      <c r="T326" s="392" t="s">
        <v>1077</v>
      </c>
      <c r="U326" s="392" t="s">
        <v>1133</v>
      </c>
      <c r="W326" s="44" t="s">
        <v>1749</v>
      </c>
      <c r="X326" s="44" t="s">
        <v>3021</v>
      </c>
      <c r="AA326"/>
      <c r="AB326"/>
      <c r="AC326" s="380"/>
      <c r="AD326" s="68"/>
    </row>
    <row r="327" spans="3:30" ht="10.5" customHeight="1">
      <c r="C327" s="1463" t="s">
        <v>4119</v>
      </c>
      <c r="D327" s="1460">
        <v>0</v>
      </c>
      <c r="E327" s="1460">
        <v>0</v>
      </c>
      <c r="F327" s="1461">
        <v>0</v>
      </c>
      <c r="G327" s="1472" t="s">
        <v>4119</v>
      </c>
      <c r="H327" s="1458">
        <v>0</v>
      </c>
      <c r="I327" s="1458">
        <v>0</v>
      </c>
      <c r="J327" s="1473">
        <v>0</v>
      </c>
      <c r="K327" s="1462"/>
      <c r="L327" s="1456">
        <v>13011970200</v>
      </c>
      <c r="M327" s="1457">
        <v>0</v>
      </c>
      <c r="N327" s="1457">
        <v>0</v>
      </c>
      <c r="O327" s="1457">
        <v>0</v>
      </c>
      <c r="P327" s="241" t="s">
        <v>1793</v>
      </c>
      <c r="Q327" s="241"/>
      <c r="R327" s="147"/>
      <c r="S327" s="236"/>
      <c r="T327" s="392" t="s">
        <v>2313</v>
      </c>
      <c r="U327" s="392" t="s">
        <v>192</v>
      </c>
      <c r="W327" s="44" t="s">
        <v>2335</v>
      </c>
      <c r="X327" s="44" t="s">
        <v>3021</v>
      </c>
      <c r="AA327"/>
      <c r="AB327"/>
      <c r="AC327" s="380"/>
      <c r="AD327" s="68"/>
    </row>
    <row r="328" spans="3:30" ht="10.5" customHeight="1">
      <c r="C328" s="1463" t="s">
        <v>4120</v>
      </c>
      <c r="D328" s="1460">
        <v>1</v>
      </c>
      <c r="E328" s="1460">
        <v>1</v>
      </c>
      <c r="F328" s="1461">
        <v>2</v>
      </c>
      <c r="G328" s="1472" t="s">
        <v>4120</v>
      </c>
      <c r="H328" s="1458">
        <v>0</v>
      </c>
      <c r="I328" s="1458">
        <v>0</v>
      </c>
      <c r="J328" s="1473">
        <v>0</v>
      </c>
      <c r="K328" s="1462"/>
      <c r="L328" s="1456">
        <v>13011970300</v>
      </c>
      <c r="M328" s="1457">
        <v>1</v>
      </c>
      <c r="N328" s="1457">
        <v>1</v>
      </c>
      <c r="O328" s="1457">
        <v>2</v>
      </c>
      <c r="P328" s="241" t="s">
        <v>1795</v>
      </c>
      <c r="Q328" s="241"/>
      <c r="R328" s="147"/>
      <c r="S328" s="236"/>
      <c r="T328" s="236" t="s">
        <v>429</v>
      </c>
      <c r="U328" s="236" t="s">
        <v>1037</v>
      </c>
      <c r="W328" s="44" t="s">
        <v>1088</v>
      </c>
      <c r="X328" s="44" t="s">
        <v>3021</v>
      </c>
      <c r="AA328"/>
      <c r="AB328"/>
      <c r="AC328" s="380"/>
      <c r="AD328" s="68"/>
    </row>
    <row r="329" spans="3:30" ht="10.5" customHeight="1">
      <c r="C329" s="1463" t="s">
        <v>4121</v>
      </c>
      <c r="D329" s="1460">
        <v>0</v>
      </c>
      <c r="E329" s="1460">
        <v>0</v>
      </c>
      <c r="F329" s="1461">
        <v>0</v>
      </c>
      <c r="G329" s="1472" t="s">
        <v>4121</v>
      </c>
      <c r="H329" s="1458">
        <v>0</v>
      </c>
      <c r="I329" s="1458">
        <v>0</v>
      </c>
      <c r="J329" s="1473">
        <v>0</v>
      </c>
      <c r="K329" s="1462"/>
      <c r="L329" s="1456">
        <v>13011970400</v>
      </c>
      <c r="M329" s="1457">
        <v>0</v>
      </c>
      <c r="N329" s="1457">
        <v>0</v>
      </c>
      <c r="O329" s="1457">
        <v>0</v>
      </c>
      <c r="P329" s="241" t="s">
        <v>1796</v>
      </c>
      <c r="Q329" s="241"/>
      <c r="R329" s="147"/>
      <c r="S329" s="236"/>
      <c r="T329" s="236" t="s">
        <v>3786</v>
      </c>
      <c r="U329" s="236" t="s">
        <v>618</v>
      </c>
      <c r="W329" s="44" t="s">
        <v>2316</v>
      </c>
      <c r="X329" s="44" t="s">
        <v>3021</v>
      </c>
      <c r="AA329"/>
      <c r="AB329"/>
      <c r="AC329" s="68"/>
      <c r="AD329" s="68"/>
    </row>
    <row r="330" spans="3:30" ht="10.5" customHeight="1">
      <c r="C330" s="1463" t="s">
        <v>4122</v>
      </c>
      <c r="D330" s="1460">
        <v>1</v>
      </c>
      <c r="E330" s="1460">
        <v>1</v>
      </c>
      <c r="F330" s="1461">
        <v>2</v>
      </c>
      <c r="G330" s="1472" t="s">
        <v>4122</v>
      </c>
      <c r="H330" s="1458">
        <v>1</v>
      </c>
      <c r="I330" s="1458">
        <v>1</v>
      </c>
      <c r="J330" s="1473">
        <v>2</v>
      </c>
      <c r="K330" s="1462"/>
      <c r="L330" s="1456">
        <v>13013180103</v>
      </c>
      <c r="M330" s="1457">
        <v>1</v>
      </c>
      <c r="N330" s="1457">
        <v>1</v>
      </c>
      <c r="O330" s="1457">
        <v>2</v>
      </c>
      <c r="P330" s="241" t="s">
        <v>1798</v>
      </c>
      <c r="Q330" s="241"/>
      <c r="R330" s="147"/>
      <c r="S330" s="236"/>
      <c r="T330" s="236" t="s">
        <v>289</v>
      </c>
      <c r="U330" s="236" t="s">
        <v>1255</v>
      </c>
      <c r="W330" s="44" t="s">
        <v>759</v>
      </c>
      <c r="X330" s="44" t="s">
        <v>3021</v>
      </c>
      <c r="AA330"/>
      <c r="AB330"/>
      <c r="AC330" s="68"/>
      <c r="AD330" s="68"/>
    </row>
    <row r="331" spans="3:30" ht="10.5" customHeight="1">
      <c r="C331" s="1463" t="s">
        <v>4123</v>
      </c>
      <c r="D331" s="1460">
        <v>0</v>
      </c>
      <c r="E331" s="1460">
        <v>1</v>
      </c>
      <c r="F331" s="1461">
        <v>1</v>
      </c>
      <c r="G331" s="1472" t="s">
        <v>4123</v>
      </c>
      <c r="H331" s="1458">
        <v>0</v>
      </c>
      <c r="I331" s="1458">
        <v>0</v>
      </c>
      <c r="J331" s="1473">
        <v>0</v>
      </c>
      <c r="K331" s="1462"/>
      <c r="L331" s="1456">
        <v>13013180104</v>
      </c>
      <c r="M331" s="1457">
        <v>0</v>
      </c>
      <c r="N331" s="1457">
        <v>1</v>
      </c>
      <c r="O331" s="1457">
        <v>1</v>
      </c>
      <c r="P331" s="241" t="s">
        <v>1800</v>
      </c>
      <c r="Q331" s="241"/>
      <c r="R331" s="147"/>
      <c r="S331" s="236"/>
      <c r="T331" s="392" t="s">
        <v>1693</v>
      </c>
      <c r="U331" s="392" t="s">
        <v>820</v>
      </c>
      <c r="W331" s="44" t="s">
        <v>1952</v>
      </c>
      <c r="X331" s="44" t="s">
        <v>3021</v>
      </c>
      <c r="AA331"/>
      <c r="AB331"/>
      <c r="AC331" s="68"/>
      <c r="AD331" s="68"/>
    </row>
    <row r="332" spans="3:30" ht="10.5" customHeight="1">
      <c r="C332" s="1463" t="s">
        <v>4124</v>
      </c>
      <c r="D332" s="1460">
        <v>0</v>
      </c>
      <c r="E332" s="1460">
        <v>1</v>
      </c>
      <c r="F332" s="1461">
        <v>1</v>
      </c>
      <c r="G332" s="1472" t="s">
        <v>4124</v>
      </c>
      <c r="H332" s="1458">
        <v>1</v>
      </c>
      <c r="I332" s="1458">
        <v>0</v>
      </c>
      <c r="J332" s="1473">
        <v>1</v>
      </c>
      <c r="K332" s="1462"/>
      <c r="L332" s="1456">
        <v>13013180105</v>
      </c>
      <c r="M332" s="1457">
        <v>1</v>
      </c>
      <c r="N332" s="1457">
        <v>1</v>
      </c>
      <c r="O332" s="1457">
        <v>1</v>
      </c>
      <c r="P332" s="241" t="s">
        <v>394</v>
      </c>
      <c r="Q332" s="241"/>
      <c r="R332" s="147"/>
      <c r="S332" s="236"/>
      <c r="T332" s="392" t="s">
        <v>1695</v>
      </c>
      <c r="U332" s="392" t="s">
        <v>1047</v>
      </c>
      <c r="W332" s="44" t="s">
        <v>880</v>
      </c>
      <c r="X332" s="44" t="s">
        <v>3021</v>
      </c>
      <c r="AA332"/>
      <c r="AB332"/>
      <c r="AC332" s="380"/>
      <c r="AD332" s="68"/>
    </row>
    <row r="333" spans="3:30" ht="10.5" customHeight="1">
      <c r="C333" s="1463" t="s">
        <v>4125</v>
      </c>
      <c r="D333" s="1460">
        <v>0</v>
      </c>
      <c r="E333" s="1460">
        <v>1</v>
      </c>
      <c r="F333" s="1461">
        <v>1</v>
      </c>
      <c r="G333" s="1472" t="s">
        <v>4125</v>
      </c>
      <c r="H333" s="1458">
        <v>1</v>
      </c>
      <c r="I333" s="1458">
        <v>0</v>
      </c>
      <c r="J333" s="1473">
        <v>1</v>
      </c>
      <c r="K333" s="1462"/>
      <c r="L333" s="1456">
        <v>13013180106</v>
      </c>
      <c r="M333" s="1457">
        <v>1</v>
      </c>
      <c r="N333" s="1457">
        <v>1</v>
      </c>
      <c r="O333" s="1457">
        <v>1</v>
      </c>
      <c r="P333" s="241" t="s">
        <v>127</v>
      </c>
      <c r="Q333" s="241"/>
      <c r="R333" s="147"/>
      <c r="S333" s="236"/>
      <c r="T333" s="236" t="s">
        <v>1753</v>
      </c>
      <c r="U333" s="236" t="s">
        <v>2294</v>
      </c>
      <c r="W333" s="44" t="s">
        <v>2304</v>
      </c>
      <c r="X333" s="44" t="s">
        <v>3021</v>
      </c>
      <c r="AA333"/>
      <c r="AB333"/>
      <c r="AC333" s="380"/>
      <c r="AD333" s="68"/>
    </row>
    <row r="334" spans="3:30" ht="10.5" customHeight="1">
      <c r="C334" s="1463" t="s">
        <v>4126</v>
      </c>
      <c r="D334" s="1460">
        <v>0</v>
      </c>
      <c r="E334" s="1460">
        <v>0</v>
      </c>
      <c r="F334" s="1461">
        <v>0</v>
      </c>
      <c r="G334" s="1472" t="s">
        <v>4126</v>
      </c>
      <c r="H334" s="1458">
        <v>0</v>
      </c>
      <c r="I334" s="1458">
        <v>0</v>
      </c>
      <c r="J334" s="1473">
        <v>0</v>
      </c>
      <c r="K334" s="1462"/>
      <c r="L334" s="1456">
        <v>13013180107</v>
      </c>
      <c r="M334" s="1457">
        <v>0</v>
      </c>
      <c r="N334" s="1457">
        <v>0</v>
      </c>
      <c r="O334" s="1457">
        <v>0</v>
      </c>
      <c r="P334" s="241" t="s">
        <v>1557</v>
      </c>
      <c r="Q334" s="241"/>
      <c r="R334" s="147"/>
      <c r="S334" s="236"/>
      <c r="T334" s="236" t="s">
        <v>6095</v>
      </c>
      <c r="U334" s="236" t="s">
        <v>2288</v>
      </c>
      <c r="W334" s="44" t="s">
        <v>1766</v>
      </c>
      <c r="X334" s="44" t="s">
        <v>3021</v>
      </c>
      <c r="AA334"/>
      <c r="AB334"/>
      <c r="AC334" s="68"/>
      <c r="AD334" s="68"/>
    </row>
    <row r="335" spans="3:30" ht="10.5" customHeight="1">
      <c r="C335" s="1463" t="s">
        <v>4127</v>
      </c>
      <c r="D335" s="1460">
        <v>0</v>
      </c>
      <c r="E335" s="1460">
        <v>1</v>
      </c>
      <c r="F335" s="1461">
        <v>1</v>
      </c>
      <c r="G335" s="1472" t="s">
        <v>4127</v>
      </c>
      <c r="H335" s="1458">
        <v>0</v>
      </c>
      <c r="I335" s="1458">
        <v>0</v>
      </c>
      <c r="J335" s="1473">
        <v>0</v>
      </c>
      <c r="K335" s="1462"/>
      <c r="L335" s="1456">
        <v>13013180108</v>
      </c>
      <c r="M335" s="1457">
        <v>0</v>
      </c>
      <c r="N335" s="1457">
        <v>1</v>
      </c>
      <c r="O335" s="1457">
        <v>1</v>
      </c>
      <c r="P335" s="241" t="s">
        <v>1626</v>
      </c>
      <c r="Q335" s="241"/>
      <c r="R335" s="147"/>
      <c r="S335" s="236"/>
      <c r="T335" s="392" t="s">
        <v>1756</v>
      </c>
      <c r="U335" s="392" t="s">
        <v>616</v>
      </c>
      <c r="W335" s="44" t="s">
        <v>1333</v>
      </c>
      <c r="X335" s="44" t="s">
        <v>3021</v>
      </c>
      <c r="AA335"/>
      <c r="AB335"/>
      <c r="AC335" s="380"/>
      <c r="AD335" s="68"/>
    </row>
    <row r="336" spans="3:30" ht="10.5" customHeight="1">
      <c r="C336" s="1463" t="s">
        <v>4128</v>
      </c>
      <c r="D336" s="1460">
        <v>0</v>
      </c>
      <c r="E336" s="1460">
        <v>0</v>
      </c>
      <c r="F336" s="1461">
        <v>0</v>
      </c>
      <c r="G336" s="1472" t="s">
        <v>4128</v>
      </c>
      <c r="H336" s="1458">
        <v>0</v>
      </c>
      <c r="I336" s="1458">
        <v>0</v>
      </c>
      <c r="J336" s="1473">
        <v>0</v>
      </c>
      <c r="K336" s="1462"/>
      <c r="L336" s="1456">
        <v>13013180203</v>
      </c>
      <c r="M336" s="1457">
        <v>0</v>
      </c>
      <c r="N336" s="1457">
        <v>0</v>
      </c>
      <c r="O336" s="1457">
        <v>0</v>
      </c>
      <c r="P336" s="241" t="s">
        <v>2105</v>
      </c>
      <c r="Q336" s="241"/>
      <c r="R336" s="147"/>
      <c r="S336" s="236"/>
      <c r="T336" s="392" t="s">
        <v>1758</v>
      </c>
      <c r="U336" s="392" t="s">
        <v>1237</v>
      </c>
      <c r="W336" s="44" t="s">
        <v>2087</v>
      </c>
      <c r="X336" s="44" t="s">
        <v>3021</v>
      </c>
      <c r="AA336"/>
      <c r="AB336"/>
      <c r="AC336" s="380"/>
      <c r="AD336" s="68"/>
    </row>
    <row r="337" spans="3:30" ht="10.5" customHeight="1">
      <c r="C337" s="1463" t="s">
        <v>4129</v>
      </c>
      <c r="D337" s="1460">
        <v>0</v>
      </c>
      <c r="E337" s="1460">
        <v>0</v>
      </c>
      <c r="F337" s="1461">
        <v>0</v>
      </c>
      <c r="G337" s="1472" t="s">
        <v>4129</v>
      </c>
      <c r="H337" s="1458">
        <v>0</v>
      </c>
      <c r="I337" s="1458">
        <v>0</v>
      </c>
      <c r="J337" s="1473">
        <v>0</v>
      </c>
      <c r="K337" s="1462"/>
      <c r="L337" s="1456">
        <v>13013180204</v>
      </c>
      <c r="M337" s="1457">
        <v>0</v>
      </c>
      <c r="N337" s="1457">
        <v>0</v>
      </c>
      <c r="O337" s="1457">
        <v>0</v>
      </c>
      <c r="P337" s="241" t="s">
        <v>2107</v>
      </c>
      <c r="Q337" s="241"/>
      <c r="R337" s="147"/>
      <c r="S337" s="236"/>
      <c r="T337" s="392" t="s">
        <v>2539</v>
      </c>
      <c r="U337" s="392" t="s">
        <v>192</v>
      </c>
      <c r="W337" s="44" t="s">
        <v>2089</v>
      </c>
      <c r="X337" s="44" t="s">
        <v>3021</v>
      </c>
      <c r="AA337"/>
      <c r="AB337"/>
      <c r="AC337" s="380"/>
      <c r="AD337" s="68"/>
    </row>
    <row r="338" spans="3:30" ht="10.5" customHeight="1">
      <c r="C338" s="1463" t="s">
        <v>4130</v>
      </c>
      <c r="D338" s="1460">
        <v>0</v>
      </c>
      <c r="E338" s="1460">
        <v>0</v>
      </c>
      <c r="F338" s="1461">
        <v>0</v>
      </c>
      <c r="G338" s="1472" t="s">
        <v>4130</v>
      </c>
      <c r="H338" s="1458">
        <v>0</v>
      </c>
      <c r="I338" s="1458">
        <v>0</v>
      </c>
      <c r="J338" s="1473">
        <v>0</v>
      </c>
      <c r="K338" s="1462"/>
      <c r="L338" s="1456">
        <v>13013180205</v>
      </c>
      <c r="M338" s="1457">
        <v>0</v>
      </c>
      <c r="N338" s="1457">
        <v>0</v>
      </c>
      <c r="O338" s="1457">
        <v>0</v>
      </c>
      <c r="P338" s="241" t="s">
        <v>929</v>
      </c>
      <c r="Q338" s="241"/>
      <c r="R338" s="147"/>
      <c r="S338" s="236"/>
      <c r="T338" s="392" t="s">
        <v>1760</v>
      </c>
      <c r="U338" s="392" t="s">
        <v>1240</v>
      </c>
      <c r="W338" s="44" t="s">
        <v>1052</v>
      </c>
      <c r="X338" s="44" t="s">
        <v>3021</v>
      </c>
      <c r="AA338"/>
      <c r="AB338"/>
      <c r="AC338" s="380"/>
      <c r="AD338" s="68"/>
    </row>
    <row r="339" spans="3:30" ht="10.5" customHeight="1">
      <c r="C339" s="1463" t="s">
        <v>4131</v>
      </c>
      <c r="D339" s="1460">
        <v>1</v>
      </c>
      <c r="E339" s="1460">
        <v>1</v>
      </c>
      <c r="F339" s="1461">
        <v>2</v>
      </c>
      <c r="G339" s="1472" t="s">
        <v>4131</v>
      </c>
      <c r="H339" s="1458">
        <v>1</v>
      </c>
      <c r="I339" s="1458">
        <v>0</v>
      </c>
      <c r="J339" s="1473">
        <v>1</v>
      </c>
      <c r="K339" s="1462"/>
      <c r="L339" s="1456">
        <v>13013180206</v>
      </c>
      <c r="M339" s="1457">
        <v>1</v>
      </c>
      <c r="N339" s="1457">
        <v>1</v>
      </c>
      <c r="O339" s="1457">
        <v>2</v>
      </c>
      <c r="P339" s="241" t="s">
        <v>631</v>
      </c>
      <c r="Q339" s="241"/>
      <c r="R339" s="147"/>
      <c r="S339" s="236"/>
      <c r="T339" s="392" t="s">
        <v>1794</v>
      </c>
      <c r="U339" s="392" t="s">
        <v>305</v>
      </c>
      <c r="W339" s="44" t="s">
        <v>1973</v>
      </c>
      <c r="X339" s="44" t="s">
        <v>3021</v>
      </c>
      <c r="AA339"/>
      <c r="AB339"/>
      <c r="AC339" s="380"/>
      <c r="AD339" s="68"/>
    </row>
    <row r="340" spans="3:30" ht="10.5" customHeight="1">
      <c r="C340" s="1463" t="s">
        <v>4132</v>
      </c>
      <c r="D340" s="1460">
        <v>1</v>
      </c>
      <c r="E340" s="1460">
        <v>1</v>
      </c>
      <c r="F340" s="1461">
        <v>2</v>
      </c>
      <c r="G340" s="1472" t="s">
        <v>4132</v>
      </c>
      <c r="H340" s="1458">
        <v>1</v>
      </c>
      <c r="I340" s="1458">
        <v>0</v>
      </c>
      <c r="J340" s="1473">
        <v>1</v>
      </c>
      <c r="K340" s="1462"/>
      <c r="L340" s="1456">
        <v>13013180301</v>
      </c>
      <c r="M340" s="1457">
        <v>1</v>
      </c>
      <c r="N340" s="1457">
        <v>1</v>
      </c>
      <c r="O340" s="1457">
        <v>2</v>
      </c>
      <c r="P340" s="241" t="s">
        <v>527</v>
      </c>
      <c r="Q340" s="241"/>
      <c r="R340" s="147"/>
      <c r="S340" s="236"/>
      <c r="T340" s="392" t="s">
        <v>2540</v>
      </c>
      <c r="U340" s="392" t="s">
        <v>609</v>
      </c>
      <c r="W340" s="44" t="s">
        <v>1974</v>
      </c>
      <c r="X340" s="44" t="s">
        <v>3021</v>
      </c>
      <c r="AA340"/>
      <c r="AB340"/>
      <c r="AC340" s="380"/>
      <c r="AD340" s="68"/>
    </row>
    <row r="341" spans="3:30" ht="10.5" customHeight="1">
      <c r="C341" s="1463" t="s">
        <v>4133</v>
      </c>
      <c r="D341" s="1460">
        <v>1</v>
      </c>
      <c r="E341" s="1460">
        <v>1</v>
      </c>
      <c r="F341" s="1461">
        <v>2</v>
      </c>
      <c r="G341" s="1472" t="s">
        <v>4133</v>
      </c>
      <c r="H341" s="1458">
        <v>1</v>
      </c>
      <c r="I341" s="1458">
        <v>1</v>
      </c>
      <c r="J341" s="1473">
        <v>2</v>
      </c>
      <c r="K341" s="1462"/>
      <c r="L341" s="1456">
        <v>13013180302</v>
      </c>
      <c r="M341" s="1457">
        <v>1</v>
      </c>
      <c r="N341" s="1457">
        <v>1</v>
      </c>
      <c r="O341" s="1457">
        <v>2</v>
      </c>
      <c r="P341" s="241" t="s">
        <v>627</v>
      </c>
      <c r="Q341" s="241"/>
      <c r="R341" s="147"/>
      <c r="S341" s="236"/>
      <c r="T341" s="392" t="s">
        <v>1797</v>
      </c>
      <c r="U341" s="392" t="s">
        <v>2381</v>
      </c>
      <c r="W341" s="44" t="s">
        <v>1975</v>
      </c>
      <c r="X341" s="44" t="s">
        <v>3021</v>
      </c>
      <c r="AA341"/>
      <c r="AB341"/>
      <c r="AC341" s="380"/>
      <c r="AD341" s="68"/>
    </row>
    <row r="342" spans="3:30" ht="10.5" customHeight="1">
      <c r="C342" s="1463" t="s">
        <v>4134</v>
      </c>
      <c r="D342" s="1460">
        <v>1</v>
      </c>
      <c r="E342" s="1460">
        <v>1</v>
      </c>
      <c r="F342" s="1461">
        <v>2</v>
      </c>
      <c r="G342" s="1472" t="s">
        <v>4134</v>
      </c>
      <c r="H342" s="1458">
        <v>0</v>
      </c>
      <c r="I342" s="1458">
        <v>0</v>
      </c>
      <c r="J342" s="1473">
        <v>0</v>
      </c>
      <c r="K342" s="1462"/>
      <c r="L342" s="1456">
        <v>13013180303</v>
      </c>
      <c r="M342" s="1457">
        <v>1</v>
      </c>
      <c r="N342" s="1457">
        <v>1</v>
      </c>
      <c r="O342" s="1457">
        <v>2</v>
      </c>
      <c r="P342" s="241" t="s">
        <v>2202</v>
      </c>
      <c r="Q342" s="241"/>
      <c r="R342" s="147"/>
      <c r="S342" s="236"/>
      <c r="T342" s="392" t="s">
        <v>1799</v>
      </c>
      <c r="U342" s="392" t="s">
        <v>1237</v>
      </c>
      <c r="W342" s="44" t="s">
        <v>2153</v>
      </c>
      <c r="X342" s="44" t="s">
        <v>3021</v>
      </c>
      <c r="AA342"/>
      <c r="AB342"/>
      <c r="AC342" s="380"/>
      <c r="AD342" s="68"/>
    </row>
    <row r="343" spans="3:30" ht="10.5" customHeight="1">
      <c r="C343" s="1463" t="s">
        <v>4135</v>
      </c>
      <c r="D343" s="1460">
        <v>1</v>
      </c>
      <c r="E343" s="1460">
        <v>1</v>
      </c>
      <c r="F343" s="1461">
        <v>2</v>
      </c>
      <c r="G343" s="1472" t="s">
        <v>4135</v>
      </c>
      <c r="H343" s="1458">
        <v>0</v>
      </c>
      <c r="I343" s="1458">
        <v>1</v>
      </c>
      <c r="J343" s="1473">
        <v>1</v>
      </c>
      <c r="K343" s="1462"/>
      <c r="L343" s="1456">
        <v>13013180401</v>
      </c>
      <c r="M343" s="1457">
        <v>1</v>
      </c>
      <c r="N343" s="1457">
        <v>1</v>
      </c>
      <c r="O343" s="1457">
        <v>2</v>
      </c>
      <c r="P343" s="241" t="s">
        <v>211</v>
      </c>
      <c r="Q343" s="241"/>
      <c r="R343" s="147"/>
      <c r="S343" s="236"/>
      <c r="T343" s="392" t="s">
        <v>2076</v>
      </c>
      <c r="U343" s="392" t="s">
        <v>2327</v>
      </c>
      <c r="W343" s="44" t="s">
        <v>2155</v>
      </c>
      <c r="X343" s="44" t="s">
        <v>3021</v>
      </c>
      <c r="AA343"/>
      <c r="AB343"/>
      <c r="AC343" s="380"/>
      <c r="AD343" s="68"/>
    </row>
    <row r="344" spans="3:30" ht="10.5" customHeight="1">
      <c r="C344" s="1463" t="s">
        <v>4136</v>
      </c>
      <c r="D344" s="1460">
        <v>0</v>
      </c>
      <c r="E344" s="1460">
        <v>0</v>
      </c>
      <c r="F344" s="1461">
        <v>0</v>
      </c>
      <c r="G344" s="1472" t="s">
        <v>4136</v>
      </c>
      <c r="H344" s="1458">
        <v>0</v>
      </c>
      <c r="I344" s="1458">
        <v>0</v>
      </c>
      <c r="J344" s="1473">
        <v>0</v>
      </c>
      <c r="K344" s="1462"/>
      <c r="L344" s="1456">
        <v>13013180402</v>
      </c>
      <c r="M344" s="1457">
        <v>0</v>
      </c>
      <c r="N344" s="1457">
        <v>0</v>
      </c>
      <c r="O344" s="1457">
        <v>0</v>
      </c>
      <c r="P344" s="241" t="s">
        <v>727</v>
      </c>
      <c r="Q344" s="241"/>
      <c r="R344" s="147"/>
      <c r="S344" s="236"/>
      <c r="T344" s="392" t="s">
        <v>2371</v>
      </c>
      <c r="U344" s="392" t="s">
        <v>2016</v>
      </c>
      <c r="W344" s="44" t="s">
        <v>2090</v>
      </c>
      <c r="X344" s="44" t="s">
        <v>3021</v>
      </c>
      <c r="AA344"/>
      <c r="AB344"/>
      <c r="AC344" s="380"/>
      <c r="AD344" s="68"/>
    </row>
    <row r="345" spans="3:30" ht="10.5" customHeight="1">
      <c r="C345" s="1463" t="s">
        <v>4137</v>
      </c>
      <c r="D345" s="1460">
        <v>1</v>
      </c>
      <c r="E345" s="1460">
        <v>1</v>
      </c>
      <c r="F345" s="1461">
        <v>2</v>
      </c>
      <c r="G345" s="1472" t="s">
        <v>4137</v>
      </c>
      <c r="H345" s="1458">
        <v>1</v>
      </c>
      <c r="I345" s="1458" t="s">
        <v>3911</v>
      </c>
      <c r="J345" s="1473">
        <v>1</v>
      </c>
      <c r="K345" s="1462"/>
      <c r="L345" s="1456">
        <v>13013180501</v>
      </c>
      <c r="M345" s="1457">
        <v>1</v>
      </c>
      <c r="N345" s="1457">
        <v>1</v>
      </c>
      <c r="O345" s="1457">
        <v>2</v>
      </c>
      <c r="P345" s="241" t="s">
        <v>728</v>
      </c>
      <c r="Q345" s="241"/>
      <c r="R345" s="147"/>
      <c r="S345" s="236"/>
      <c r="T345" s="392" t="s">
        <v>2372</v>
      </c>
      <c r="U345" s="392" t="s">
        <v>2291</v>
      </c>
      <c r="W345" s="44" t="s">
        <v>1521</v>
      </c>
      <c r="X345" s="44" t="s">
        <v>3021</v>
      </c>
      <c r="AA345"/>
      <c r="AB345"/>
      <c r="AC345" s="380"/>
      <c r="AD345" s="68"/>
    </row>
    <row r="346" spans="3:30" ht="10.5" customHeight="1">
      <c r="C346" s="1463" t="s">
        <v>4138</v>
      </c>
      <c r="D346" s="1460">
        <v>1</v>
      </c>
      <c r="E346" s="1460">
        <v>1</v>
      </c>
      <c r="F346" s="1461">
        <v>2</v>
      </c>
      <c r="G346" s="1472" t="s">
        <v>4138</v>
      </c>
      <c r="H346" s="1458">
        <v>1</v>
      </c>
      <c r="I346" s="1458">
        <v>0</v>
      </c>
      <c r="J346" s="1473">
        <v>1</v>
      </c>
      <c r="K346" s="1462"/>
      <c r="L346" s="1456">
        <v>13013180502</v>
      </c>
      <c r="M346" s="1457">
        <v>1</v>
      </c>
      <c r="N346" s="1457">
        <v>1</v>
      </c>
      <c r="O346" s="1457">
        <v>2</v>
      </c>
      <c r="P346" s="241" t="s">
        <v>221</v>
      </c>
      <c r="Q346" s="241"/>
      <c r="R346" s="147"/>
      <c r="S346" s="236"/>
      <c r="T346" s="236" t="s">
        <v>395</v>
      </c>
      <c r="U346" s="236" t="s">
        <v>1133</v>
      </c>
      <c r="W346" s="44" t="s">
        <v>1568</v>
      </c>
      <c r="X346" s="44" t="s">
        <v>3021</v>
      </c>
      <c r="AA346"/>
      <c r="AB346"/>
      <c r="AC346" s="68"/>
      <c r="AD346" s="68"/>
    </row>
    <row r="347" spans="3:30" ht="10.5" customHeight="1">
      <c r="C347" s="1463" t="s">
        <v>4139</v>
      </c>
      <c r="D347" s="1460">
        <v>1</v>
      </c>
      <c r="E347" s="1460">
        <v>1</v>
      </c>
      <c r="F347" s="1461">
        <v>2</v>
      </c>
      <c r="G347" s="1472" t="s">
        <v>4139</v>
      </c>
      <c r="H347" s="1458">
        <v>1</v>
      </c>
      <c r="I347" s="1458">
        <v>1</v>
      </c>
      <c r="J347" s="1473">
        <v>2</v>
      </c>
      <c r="K347" s="1462"/>
      <c r="L347" s="1456">
        <v>13013180503</v>
      </c>
      <c r="M347" s="1457">
        <v>1</v>
      </c>
      <c r="N347" s="1457">
        <v>1</v>
      </c>
      <c r="O347" s="1457">
        <v>2</v>
      </c>
      <c r="P347" s="241" t="s">
        <v>223</v>
      </c>
      <c r="Q347" s="241"/>
      <c r="R347" s="147"/>
      <c r="S347" s="236"/>
      <c r="T347" s="392" t="s">
        <v>219</v>
      </c>
      <c r="U347" s="392" t="s">
        <v>621</v>
      </c>
      <c r="W347" s="44" t="s">
        <v>1013</v>
      </c>
      <c r="X347" s="44" t="s">
        <v>3021</v>
      </c>
      <c r="AA347"/>
      <c r="AB347"/>
      <c r="AC347" s="380"/>
      <c r="AD347" s="68"/>
    </row>
    <row r="348" spans="3:30" ht="10.5" customHeight="1">
      <c r="C348" s="1463" t="s">
        <v>4140</v>
      </c>
      <c r="D348" s="1460">
        <v>1</v>
      </c>
      <c r="E348" s="1460">
        <v>1</v>
      </c>
      <c r="F348" s="1461">
        <v>2</v>
      </c>
      <c r="G348" s="1472" t="s">
        <v>4140</v>
      </c>
      <c r="H348" s="1458">
        <v>1</v>
      </c>
      <c r="I348" s="1458">
        <v>1</v>
      </c>
      <c r="J348" s="1473">
        <v>2</v>
      </c>
      <c r="K348" s="1462"/>
      <c r="L348" s="1456">
        <v>13015960101</v>
      </c>
      <c r="M348" s="1457">
        <v>1</v>
      </c>
      <c r="N348" s="1457">
        <v>1</v>
      </c>
      <c r="O348" s="1457">
        <v>2</v>
      </c>
      <c r="P348" s="241" t="s">
        <v>225</v>
      </c>
      <c r="Q348" s="241"/>
      <c r="R348" s="147"/>
      <c r="S348" s="236"/>
      <c r="T348" s="392" t="s">
        <v>2373</v>
      </c>
      <c r="U348" s="392" t="s">
        <v>1863</v>
      </c>
      <c r="W348" s="44" t="s">
        <v>1575</v>
      </c>
      <c r="X348" s="44" t="s">
        <v>3021</v>
      </c>
      <c r="AA348"/>
      <c r="AB348"/>
      <c r="AC348" s="380"/>
      <c r="AD348" s="68"/>
    </row>
    <row r="349" spans="3:30" ht="10.5" customHeight="1">
      <c r="C349" s="1463" t="s">
        <v>4141</v>
      </c>
      <c r="D349" s="1460">
        <v>1</v>
      </c>
      <c r="E349" s="1460">
        <v>1</v>
      </c>
      <c r="F349" s="1461">
        <v>2</v>
      </c>
      <c r="G349" s="1472" t="s">
        <v>4141</v>
      </c>
      <c r="H349" s="1458">
        <v>1</v>
      </c>
      <c r="I349" s="1458">
        <v>1</v>
      </c>
      <c r="J349" s="1473">
        <v>2</v>
      </c>
      <c r="K349" s="1462"/>
      <c r="L349" s="1456">
        <v>13015960102</v>
      </c>
      <c r="M349" s="1457">
        <v>1</v>
      </c>
      <c r="N349" s="1457">
        <v>1</v>
      </c>
      <c r="O349" s="1457">
        <v>2</v>
      </c>
      <c r="P349" s="241" t="s">
        <v>731</v>
      </c>
      <c r="Q349" s="241"/>
      <c r="R349" s="147"/>
      <c r="S349" s="236"/>
      <c r="T349" s="392" t="s">
        <v>1558</v>
      </c>
      <c r="U349" s="392" t="s">
        <v>2289</v>
      </c>
      <c r="W349" s="44" t="s">
        <v>1576</v>
      </c>
      <c r="X349" s="44" t="s">
        <v>3021</v>
      </c>
      <c r="AA349"/>
      <c r="AB349"/>
      <c r="AC349" s="380"/>
      <c r="AD349" s="68"/>
    </row>
    <row r="350" spans="3:30" ht="10.5" customHeight="1">
      <c r="C350" s="1463" t="s">
        <v>4142</v>
      </c>
      <c r="D350" s="1460">
        <v>0</v>
      </c>
      <c r="E350" s="1460">
        <v>1</v>
      </c>
      <c r="F350" s="1461">
        <v>1</v>
      </c>
      <c r="G350" s="1472" t="s">
        <v>4142</v>
      </c>
      <c r="H350" s="1458">
        <v>1</v>
      </c>
      <c r="I350" s="1458">
        <v>0</v>
      </c>
      <c r="J350" s="1473">
        <v>1</v>
      </c>
      <c r="K350" s="1462"/>
      <c r="L350" s="1456">
        <v>13015960200</v>
      </c>
      <c r="M350" s="1457">
        <v>1</v>
      </c>
      <c r="N350" s="1457">
        <v>1</v>
      </c>
      <c r="O350" s="1457">
        <v>1</v>
      </c>
      <c r="P350" s="241" t="s">
        <v>732</v>
      </c>
      <c r="Q350" s="241"/>
      <c r="R350" s="147"/>
      <c r="S350" s="236"/>
      <c r="T350" s="392" t="s">
        <v>2106</v>
      </c>
      <c r="U350" s="392" t="s">
        <v>611</v>
      </c>
      <c r="W350" s="44" t="s">
        <v>1578</v>
      </c>
      <c r="X350" s="44" t="s">
        <v>3021</v>
      </c>
      <c r="AA350"/>
      <c r="AB350"/>
      <c r="AC350" s="380"/>
      <c r="AD350" s="68"/>
    </row>
    <row r="351" spans="3:30" ht="10.5" customHeight="1">
      <c r="C351" s="1463" t="s">
        <v>4143</v>
      </c>
      <c r="D351" s="1460">
        <v>1</v>
      </c>
      <c r="E351" s="1460">
        <v>1</v>
      </c>
      <c r="F351" s="1461">
        <v>2</v>
      </c>
      <c r="G351" s="1472" t="s">
        <v>4143</v>
      </c>
      <c r="H351" s="1458">
        <v>1</v>
      </c>
      <c r="I351" s="1458">
        <v>1</v>
      </c>
      <c r="J351" s="1473">
        <v>2</v>
      </c>
      <c r="K351" s="1462"/>
      <c r="L351" s="1456">
        <v>13015960300</v>
      </c>
      <c r="M351" s="1457">
        <v>1</v>
      </c>
      <c r="N351" s="1457">
        <v>1</v>
      </c>
      <c r="O351" s="1457">
        <v>2</v>
      </c>
      <c r="P351" s="241" t="s">
        <v>734</v>
      </c>
      <c r="Q351" s="241"/>
      <c r="R351" s="147"/>
      <c r="S351" s="236"/>
      <c r="T351" s="392" t="s">
        <v>2108</v>
      </c>
      <c r="U351" s="392" t="s">
        <v>1238</v>
      </c>
      <c r="W351" s="44" t="s">
        <v>1581</v>
      </c>
      <c r="X351" s="44" t="s">
        <v>3021</v>
      </c>
      <c r="AA351"/>
      <c r="AB351"/>
      <c r="AC351" s="380"/>
      <c r="AD351" s="68"/>
    </row>
    <row r="352" spans="3:30" ht="10.5" customHeight="1">
      <c r="C352" s="1463" t="s">
        <v>4144</v>
      </c>
      <c r="D352" s="1460">
        <v>1</v>
      </c>
      <c r="E352" s="1460">
        <v>1</v>
      </c>
      <c r="F352" s="1461">
        <v>2</v>
      </c>
      <c r="G352" s="1472" t="s">
        <v>4144</v>
      </c>
      <c r="H352" s="1458">
        <v>1</v>
      </c>
      <c r="I352" s="1458">
        <v>0</v>
      </c>
      <c r="J352" s="1473">
        <v>1</v>
      </c>
      <c r="K352" s="1462"/>
      <c r="L352" s="1456">
        <v>13015960401</v>
      </c>
      <c r="M352" s="1457">
        <v>1</v>
      </c>
      <c r="N352" s="1457">
        <v>1</v>
      </c>
      <c r="O352" s="1457">
        <v>2</v>
      </c>
      <c r="P352" s="241" t="s">
        <v>1452</v>
      </c>
      <c r="Q352" s="241"/>
      <c r="R352" s="147"/>
      <c r="S352" s="236"/>
      <c r="T352" s="392" t="s">
        <v>930</v>
      </c>
      <c r="U352" s="392" t="s">
        <v>1367</v>
      </c>
      <c r="W352" s="44" t="s">
        <v>1583</v>
      </c>
      <c r="X352" s="44" t="s">
        <v>3021</v>
      </c>
      <c r="AA352"/>
      <c r="AB352"/>
      <c r="AC352" s="380"/>
      <c r="AD352" s="68"/>
    </row>
    <row r="353" spans="3:30" ht="10.5" customHeight="1">
      <c r="C353" s="1463" t="s">
        <v>4145</v>
      </c>
      <c r="D353" s="1460">
        <v>0</v>
      </c>
      <c r="E353" s="1460">
        <v>1</v>
      </c>
      <c r="F353" s="1461">
        <v>1</v>
      </c>
      <c r="G353" s="1472" t="s">
        <v>4145</v>
      </c>
      <c r="H353" s="1458">
        <v>0</v>
      </c>
      <c r="I353" s="1458">
        <v>0</v>
      </c>
      <c r="J353" s="1473">
        <v>0</v>
      </c>
      <c r="K353" s="1462"/>
      <c r="L353" s="1456">
        <v>13015960402</v>
      </c>
      <c r="M353" s="1457">
        <v>0</v>
      </c>
      <c r="N353" s="1457">
        <v>1</v>
      </c>
      <c r="O353" s="1457">
        <v>1</v>
      </c>
      <c r="P353" s="241" t="s">
        <v>1147</v>
      </c>
      <c r="Q353" s="241"/>
      <c r="R353" s="147"/>
      <c r="S353" s="236"/>
      <c r="T353" s="392" t="s">
        <v>528</v>
      </c>
      <c r="U353" s="392" t="s">
        <v>1254</v>
      </c>
      <c r="W353" s="44" t="s">
        <v>1584</v>
      </c>
      <c r="X353" s="44" t="s">
        <v>3021</v>
      </c>
      <c r="AA353"/>
      <c r="AB353"/>
      <c r="AC353" s="380"/>
      <c r="AD353" s="68"/>
    </row>
    <row r="354" spans="3:30" ht="10.5" customHeight="1">
      <c r="C354" s="1463" t="s">
        <v>4146</v>
      </c>
      <c r="D354" s="1460">
        <v>0</v>
      </c>
      <c r="E354" s="1460">
        <v>0</v>
      </c>
      <c r="F354" s="1461">
        <v>0</v>
      </c>
      <c r="G354" s="1472" t="s">
        <v>4146</v>
      </c>
      <c r="H354" s="1458">
        <v>0</v>
      </c>
      <c r="I354" s="1458">
        <v>0</v>
      </c>
      <c r="J354" s="1473">
        <v>0</v>
      </c>
      <c r="K354" s="1462"/>
      <c r="L354" s="1456">
        <v>13015960500</v>
      </c>
      <c r="M354" s="1457">
        <v>0</v>
      </c>
      <c r="N354" s="1457">
        <v>0</v>
      </c>
      <c r="O354" s="1457">
        <v>0</v>
      </c>
      <c r="P354" s="241" t="s">
        <v>1149</v>
      </c>
      <c r="Q354" s="241"/>
      <c r="R354" s="147"/>
      <c r="S354" s="236"/>
      <c r="T354" s="392" t="s">
        <v>628</v>
      </c>
      <c r="U354" s="392" t="s">
        <v>298</v>
      </c>
      <c r="W354" s="44" t="s">
        <v>1586</v>
      </c>
      <c r="X354" s="44" t="s">
        <v>3021</v>
      </c>
      <c r="AA354"/>
      <c r="AB354"/>
      <c r="AC354" s="380"/>
      <c r="AD354" s="68"/>
    </row>
    <row r="355" spans="3:30" ht="10.5" customHeight="1">
      <c r="C355" s="1463" t="s">
        <v>4147</v>
      </c>
      <c r="D355" s="1460">
        <v>0</v>
      </c>
      <c r="E355" s="1460">
        <v>0</v>
      </c>
      <c r="F355" s="1461">
        <v>0</v>
      </c>
      <c r="G355" s="1472" t="s">
        <v>4147</v>
      </c>
      <c r="H355" s="1458">
        <v>1</v>
      </c>
      <c r="I355" s="1458">
        <v>0</v>
      </c>
      <c r="J355" s="1473">
        <v>0</v>
      </c>
      <c r="K355" s="1462"/>
      <c r="L355" s="1456">
        <v>13015960600</v>
      </c>
      <c r="M355" s="1457">
        <v>1</v>
      </c>
      <c r="N355" s="1457">
        <v>0</v>
      </c>
      <c r="O355" s="1457">
        <v>0</v>
      </c>
      <c r="P355" s="241" t="s">
        <v>840</v>
      </c>
      <c r="Q355" s="241"/>
      <c r="R355" s="147"/>
      <c r="S355" s="236"/>
      <c r="T355" s="392" t="s">
        <v>2203</v>
      </c>
      <c r="U355" s="392" t="s">
        <v>150</v>
      </c>
      <c r="W355" s="44" t="s">
        <v>1590</v>
      </c>
      <c r="X355" s="44" t="s">
        <v>3021</v>
      </c>
      <c r="AA355"/>
      <c r="AB355"/>
      <c r="AC355" s="380"/>
      <c r="AD355" s="68"/>
    </row>
    <row r="356" spans="3:30" ht="10.5" customHeight="1">
      <c r="C356" s="1463" t="s">
        <v>4148</v>
      </c>
      <c r="D356" s="1460">
        <v>0</v>
      </c>
      <c r="E356" s="1460">
        <v>0</v>
      </c>
      <c r="F356" s="1461">
        <v>0</v>
      </c>
      <c r="G356" s="1472" t="s">
        <v>4148</v>
      </c>
      <c r="H356" s="1458">
        <v>0</v>
      </c>
      <c r="I356" s="1458">
        <v>0</v>
      </c>
      <c r="J356" s="1473">
        <v>0</v>
      </c>
      <c r="K356" s="1462"/>
      <c r="L356" s="1456">
        <v>13015960700</v>
      </c>
      <c r="M356" s="1457">
        <v>0</v>
      </c>
      <c r="N356" s="1457">
        <v>0</v>
      </c>
      <c r="O356" s="1457">
        <v>0</v>
      </c>
      <c r="P356" s="241" t="s">
        <v>2266</v>
      </c>
      <c r="Q356" s="241"/>
      <c r="R356" s="147"/>
      <c r="S356" s="236"/>
      <c r="T356" s="392" t="s">
        <v>212</v>
      </c>
      <c r="U356" s="392" t="s">
        <v>2288</v>
      </c>
      <c r="W356" s="44" t="s">
        <v>1591</v>
      </c>
      <c r="X356" s="44" t="s">
        <v>3021</v>
      </c>
      <c r="AA356"/>
      <c r="AB356"/>
      <c r="AC356" s="380"/>
      <c r="AD356" s="68"/>
    </row>
    <row r="357" spans="3:30" ht="10.5" customHeight="1">
      <c r="C357" s="1463" t="s">
        <v>4149</v>
      </c>
      <c r="D357" s="1460">
        <v>0</v>
      </c>
      <c r="E357" s="1460">
        <v>0</v>
      </c>
      <c r="F357" s="1461">
        <v>0</v>
      </c>
      <c r="G357" s="1472" t="s">
        <v>4149</v>
      </c>
      <c r="H357" s="1458">
        <v>0</v>
      </c>
      <c r="I357" s="1458">
        <v>0</v>
      </c>
      <c r="J357" s="1473">
        <v>0</v>
      </c>
      <c r="K357" s="1462"/>
      <c r="L357" s="1456">
        <v>13015960801</v>
      </c>
      <c r="M357" s="1457">
        <v>0</v>
      </c>
      <c r="N357" s="1457">
        <v>0</v>
      </c>
      <c r="O357" s="1457">
        <v>0</v>
      </c>
      <c r="P357" s="241" t="s">
        <v>3225</v>
      </c>
      <c r="Q357" s="241"/>
      <c r="R357" s="147"/>
      <c r="S357" s="236"/>
      <c r="T357" s="392" t="s">
        <v>613</v>
      </c>
      <c r="U357" s="392" t="s">
        <v>1529</v>
      </c>
      <c r="W357" s="44" t="s">
        <v>1592</v>
      </c>
      <c r="X357" s="44" t="s">
        <v>3021</v>
      </c>
      <c r="AA357"/>
      <c r="AB357"/>
      <c r="AC357" s="380"/>
      <c r="AD357" s="68"/>
    </row>
    <row r="358" spans="3:30" ht="10.5" customHeight="1">
      <c r="C358" s="1463" t="s">
        <v>4150</v>
      </c>
      <c r="D358" s="1460">
        <v>0</v>
      </c>
      <c r="E358" s="1460">
        <v>0</v>
      </c>
      <c r="F358" s="1461">
        <v>0</v>
      </c>
      <c r="G358" s="1472" t="s">
        <v>4150</v>
      </c>
      <c r="H358" s="1458">
        <v>0</v>
      </c>
      <c r="I358" s="1458">
        <v>0</v>
      </c>
      <c r="J358" s="1473">
        <v>0</v>
      </c>
      <c r="K358" s="1462"/>
      <c r="L358" s="1456">
        <v>13015960802</v>
      </c>
      <c r="M358" s="1457">
        <v>0</v>
      </c>
      <c r="N358" s="1457">
        <v>0</v>
      </c>
      <c r="O358" s="1457">
        <v>0</v>
      </c>
      <c r="P358" s="241" t="s">
        <v>843</v>
      </c>
      <c r="Q358" s="241"/>
      <c r="R358" s="147"/>
      <c r="S358" s="236"/>
      <c r="T358" s="392" t="s">
        <v>2182</v>
      </c>
      <c r="U358" s="392" t="s">
        <v>2286</v>
      </c>
      <c r="W358" s="44" t="s">
        <v>100</v>
      </c>
      <c r="X358" s="44" t="s">
        <v>3021</v>
      </c>
      <c r="AA358"/>
      <c r="AB358"/>
      <c r="AC358" s="380"/>
      <c r="AD358" s="68"/>
    </row>
    <row r="359" spans="3:30" ht="10.5" customHeight="1">
      <c r="C359" s="1463" t="s">
        <v>4151</v>
      </c>
      <c r="D359" s="1460">
        <v>0</v>
      </c>
      <c r="E359" s="1460">
        <v>0</v>
      </c>
      <c r="F359" s="1461">
        <v>0</v>
      </c>
      <c r="G359" s="1472" t="s">
        <v>4151</v>
      </c>
      <c r="H359" s="1458">
        <v>0</v>
      </c>
      <c r="I359" s="1458">
        <v>0</v>
      </c>
      <c r="J359" s="1473">
        <v>0</v>
      </c>
      <c r="K359" s="1462"/>
      <c r="L359" s="1456">
        <v>13015960803</v>
      </c>
      <c r="M359" s="1457">
        <v>0</v>
      </c>
      <c r="N359" s="1457">
        <v>0</v>
      </c>
      <c r="O359" s="1457">
        <v>0</v>
      </c>
      <c r="P359" s="241" t="s">
        <v>845</v>
      </c>
      <c r="Q359" s="241"/>
      <c r="R359" s="147"/>
      <c r="S359" s="236"/>
      <c r="T359" s="392" t="s">
        <v>222</v>
      </c>
      <c r="U359" s="392" t="s">
        <v>1424</v>
      </c>
      <c r="W359" s="44" t="s">
        <v>284</v>
      </c>
      <c r="X359" s="44" t="s">
        <v>3021</v>
      </c>
      <c r="AA359"/>
      <c r="AB359"/>
      <c r="AC359" s="380"/>
      <c r="AD359" s="68"/>
    </row>
    <row r="360" spans="3:30" ht="10.5" customHeight="1">
      <c r="C360" s="1463" t="s">
        <v>4152</v>
      </c>
      <c r="D360" s="1460">
        <v>0</v>
      </c>
      <c r="E360" s="1460">
        <v>1</v>
      </c>
      <c r="F360" s="1461">
        <v>1</v>
      </c>
      <c r="G360" s="1472" t="s">
        <v>4152</v>
      </c>
      <c r="H360" s="1458">
        <v>1</v>
      </c>
      <c r="I360" s="1458" t="s">
        <v>3911</v>
      </c>
      <c r="J360" s="1473">
        <v>1</v>
      </c>
      <c r="K360" s="1462"/>
      <c r="L360" s="1456">
        <v>13015960901</v>
      </c>
      <c r="M360" s="1457">
        <v>1</v>
      </c>
      <c r="N360" s="1457">
        <v>1</v>
      </c>
      <c r="O360" s="1457">
        <v>1</v>
      </c>
      <c r="P360" s="241" t="s">
        <v>847</v>
      </c>
      <c r="Q360" s="241"/>
      <c r="R360" s="147"/>
      <c r="S360" s="236"/>
      <c r="T360" s="392" t="s">
        <v>981</v>
      </c>
      <c r="U360" s="392" t="s">
        <v>1367</v>
      </c>
      <c r="W360" s="44" t="s">
        <v>285</v>
      </c>
      <c r="X360" s="44" t="s">
        <v>3021</v>
      </c>
      <c r="AA360"/>
      <c r="AB360"/>
      <c r="AC360" s="380"/>
      <c r="AD360" s="68"/>
    </row>
    <row r="361" spans="3:30" ht="10.5" customHeight="1">
      <c r="C361" s="1463" t="s">
        <v>4153</v>
      </c>
      <c r="D361" s="1460">
        <v>1</v>
      </c>
      <c r="E361" s="1460">
        <v>1</v>
      </c>
      <c r="F361" s="1461">
        <v>2</v>
      </c>
      <c r="G361" s="1472" t="s">
        <v>4153</v>
      </c>
      <c r="H361" s="1458">
        <v>0</v>
      </c>
      <c r="I361" s="1458">
        <v>1</v>
      </c>
      <c r="J361" s="1473">
        <v>1</v>
      </c>
      <c r="K361" s="1462"/>
      <c r="L361" s="1456">
        <v>13015960902</v>
      </c>
      <c r="M361" s="1457">
        <v>1</v>
      </c>
      <c r="N361" s="1457">
        <v>1</v>
      </c>
      <c r="O361" s="1457">
        <v>2</v>
      </c>
      <c r="P361" s="241" t="s">
        <v>849</v>
      </c>
      <c r="Q361" s="241"/>
      <c r="R361" s="147"/>
      <c r="S361" s="236"/>
      <c r="T361" s="392" t="s">
        <v>224</v>
      </c>
      <c r="U361" s="392" t="s">
        <v>1027</v>
      </c>
      <c r="W361" s="44" t="s">
        <v>286</v>
      </c>
      <c r="X361" s="44" t="s">
        <v>3021</v>
      </c>
      <c r="AA361"/>
      <c r="AB361"/>
      <c r="AC361" s="380"/>
      <c r="AD361" s="68"/>
    </row>
    <row r="362" spans="3:30" ht="10.5" customHeight="1">
      <c r="C362" s="1463" t="s">
        <v>4154</v>
      </c>
      <c r="D362" s="1460">
        <v>1</v>
      </c>
      <c r="E362" s="1460">
        <v>1</v>
      </c>
      <c r="F362" s="1461">
        <v>2</v>
      </c>
      <c r="G362" s="1472" t="s">
        <v>4154</v>
      </c>
      <c r="H362" s="1458">
        <v>1</v>
      </c>
      <c r="I362" s="1458">
        <v>0</v>
      </c>
      <c r="J362" s="1473">
        <v>1</v>
      </c>
      <c r="K362" s="1462"/>
      <c r="L362" s="1456">
        <v>13015961000</v>
      </c>
      <c r="M362" s="1457">
        <v>1</v>
      </c>
      <c r="N362" s="1457">
        <v>1</v>
      </c>
      <c r="O362" s="1457">
        <v>2</v>
      </c>
      <c r="P362" s="241" t="s">
        <v>851</v>
      </c>
      <c r="Q362" s="241"/>
      <c r="R362" s="147"/>
      <c r="S362" s="236"/>
      <c r="T362" s="392" t="s">
        <v>614</v>
      </c>
      <c r="U362" s="392" t="s">
        <v>305</v>
      </c>
      <c r="W362" s="44" t="s">
        <v>1441</v>
      </c>
      <c r="X362" s="44" t="s">
        <v>3021</v>
      </c>
      <c r="AA362"/>
      <c r="AB362"/>
      <c r="AC362" s="380"/>
      <c r="AD362" s="68"/>
    </row>
    <row r="363" spans="3:30" ht="10.5" customHeight="1">
      <c r="C363" s="1463" t="s">
        <v>4155</v>
      </c>
      <c r="D363" s="1460">
        <v>0</v>
      </c>
      <c r="E363" s="1460">
        <v>0</v>
      </c>
      <c r="F363" s="1461">
        <v>0</v>
      </c>
      <c r="G363" s="1472" t="s">
        <v>4155</v>
      </c>
      <c r="H363" s="1458">
        <v>0</v>
      </c>
      <c r="I363" s="1458">
        <v>0</v>
      </c>
      <c r="J363" s="1473">
        <v>0</v>
      </c>
      <c r="K363" s="1462"/>
      <c r="L363" s="1456">
        <v>13017960100</v>
      </c>
      <c r="M363" s="1457">
        <v>0</v>
      </c>
      <c r="N363" s="1457">
        <v>0</v>
      </c>
      <c r="O363" s="1457">
        <v>0</v>
      </c>
      <c r="P363" s="241" t="s">
        <v>633</v>
      </c>
      <c r="Q363" s="241"/>
      <c r="R363" s="147"/>
      <c r="S363" s="236"/>
      <c r="T363" s="392" t="s">
        <v>733</v>
      </c>
      <c r="U363" s="392" t="s">
        <v>614</v>
      </c>
      <c r="W363" s="44" t="s">
        <v>1442</v>
      </c>
      <c r="X363" s="44" t="s">
        <v>3021</v>
      </c>
      <c r="AA363"/>
      <c r="AB363"/>
      <c r="AC363" s="380"/>
      <c r="AD363" s="68"/>
    </row>
    <row r="364" spans="3:30" ht="10.5" customHeight="1">
      <c r="C364" s="1463" t="s">
        <v>4156</v>
      </c>
      <c r="D364" s="1460">
        <v>0</v>
      </c>
      <c r="E364" s="1460">
        <v>0</v>
      </c>
      <c r="F364" s="1461">
        <v>0</v>
      </c>
      <c r="G364" s="1472" t="s">
        <v>4156</v>
      </c>
      <c r="H364" s="1458">
        <v>0</v>
      </c>
      <c r="I364" s="1458">
        <v>0</v>
      </c>
      <c r="J364" s="1473">
        <v>0</v>
      </c>
      <c r="K364" s="1462"/>
      <c r="L364" s="1456">
        <v>13017960200</v>
      </c>
      <c r="M364" s="1457">
        <v>0</v>
      </c>
      <c r="N364" s="1457">
        <v>0</v>
      </c>
      <c r="O364" s="1457">
        <v>0</v>
      </c>
      <c r="P364" s="241" t="s">
        <v>49</v>
      </c>
      <c r="Q364" s="241"/>
      <c r="R364" s="147"/>
      <c r="S364" s="236"/>
      <c r="T364" s="392" t="s">
        <v>1146</v>
      </c>
      <c r="U364" s="392" t="s">
        <v>2294</v>
      </c>
      <c r="W364" s="44" t="s">
        <v>1443</v>
      </c>
      <c r="X364" s="44" t="s">
        <v>3021</v>
      </c>
      <c r="AA364"/>
      <c r="AB364"/>
      <c r="AC364" s="380"/>
      <c r="AD364" s="68"/>
    </row>
    <row r="365" spans="3:30" ht="10.5" customHeight="1">
      <c r="C365" s="1463" t="s">
        <v>4157</v>
      </c>
      <c r="D365" s="1460">
        <v>0</v>
      </c>
      <c r="E365" s="1460">
        <v>0</v>
      </c>
      <c r="F365" s="1461">
        <v>0</v>
      </c>
      <c r="G365" s="1472" t="s">
        <v>4157</v>
      </c>
      <c r="H365" s="1458">
        <v>0</v>
      </c>
      <c r="I365" s="1458">
        <v>0</v>
      </c>
      <c r="J365" s="1473">
        <v>0</v>
      </c>
      <c r="K365" s="1462"/>
      <c r="L365" s="1456">
        <v>13017960300</v>
      </c>
      <c r="M365" s="1457">
        <v>0</v>
      </c>
      <c r="N365" s="1457">
        <v>0</v>
      </c>
      <c r="O365" s="1457">
        <v>0</v>
      </c>
      <c r="P365" s="241" t="s">
        <v>901</v>
      </c>
      <c r="Q365" s="241"/>
      <c r="R365" s="147"/>
      <c r="S365" s="236"/>
      <c r="T365" s="392" t="s">
        <v>1148</v>
      </c>
      <c r="U365" s="392" t="s">
        <v>298</v>
      </c>
      <c r="W365" s="44" t="s">
        <v>1448</v>
      </c>
      <c r="X365" s="44" t="s">
        <v>3021</v>
      </c>
      <c r="AA365"/>
      <c r="AB365"/>
      <c r="AC365" s="380"/>
      <c r="AD365" s="68"/>
    </row>
    <row r="366" spans="3:30" ht="10.5" customHeight="1">
      <c r="C366" s="1463" t="s">
        <v>4158</v>
      </c>
      <c r="D366" s="1460">
        <v>0</v>
      </c>
      <c r="E366" s="1460">
        <v>0</v>
      </c>
      <c r="F366" s="1461">
        <v>0</v>
      </c>
      <c r="G366" s="1472" t="s">
        <v>4158</v>
      </c>
      <c r="H366" s="1458">
        <v>0</v>
      </c>
      <c r="I366" s="1458">
        <v>0</v>
      </c>
      <c r="J366" s="1473">
        <v>0</v>
      </c>
      <c r="K366" s="1462"/>
      <c r="L366" s="1456">
        <v>13017960400</v>
      </c>
      <c r="M366" s="1457">
        <v>0</v>
      </c>
      <c r="N366" s="1457">
        <v>0</v>
      </c>
      <c r="O366" s="1457">
        <v>0</v>
      </c>
      <c r="P366" s="241" t="s">
        <v>1619</v>
      </c>
      <c r="Q366" s="241"/>
      <c r="R366" s="147"/>
      <c r="S366" s="236"/>
      <c r="T366" s="392" t="s">
        <v>1150</v>
      </c>
      <c r="U366" s="392" t="s">
        <v>152</v>
      </c>
      <c r="W366" s="44" t="s">
        <v>2199</v>
      </c>
      <c r="X366" s="44" t="s">
        <v>3021</v>
      </c>
      <c r="AA366"/>
      <c r="AB366"/>
      <c r="AC366" s="380"/>
      <c r="AD366" s="68"/>
    </row>
    <row r="367" spans="3:30" ht="10.5" customHeight="1">
      <c r="C367" s="1463" t="s">
        <v>4159</v>
      </c>
      <c r="D367" s="1460">
        <v>0</v>
      </c>
      <c r="E367" s="1460">
        <v>0</v>
      </c>
      <c r="F367" s="1461">
        <v>0</v>
      </c>
      <c r="G367" s="1472" t="s">
        <v>4159</v>
      </c>
      <c r="H367" s="1458">
        <v>0</v>
      </c>
      <c r="I367" s="1458">
        <v>1</v>
      </c>
      <c r="J367" s="1473">
        <v>1</v>
      </c>
      <c r="K367" s="1462"/>
      <c r="L367" s="1456">
        <v>13017960500</v>
      </c>
      <c r="M367" s="1457">
        <v>0</v>
      </c>
      <c r="N367" s="1457">
        <v>1</v>
      </c>
      <c r="O367" s="1457">
        <v>1</v>
      </c>
      <c r="P367" s="241" t="s">
        <v>935</v>
      </c>
      <c r="Q367" s="241"/>
      <c r="R367" s="147"/>
      <c r="S367" s="236"/>
      <c r="T367" s="392" t="s">
        <v>841</v>
      </c>
      <c r="U367" s="392" t="s">
        <v>2074</v>
      </c>
      <c r="W367" s="44" t="s">
        <v>777</v>
      </c>
      <c r="X367" s="44" t="s">
        <v>3021</v>
      </c>
      <c r="AA367"/>
      <c r="AB367"/>
      <c r="AC367" s="380"/>
      <c r="AD367" s="68"/>
    </row>
    <row r="368" spans="3:30" ht="10.5" customHeight="1">
      <c r="C368" s="1463" t="s">
        <v>4160</v>
      </c>
      <c r="D368" s="1460">
        <v>0</v>
      </c>
      <c r="E368" s="1460">
        <v>0</v>
      </c>
      <c r="F368" s="1461">
        <v>0</v>
      </c>
      <c r="G368" s="1472" t="s">
        <v>4160</v>
      </c>
      <c r="H368" s="1458">
        <v>0</v>
      </c>
      <c r="I368" s="1458" t="s">
        <v>3911</v>
      </c>
      <c r="J368" s="1473">
        <v>0</v>
      </c>
      <c r="K368" s="1462"/>
      <c r="L368" s="1456">
        <v>13019970100</v>
      </c>
      <c r="M368" s="1457">
        <v>0</v>
      </c>
      <c r="N368" s="1457">
        <v>0</v>
      </c>
      <c r="O368" s="1457">
        <v>0</v>
      </c>
      <c r="P368" s="241" t="s">
        <v>936</v>
      </c>
      <c r="Q368" s="241"/>
      <c r="R368" s="147"/>
      <c r="S368" s="236"/>
      <c r="T368" s="392" t="s">
        <v>2267</v>
      </c>
      <c r="U368" s="392" t="s">
        <v>1740</v>
      </c>
      <c r="W368" s="44" t="s">
        <v>779</v>
      </c>
      <c r="X368" s="44" t="s">
        <v>3021</v>
      </c>
      <c r="AA368"/>
      <c r="AB368"/>
      <c r="AC368" s="380"/>
      <c r="AD368" s="68"/>
    </row>
    <row r="369" spans="3:30" ht="10.5" customHeight="1">
      <c r="C369" s="1463" t="s">
        <v>4161</v>
      </c>
      <c r="D369" s="1460">
        <v>0</v>
      </c>
      <c r="E369" s="1460">
        <v>0</v>
      </c>
      <c r="F369" s="1461">
        <v>0</v>
      </c>
      <c r="G369" s="1472" t="s">
        <v>4161</v>
      </c>
      <c r="H369" s="1458">
        <v>0</v>
      </c>
      <c r="I369" s="1458">
        <v>0</v>
      </c>
      <c r="J369" s="1473">
        <v>0</v>
      </c>
      <c r="K369" s="1462"/>
      <c r="L369" s="1456">
        <v>13019970200</v>
      </c>
      <c r="M369" s="1457">
        <v>0</v>
      </c>
      <c r="N369" s="1457">
        <v>0</v>
      </c>
      <c r="O369" s="1457">
        <v>0</v>
      </c>
      <c r="P369" s="241" t="s">
        <v>938</v>
      </c>
      <c r="Q369" s="241"/>
      <c r="R369" s="147"/>
      <c r="S369" s="236"/>
      <c r="T369" s="236" t="s">
        <v>844</v>
      </c>
      <c r="U369" s="236" t="s">
        <v>2023</v>
      </c>
      <c r="AA369"/>
      <c r="AB369"/>
      <c r="AC369" s="68"/>
      <c r="AD369" s="68"/>
    </row>
    <row r="370" spans="3:30" ht="10.5" customHeight="1">
      <c r="C370" s="1463" t="s">
        <v>4162</v>
      </c>
      <c r="D370" s="1460">
        <v>0</v>
      </c>
      <c r="E370" s="1460">
        <v>0</v>
      </c>
      <c r="F370" s="1461">
        <v>0</v>
      </c>
      <c r="G370" s="1472" t="s">
        <v>4162</v>
      </c>
      <c r="H370" s="1458">
        <v>0</v>
      </c>
      <c r="I370" s="1458">
        <v>0</v>
      </c>
      <c r="J370" s="1473">
        <v>0</v>
      </c>
      <c r="K370" s="1462"/>
      <c r="L370" s="1456">
        <v>13019970300</v>
      </c>
      <c r="M370" s="1457">
        <v>0</v>
      </c>
      <c r="N370" s="1457">
        <v>0</v>
      </c>
      <c r="O370" s="1457">
        <v>0</v>
      </c>
      <c r="P370" s="241" t="s">
        <v>917</v>
      </c>
      <c r="Q370" s="241"/>
      <c r="R370" s="147"/>
      <c r="S370" s="236"/>
      <c r="T370" s="392" t="s">
        <v>846</v>
      </c>
      <c r="U370" s="392" t="s">
        <v>1039</v>
      </c>
      <c r="AA370"/>
      <c r="AB370"/>
      <c r="AC370" s="380"/>
      <c r="AD370" s="68"/>
    </row>
    <row r="371" spans="3:30" ht="10.5" customHeight="1">
      <c r="C371" s="1463" t="s">
        <v>4163</v>
      </c>
      <c r="D371" s="1460">
        <v>0</v>
      </c>
      <c r="E371" s="1460">
        <v>0</v>
      </c>
      <c r="F371" s="1461">
        <v>0</v>
      </c>
      <c r="G371" s="1472" t="s">
        <v>4163</v>
      </c>
      <c r="H371" s="1458">
        <v>0</v>
      </c>
      <c r="I371" s="1458">
        <v>0</v>
      </c>
      <c r="J371" s="1473">
        <v>0</v>
      </c>
      <c r="K371" s="1462"/>
      <c r="L371" s="1456">
        <v>13019970400</v>
      </c>
      <c r="M371" s="1457">
        <v>0</v>
      </c>
      <c r="N371" s="1457">
        <v>0</v>
      </c>
      <c r="O371" s="1457">
        <v>0</v>
      </c>
      <c r="P371" s="241" t="s">
        <v>919</v>
      </c>
      <c r="Q371" s="241"/>
      <c r="R371" s="147"/>
      <c r="S371" s="236"/>
      <c r="T371" s="392" t="s">
        <v>848</v>
      </c>
      <c r="U371" s="392" t="s">
        <v>618</v>
      </c>
      <c r="AA371"/>
      <c r="AB371"/>
      <c r="AC371" s="380"/>
      <c r="AD371" s="68"/>
    </row>
    <row r="372" spans="3:30" ht="10.5" customHeight="1">
      <c r="C372" s="1463" t="s">
        <v>4164</v>
      </c>
      <c r="D372" s="1460">
        <v>0</v>
      </c>
      <c r="E372" s="1460">
        <v>0</v>
      </c>
      <c r="F372" s="1461">
        <v>0</v>
      </c>
      <c r="G372" s="1472" t="s">
        <v>4164</v>
      </c>
      <c r="H372" s="1458">
        <v>0</v>
      </c>
      <c r="I372" s="1458">
        <v>1</v>
      </c>
      <c r="J372" s="1473">
        <v>1</v>
      </c>
      <c r="K372" s="1462"/>
      <c r="L372" s="1456">
        <v>13019970500</v>
      </c>
      <c r="M372" s="1457">
        <v>0</v>
      </c>
      <c r="N372" s="1457">
        <v>1</v>
      </c>
      <c r="O372" s="1457">
        <v>1</v>
      </c>
      <c r="P372" s="241" t="s">
        <v>921</v>
      </c>
      <c r="Q372" s="241"/>
      <c r="R372" s="147"/>
      <c r="S372" s="236"/>
      <c r="T372" s="392" t="s">
        <v>850</v>
      </c>
      <c r="U372" s="392" t="s">
        <v>298</v>
      </c>
      <c r="AA372"/>
      <c r="AB372"/>
      <c r="AC372" s="380"/>
      <c r="AD372" s="68"/>
    </row>
    <row r="373" spans="3:30" ht="10.5" customHeight="1">
      <c r="C373" s="1463" t="s">
        <v>4165</v>
      </c>
      <c r="D373" s="1460">
        <v>0</v>
      </c>
      <c r="E373" s="1460">
        <v>0</v>
      </c>
      <c r="F373" s="1461">
        <v>0</v>
      </c>
      <c r="G373" s="1472" t="s">
        <v>4165</v>
      </c>
      <c r="H373" s="1458">
        <v>0</v>
      </c>
      <c r="I373" s="1458">
        <v>0</v>
      </c>
      <c r="J373" s="1473">
        <v>0</v>
      </c>
      <c r="K373" s="1462"/>
      <c r="L373" s="1456">
        <v>13019970600</v>
      </c>
      <c r="M373" s="1457">
        <v>0</v>
      </c>
      <c r="N373" s="1457">
        <v>0</v>
      </c>
      <c r="O373" s="1457">
        <v>0</v>
      </c>
      <c r="P373" s="241" t="s">
        <v>923</v>
      </c>
      <c r="Q373" s="241"/>
      <c r="R373" s="147"/>
      <c r="S373" s="236"/>
      <c r="T373" s="236" t="s">
        <v>852</v>
      </c>
      <c r="U373" s="236" t="s">
        <v>1252</v>
      </c>
      <c r="AA373"/>
      <c r="AB373"/>
      <c r="AC373" s="68"/>
      <c r="AD373" s="68"/>
    </row>
    <row r="374" spans="3:30" ht="10.5" customHeight="1">
      <c r="C374" s="1463" t="s">
        <v>4166</v>
      </c>
      <c r="D374" s="1460">
        <v>0</v>
      </c>
      <c r="E374" s="1460">
        <v>0</v>
      </c>
      <c r="F374" s="1461">
        <v>0</v>
      </c>
      <c r="G374" s="1472" t="s">
        <v>4166</v>
      </c>
      <c r="H374" s="1458">
        <v>0</v>
      </c>
      <c r="I374" s="1458">
        <v>0</v>
      </c>
      <c r="J374" s="1473">
        <v>0</v>
      </c>
      <c r="K374" s="1462"/>
      <c r="L374" s="1456">
        <v>13021010100</v>
      </c>
      <c r="M374" s="1457">
        <v>0</v>
      </c>
      <c r="N374" s="1457">
        <v>0</v>
      </c>
      <c r="O374" s="1457">
        <v>0</v>
      </c>
      <c r="P374" s="241" t="s">
        <v>531</v>
      </c>
      <c r="Q374" s="241"/>
      <c r="R374" s="147"/>
      <c r="S374" s="236"/>
      <c r="T374" s="392" t="s">
        <v>634</v>
      </c>
      <c r="U374" s="392" t="s">
        <v>2027</v>
      </c>
      <c r="AA374"/>
      <c r="AB374"/>
      <c r="AC374" s="380"/>
      <c r="AD374" s="68"/>
    </row>
    <row r="375" spans="3:30" ht="10.5" customHeight="1">
      <c r="C375" s="1463" t="s">
        <v>4167</v>
      </c>
      <c r="D375" s="1460">
        <v>0</v>
      </c>
      <c r="E375" s="1460">
        <v>0</v>
      </c>
      <c r="F375" s="1461">
        <v>0</v>
      </c>
      <c r="G375" s="1472" t="s">
        <v>4167</v>
      </c>
      <c r="H375" s="1458">
        <v>0</v>
      </c>
      <c r="I375" s="1458">
        <v>1</v>
      </c>
      <c r="J375" s="1473">
        <v>1</v>
      </c>
      <c r="K375" s="1462"/>
      <c r="L375" s="1456">
        <v>13021010200</v>
      </c>
      <c r="M375" s="1457">
        <v>0</v>
      </c>
      <c r="N375" s="1457">
        <v>1</v>
      </c>
      <c r="O375" s="1457">
        <v>1</v>
      </c>
      <c r="P375" s="241" t="s">
        <v>351</v>
      </c>
      <c r="Q375" s="241"/>
      <c r="R375" s="147"/>
      <c r="S375" s="236"/>
      <c r="T375" s="392" t="s">
        <v>50</v>
      </c>
      <c r="U375" s="392" t="s">
        <v>106</v>
      </c>
      <c r="AA375"/>
      <c r="AB375"/>
      <c r="AC375" s="380"/>
      <c r="AD375" s="68"/>
    </row>
    <row r="376" spans="3:30" ht="10.5" customHeight="1">
      <c r="C376" s="1463" t="s">
        <v>4168</v>
      </c>
      <c r="D376" s="1460">
        <v>0</v>
      </c>
      <c r="E376" s="1460">
        <v>0</v>
      </c>
      <c r="F376" s="1461">
        <v>0</v>
      </c>
      <c r="G376" s="1472" t="s">
        <v>4168</v>
      </c>
      <c r="H376" s="1458">
        <v>0</v>
      </c>
      <c r="I376" s="1458" t="s">
        <v>3911</v>
      </c>
      <c r="J376" s="1473">
        <v>0</v>
      </c>
      <c r="K376" s="1462"/>
      <c r="L376" s="1456">
        <v>13021010300</v>
      </c>
      <c r="M376" s="1457">
        <v>0</v>
      </c>
      <c r="N376" s="1457">
        <v>0</v>
      </c>
      <c r="O376" s="1457">
        <v>0</v>
      </c>
      <c r="P376" s="241" t="s">
        <v>353</v>
      </c>
      <c r="Q376" s="241"/>
      <c r="R376" s="147"/>
      <c r="S376" s="236"/>
      <c r="T376" s="392" t="s">
        <v>902</v>
      </c>
      <c r="U376" s="392" t="s">
        <v>1864</v>
      </c>
      <c r="AA376"/>
      <c r="AB376"/>
      <c r="AC376" s="380"/>
      <c r="AD376" s="68"/>
    </row>
    <row r="377" spans="3:30" ht="10.5" customHeight="1">
      <c r="C377" s="1463" t="s">
        <v>4169</v>
      </c>
      <c r="D377" s="1460">
        <v>0</v>
      </c>
      <c r="E377" s="1460">
        <v>0</v>
      </c>
      <c r="F377" s="1461">
        <v>0</v>
      </c>
      <c r="G377" s="1472" t="s">
        <v>4169</v>
      </c>
      <c r="H377" s="1458">
        <v>0</v>
      </c>
      <c r="I377" s="1458">
        <v>0</v>
      </c>
      <c r="J377" s="1473">
        <v>0</v>
      </c>
      <c r="K377" s="1462"/>
      <c r="L377" s="1456">
        <v>13021010400</v>
      </c>
      <c r="M377" s="1457">
        <v>0</v>
      </c>
      <c r="N377" s="1457">
        <v>0</v>
      </c>
      <c r="O377" s="1457">
        <v>0</v>
      </c>
      <c r="P377" s="241" t="s">
        <v>355</v>
      </c>
      <c r="Q377" s="241"/>
      <c r="R377" s="147"/>
      <c r="S377" s="236"/>
      <c r="T377" s="392" t="s">
        <v>621</v>
      </c>
      <c r="U377" s="392" t="s">
        <v>2211</v>
      </c>
      <c r="AA377"/>
      <c r="AB377"/>
      <c r="AC377" s="380"/>
      <c r="AD377" s="68"/>
    </row>
    <row r="378" spans="3:30" ht="10.5" customHeight="1">
      <c r="C378" s="1463" t="s">
        <v>4170</v>
      </c>
      <c r="D378" s="1460">
        <v>0</v>
      </c>
      <c r="E378" s="1460">
        <v>0</v>
      </c>
      <c r="F378" s="1461">
        <v>0</v>
      </c>
      <c r="G378" s="1472" t="s">
        <v>4170</v>
      </c>
      <c r="H378" s="1458">
        <v>0</v>
      </c>
      <c r="I378" s="1458">
        <v>0</v>
      </c>
      <c r="J378" s="1473">
        <v>0</v>
      </c>
      <c r="K378" s="1462"/>
      <c r="L378" s="1456">
        <v>13021010500</v>
      </c>
      <c r="M378" s="1457">
        <v>0</v>
      </c>
      <c r="N378" s="1457">
        <v>0</v>
      </c>
      <c r="O378" s="1457">
        <v>0</v>
      </c>
      <c r="P378" s="241" t="s">
        <v>554</v>
      </c>
      <c r="Q378" s="241"/>
      <c r="R378" s="147"/>
      <c r="S378" s="236"/>
      <c r="T378" s="392" t="s">
        <v>937</v>
      </c>
      <c r="U378" s="392" t="s">
        <v>1137</v>
      </c>
      <c r="AA378"/>
      <c r="AB378"/>
      <c r="AC378" s="380"/>
      <c r="AD378" s="68"/>
    </row>
    <row r="379" spans="3:30" ht="10.5" customHeight="1">
      <c r="C379" s="1463" t="s">
        <v>4171</v>
      </c>
      <c r="D379" s="1460">
        <v>1</v>
      </c>
      <c r="E379" s="1460">
        <v>1</v>
      </c>
      <c r="F379" s="1461">
        <v>2</v>
      </c>
      <c r="G379" s="1472" t="s">
        <v>4171</v>
      </c>
      <c r="H379" s="1458">
        <v>0</v>
      </c>
      <c r="I379" s="1458" t="s">
        <v>3911</v>
      </c>
      <c r="J379" s="1473">
        <v>0</v>
      </c>
      <c r="K379" s="1462"/>
      <c r="L379" s="1456">
        <v>13021010800</v>
      </c>
      <c r="M379" s="1457">
        <v>1</v>
      </c>
      <c r="N379" s="1457">
        <v>1</v>
      </c>
      <c r="O379" s="1457">
        <v>2</v>
      </c>
      <c r="P379" s="241" t="s">
        <v>1335</v>
      </c>
      <c r="Q379" s="241"/>
      <c r="R379" s="147"/>
      <c r="S379" s="236"/>
      <c r="T379" s="236" t="s">
        <v>939</v>
      </c>
      <c r="U379" s="236" t="s">
        <v>2330</v>
      </c>
      <c r="AA379"/>
      <c r="AB379"/>
      <c r="AC379" s="68"/>
      <c r="AD379" s="68"/>
    </row>
    <row r="380" spans="3:30" ht="10.5" customHeight="1">
      <c r="C380" s="1463" t="s">
        <v>4172</v>
      </c>
      <c r="D380" s="1460">
        <v>0</v>
      </c>
      <c r="E380" s="1460">
        <v>0</v>
      </c>
      <c r="F380" s="1461">
        <v>0</v>
      </c>
      <c r="G380" s="1472" t="s">
        <v>4172</v>
      </c>
      <c r="H380" s="1458">
        <v>0</v>
      </c>
      <c r="I380" s="1458">
        <v>0</v>
      </c>
      <c r="J380" s="1473">
        <v>0</v>
      </c>
      <c r="K380" s="1462"/>
      <c r="L380" s="1456">
        <v>13021011000</v>
      </c>
      <c r="M380" s="1457">
        <v>0</v>
      </c>
      <c r="N380" s="1457">
        <v>0</v>
      </c>
      <c r="O380" s="1457">
        <v>0</v>
      </c>
      <c r="P380" s="241" t="s">
        <v>1490</v>
      </c>
      <c r="Q380" s="241"/>
      <c r="R380" s="147"/>
      <c r="S380" s="236"/>
      <c r="T380" s="392" t="s">
        <v>918</v>
      </c>
      <c r="U380" s="392" t="s">
        <v>403</v>
      </c>
      <c r="AA380"/>
      <c r="AB380"/>
      <c r="AC380" s="380"/>
      <c r="AD380" s="68"/>
    </row>
    <row r="381" spans="3:30" ht="10.5" customHeight="1">
      <c r="C381" s="1463" t="s">
        <v>4173</v>
      </c>
      <c r="D381" s="1460">
        <v>0</v>
      </c>
      <c r="E381" s="1460">
        <v>0</v>
      </c>
      <c r="F381" s="1461">
        <v>0</v>
      </c>
      <c r="G381" s="1472" t="s">
        <v>4173</v>
      </c>
      <c r="H381" s="1458">
        <v>0</v>
      </c>
      <c r="I381" s="1458">
        <v>0</v>
      </c>
      <c r="J381" s="1473">
        <v>0</v>
      </c>
      <c r="K381" s="1462"/>
      <c r="L381" s="1456">
        <v>13021011100</v>
      </c>
      <c r="M381" s="1457">
        <v>0</v>
      </c>
      <c r="N381" s="1457">
        <v>0</v>
      </c>
      <c r="O381" s="1457">
        <v>0</v>
      </c>
      <c r="P381" s="241" t="s">
        <v>945</v>
      </c>
      <c r="Q381" s="241"/>
      <c r="R381" s="147"/>
      <c r="S381" s="236"/>
      <c r="T381" s="392" t="s">
        <v>920</v>
      </c>
      <c r="U381" s="392" t="s">
        <v>115</v>
      </c>
      <c r="AA381"/>
      <c r="AB381"/>
      <c r="AC381" s="380"/>
      <c r="AD381" s="68"/>
    </row>
    <row r="382" spans="3:30" ht="10.5" customHeight="1">
      <c r="C382" s="1463" t="s">
        <v>4174</v>
      </c>
      <c r="D382" s="1460">
        <v>0</v>
      </c>
      <c r="E382" s="1460">
        <v>0</v>
      </c>
      <c r="F382" s="1461">
        <v>0</v>
      </c>
      <c r="G382" s="1472" t="s">
        <v>4174</v>
      </c>
      <c r="H382" s="1458">
        <v>0</v>
      </c>
      <c r="I382" s="1458">
        <v>0</v>
      </c>
      <c r="J382" s="1473">
        <v>0</v>
      </c>
      <c r="K382" s="1462"/>
      <c r="L382" s="1456">
        <v>13021011500</v>
      </c>
      <c r="M382" s="1457">
        <v>0</v>
      </c>
      <c r="N382" s="1457">
        <v>0</v>
      </c>
      <c r="O382" s="1457">
        <v>0</v>
      </c>
      <c r="P382" s="241" t="s">
        <v>947</v>
      </c>
      <c r="Q382" s="241"/>
      <c r="R382" s="147"/>
      <c r="S382" s="236"/>
      <c r="T382" s="392" t="s">
        <v>922</v>
      </c>
      <c r="U382" s="392" t="s">
        <v>625</v>
      </c>
      <c r="AA382"/>
      <c r="AB382"/>
      <c r="AC382" s="380"/>
      <c r="AD382" s="68"/>
    </row>
    <row r="383" spans="3:30" ht="10.5" customHeight="1">
      <c r="C383" s="1463" t="s">
        <v>4175</v>
      </c>
      <c r="D383" s="1460">
        <v>0</v>
      </c>
      <c r="E383" s="1460">
        <v>0</v>
      </c>
      <c r="F383" s="1461">
        <v>0</v>
      </c>
      <c r="G383" s="1472" t="s">
        <v>4175</v>
      </c>
      <c r="H383" s="1458">
        <v>0</v>
      </c>
      <c r="I383" s="1458">
        <v>1</v>
      </c>
      <c r="J383" s="1473">
        <v>1</v>
      </c>
      <c r="K383" s="1462"/>
      <c r="L383" s="1456">
        <v>13021011701</v>
      </c>
      <c r="M383" s="1457">
        <v>0</v>
      </c>
      <c r="N383" s="1457">
        <v>1</v>
      </c>
      <c r="O383" s="1457">
        <v>1</v>
      </c>
      <c r="P383" s="241" t="s">
        <v>949</v>
      </c>
      <c r="Q383" s="241"/>
      <c r="R383" s="147"/>
      <c r="S383" s="236"/>
      <c r="T383" s="392" t="s">
        <v>924</v>
      </c>
      <c r="U383" s="392" t="s">
        <v>1740</v>
      </c>
      <c r="AA383"/>
      <c r="AB383"/>
      <c r="AC383" s="380"/>
      <c r="AD383" s="68"/>
    </row>
    <row r="384" spans="3:30" ht="10.5" customHeight="1">
      <c r="C384" s="1463" t="s">
        <v>4176</v>
      </c>
      <c r="D384" s="1460">
        <v>0</v>
      </c>
      <c r="E384" s="1460">
        <v>0</v>
      </c>
      <c r="F384" s="1461">
        <v>0</v>
      </c>
      <c r="G384" s="1472" t="s">
        <v>4176</v>
      </c>
      <c r="H384" s="1458">
        <v>0</v>
      </c>
      <c r="I384" s="1458">
        <v>0</v>
      </c>
      <c r="J384" s="1473">
        <v>0</v>
      </c>
      <c r="K384" s="1462"/>
      <c r="L384" s="1456">
        <v>13021011702</v>
      </c>
      <c r="M384" s="1457">
        <v>0</v>
      </c>
      <c r="N384" s="1457">
        <v>0</v>
      </c>
      <c r="O384" s="1457">
        <v>0</v>
      </c>
      <c r="P384" s="241" t="s">
        <v>1559</v>
      </c>
      <c r="Q384" s="241"/>
      <c r="R384" s="147"/>
      <c r="S384" s="236"/>
      <c r="T384" s="392" t="s">
        <v>982</v>
      </c>
      <c r="U384" s="392" t="s">
        <v>585</v>
      </c>
      <c r="AA384"/>
      <c r="AB384"/>
      <c r="AC384" s="380"/>
      <c r="AD384" s="68"/>
    </row>
    <row r="385" spans="3:30" ht="10.5" customHeight="1">
      <c r="C385" s="1463" t="s">
        <v>4177</v>
      </c>
      <c r="D385" s="1460">
        <v>1</v>
      </c>
      <c r="E385" s="1460">
        <v>0</v>
      </c>
      <c r="F385" s="1461">
        <v>1</v>
      </c>
      <c r="G385" s="1472" t="s">
        <v>4177</v>
      </c>
      <c r="H385" s="1458">
        <v>1</v>
      </c>
      <c r="I385" s="1458">
        <v>1</v>
      </c>
      <c r="J385" s="1473">
        <v>2</v>
      </c>
      <c r="K385" s="1462"/>
      <c r="L385" s="1456">
        <v>13021011800</v>
      </c>
      <c r="M385" s="1457">
        <v>1</v>
      </c>
      <c r="N385" s="1457">
        <v>1</v>
      </c>
      <c r="O385" s="1457">
        <v>2</v>
      </c>
      <c r="P385" s="241" t="s">
        <v>1560</v>
      </c>
      <c r="Q385" s="241"/>
      <c r="R385" s="147"/>
      <c r="S385" s="236"/>
      <c r="T385" s="392" t="s">
        <v>532</v>
      </c>
      <c r="U385" s="392" t="s">
        <v>2016</v>
      </c>
      <c r="AA385"/>
      <c r="AB385"/>
      <c r="AC385" s="380"/>
      <c r="AD385" s="68"/>
    </row>
    <row r="386" spans="3:30" ht="10.5" customHeight="1">
      <c r="C386" s="1463" t="s">
        <v>4178</v>
      </c>
      <c r="D386" s="1460">
        <v>0</v>
      </c>
      <c r="E386" s="1460">
        <v>0</v>
      </c>
      <c r="F386" s="1461">
        <v>0</v>
      </c>
      <c r="G386" s="1472" t="s">
        <v>4178</v>
      </c>
      <c r="H386" s="1458">
        <v>0</v>
      </c>
      <c r="I386" s="1458">
        <v>0</v>
      </c>
      <c r="J386" s="1473">
        <v>0</v>
      </c>
      <c r="K386" s="1462"/>
      <c r="L386" s="1456">
        <v>13021011900</v>
      </c>
      <c r="M386" s="1457">
        <v>0</v>
      </c>
      <c r="N386" s="1457">
        <v>0</v>
      </c>
      <c r="O386" s="1457">
        <v>0</v>
      </c>
      <c r="P386" s="241" t="s">
        <v>1561</v>
      </c>
      <c r="Q386" s="241"/>
      <c r="R386" s="147"/>
      <c r="S386" s="236"/>
      <c r="T386" s="392" t="s">
        <v>352</v>
      </c>
      <c r="U386" s="392" t="s">
        <v>2327</v>
      </c>
      <c r="AA386"/>
      <c r="AB386"/>
      <c r="AC386" s="380"/>
      <c r="AD386" s="68"/>
    </row>
    <row r="387" spans="3:30" ht="10.5" customHeight="1">
      <c r="C387" s="1463" t="s">
        <v>4179</v>
      </c>
      <c r="D387" s="1460">
        <v>1</v>
      </c>
      <c r="E387" s="1460">
        <v>1</v>
      </c>
      <c r="F387" s="1461">
        <v>2</v>
      </c>
      <c r="G387" s="1472" t="s">
        <v>4179</v>
      </c>
      <c r="H387" s="1458">
        <v>1</v>
      </c>
      <c r="I387" s="1458">
        <v>1</v>
      </c>
      <c r="J387" s="1473">
        <v>2</v>
      </c>
      <c r="K387" s="1462"/>
      <c r="L387" s="1456">
        <v>13021012000</v>
      </c>
      <c r="M387" s="1457">
        <v>1</v>
      </c>
      <c r="N387" s="1457">
        <v>1</v>
      </c>
      <c r="O387" s="1457">
        <v>2</v>
      </c>
      <c r="P387" s="241" t="s">
        <v>806</v>
      </c>
      <c r="Q387" s="241"/>
      <c r="R387" s="147"/>
      <c r="S387" s="236"/>
      <c r="T387" s="392" t="s">
        <v>354</v>
      </c>
      <c r="U387" s="392" t="s">
        <v>1367</v>
      </c>
      <c r="AA387"/>
      <c r="AB387"/>
      <c r="AC387" s="380"/>
      <c r="AD387" s="68"/>
    </row>
    <row r="388" spans="3:30" ht="10.5" customHeight="1">
      <c r="C388" s="1463" t="s">
        <v>4180</v>
      </c>
      <c r="D388" s="1460">
        <v>1</v>
      </c>
      <c r="E388" s="1460">
        <v>1</v>
      </c>
      <c r="F388" s="1461">
        <v>2</v>
      </c>
      <c r="G388" s="1472" t="s">
        <v>4180</v>
      </c>
      <c r="H388" s="1458">
        <v>1</v>
      </c>
      <c r="I388" s="1458">
        <v>1</v>
      </c>
      <c r="J388" s="1473">
        <v>2</v>
      </c>
      <c r="K388" s="1462"/>
      <c r="L388" s="1456">
        <v>13021012101</v>
      </c>
      <c r="M388" s="1457">
        <v>1</v>
      </c>
      <c r="N388" s="1457">
        <v>1</v>
      </c>
      <c r="O388" s="1457">
        <v>2</v>
      </c>
      <c r="P388" s="241" t="s">
        <v>808</v>
      </c>
      <c r="Q388" s="241"/>
      <c r="R388" s="147"/>
      <c r="S388" s="236"/>
      <c r="T388" s="392" t="s">
        <v>983</v>
      </c>
      <c r="U388" s="392" t="s">
        <v>1772</v>
      </c>
      <c r="AA388"/>
      <c r="AB388"/>
      <c r="AC388" s="380"/>
      <c r="AD388" s="68"/>
    </row>
    <row r="389" spans="3:30" ht="10.5" customHeight="1">
      <c r="C389" s="1463" t="s">
        <v>4181</v>
      </c>
      <c r="D389" s="1460">
        <v>0</v>
      </c>
      <c r="E389" s="1460">
        <v>1</v>
      </c>
      <c r="F389" s="1461">
        <v>1</v>
      </c>
      <c r="G389" s="1472" t="s">
        <v>4181</v>
      </c>
      <c r="H389" s="1458">
        <v>0</v>
      </c>
      <c r="I389" s="1458">
        <v>1</v>
      </c>
      <c r="J389" s="1473">
        <v>1</v>
      </c>
      <c r="K389" s="1462"/>
      <c r="L389" s="1456">
        <v>13021012102</v>
      </c>
      <c r="M389" s="1457">
        <v>0</v>
      </c>
      <c r="N389" s="1457">
        <v>1</v>
      </c>
      <c r="O389" s="1457">
        <v>1</v>
      </c>
      <c r="P389" s="241" t="s">
        <v>810</v>
      </c>
      <c r="Q389" s="241"/>
      <c r="R389" s="147"/>
      <c r="S389" s="236"/>
      <c r="T389" s="392" t="s">
        <v>356</v>
      </c>
      <c r="U389" s="392" t="s">
        <v>819</v>
      </c>
      <c r="AA389"/>
      <c r="AB389"/>
      <c r="AC389" s="380"/>
      <c r="AD389" s="68"/>
    </row>
    <row r="390" spans="3:30" ht="10.5" customHeight="1">
      <c r="C390" s="1463" t="s">
        <v>4182</v>
      </c>
      <c r="D390" s="1460">
        <v>0</v>
      </c>
      <c r="E390" s="1460">
        <v>0</v>
      </c>
      <c r="F390" s="1461">
        <v>0</v>
      </c>
      <c r="G390" s="1472" t="s">
        <v>4182</v>
      </c>
      <c r="H390" s="1458">
        <v>0</v>
      </c>
      <c r="I390" s="1458">
        <v>0</v>
      </c>
      <c r="J390" s="1473">
        <v>0</v>
      </c>
      <c r="K390" s="1462"/>
      <c r="L390" s="1456">
        <v>13021012200</v>
      </c>
      <c r="M390" s="1457">
        <v>0</v>
      </c>
      <c r="N390" s="1457">
        <v>0</v>
      </c>
      <c r="O390" s="1457">
        <v>0</v>
      </c>
      <c r="P390" s="241" t="s">
        <v>406</v>
      </c>
      <c r="Q390" s="241"/>
      <c r="R390" s="147"/>
      <c r="S390" s="236"/>
      <c r="T390" s="392" t="s">
        <v>1336</v>
      </c>
      <c r="U390" s="392" t="s">
        <v>2076</v>
      </c>
      <c r="AA390"/>
      <c r="AB390"/>
      <c r="AC390" s="380"/>
      <c r="AD390" s="68"/>
    </row>
    <row r="391" spans="3:30" ht="10.5" customHeight="1">
      <c r="C391" s="1463" t="s">
        <v>4183</v>
      </c>
      <c r="D391" s="1460">
        <v>0</v>
      </c>
      <c r="E391" s="1460">
        <v>0</v>
      </c>
      <c r="F391" s="1461">
        <v>0</v>
      </c>
      <c r="G391" s="1472" t="s">
        <v>4183</v>
      </c>
      <c r="H391" s="1458">
        <v>0</v>
      </c>
      <c r="I391" s="1458">
        <v>0</v>
      </c>
      <c r="J391" s="1473">
        <v>0</v>
      </c>
      <c r="K391" s="1462"/>
      <c r="L391" s="1456">
        <v>13021012300</v>
      </c>
      <c r="M391" s="1457">
        <v>0</v>
      </c>
      <c r="N391" s="1457">
        <v>0</v>
      </c>
      <c r="O391" s="1457">
        <v>0</v>
      </c>
      <c r="P391" s="241" t="s">
        <v>1602</v>
      </c>
      <c r="Q391" s="241"/>
      <c r="R391" s="147"/>
      <c r="S391" s="236"/>
      <c r="T391" s="392" t="s">
        <v>1491</v>
      </c>
      <c r="U391" s="392" t="s">
        <v>168</v>
      </c>
      <c r="AA391"/>
      <c r="AB391"/>
      <c r="AC391" s="380"/>
      <c r="AD391" s="68"/>
    </row>
    <row r="392" spans="3:30" ht="10.5" customHeight="1">
      <c r="C392" s="1463" t="s">
        <v>4184</v>
      </c>
      <c r="D392" s="1460">
        <v>0</v>
      </c>
      <c r="E392" s="1460">
        <v>0</v>
      </c>
      <c r="F392" s="1461">
        <v>0</v>
      </c>
      <c r="G392" s="1472" t="s">
        <v>4184</v>
      </c>
      <c r="H392" s="1458">
        <v>0</v>
      </c>
      <c r="I392" s="1458">
        <v>0</v>
      </c>
      <c r="J392" s="1473">
        <v>0</v>
      </c>
      <c r="K392" s="1462"/>
      <c r="L392" s="1456">
        <v>13021012400</v>
      </c>
      <c r="M392" s="1457">
        <v>0</v>
      </c>
      <c r="N392" s="1457">
        <v>0</v>
      </c>
      <c r="O392" s="1457">
        <v>0</v>
      </c>
      <c r="P392" s="241" t="s">
        <v>2113</v>
      </c>
      <c r="Q392" s="241"/>
      <c r="R392" s="147"/>
      <c r="S392" s="236"/>
      <c r="T392" s="236" t="s">
        <v>946</v>
      </c>
      <c r="U392" s="236" t="s">
        <v>302</v>
      </c>
      <c r="AA392"/>
      <c r="AB392"/>
      <c r="AC392" s="68"/>
      <c r="AD392" s="68"/>
    </row>
    <row r="393" spans="3:30" ht="10.5" customHeight="1">
      <c r="C393" s="1463" t="s">
        <v>4185</v>
      </c>
      <c r="D393" s="1460">
        <v>0</v>
      </c>
      <c r="E393" s="1460">
        <v>0</v>
      </c>
      <c r="F393" s="1461">
        <v>0</v>
      </c>
      <c r="G393" s="1472" t="s">
        <v>4185</v>
      </c>
      <c r="H393" s="1458">
        <v>0</v>
      </c>
      <c r="I393" s="1458">
        <v>0</v>
      </c>
      <c r="J393" s="1473">
        <v>0</v>
      </c>
      <c r="K393" s="1462"/>
      <c r="L393" s="1456">
        <v>13021012500</v>
      </c>
      <c r="M393" s="1457">
        <v>0</v>
      </c>
      <c r="N393" s="1457">
        <v>0</v>
      </c>
      <c r="O393" s="1457">
        <v>0</v>
      </c>
      <c r="P393" s="241" t="s">
        <v>1859</v>
      </c>
      <c r="Q393" s="241"/>
      <c r="R393" s="147"/>
      <c r="S393" s="236"/>
      <c r="T393" s="392" t="s">
        <v>948</v>
      </c>
      <c r="U393" s="392" t="s">
        <v>306</v>
      </c>
      <c r="AA393"/>
      <c r="AB393"/>
      <c r="AC393" s="380"/>
      <c r="AD393" s="68"/>
    </row>
    <row r="394" spans="3:30" ht="10.5" customHeight="1">
      <c r="C394" s="1463" t="s">
        <v>4186</v>
      </c>
      <c r="D394" s="1460">
        <v>0</v>
      </c>
      <c r="E394" s="1460">
        <v>0</v>
      </c>
      <c r="F394" s="1461">
        <v>0</v>
      </c>
      <c r="G394" s="1472" t="s">
        <v>4186</v>
      </c>
      <c r="H394" s="1458">
        <v>0</v>
      </c>
      <c r="I394" s="1458">
        <v>0</v>
      </c>
      <c r="J394" s="1473">
        <v>0</v>
      </c>
      <c r="K394" s="1462"/>
      <c r="L394" s="1456">
        <v>13021012600</v>
      </c>
      <c r="M394" s="1457">
        <v>0</v>
      </c>
      <c r="N394" s="1457">
        <v>0</v>
      </c>
      <c r="O394" s="1457">
        <v>0</v>
      </c>
      <c r="P394" s="241" t="s">
        <v>969</v>
      </c>
      <c r="Q394" s="241"/>
      <c r="R394" s="147"/>
      <c r="S394" s="236"/>
      <c r="T394" s="392" t="s">
        <v>984</v>
      </c>
      <c r="U394" s="392" t="s">
        <v>1861</v>
      </c>
      <c r="AA394"/>
      <c r="AB394"/>
      <c r="AC394" s="380"/>
      <c r="AD394" s="68"/>
    </row>
    <row r="395" spans="3:30" ht="10.5" customHeight="1">
      <c r="C395" s="1463" t="s">
        <v>4187</v>
      </c>
      <c r="D395" s="1460">
        <v>0</v>
      </c>
      <c r="E395" s="1460">
        <v>0</v>
      </c>
      <c r="F395" s="1461">
        <v>0</v>
      </c>
      <c r="G395" s="1472" t="s">
        <v>4187</v>
      </c>
      <c r="H395" s="1458">
        <v>0</v>
      </c>
      <c r="I395" s="1458">
        <v>0</v>
      </c>
      <c r="J395" s="1473">
        <v>0</v>
      </c>
      <c r="K395" s="1462"/>
      <c r="L395" s="1456">
        <v>13021012700</v>
      </c>
      <c r="M395" s="1457">
        <v>0</v>
      </c>
      <c r="N395" s="1457">
        <v>0</v>
      </c>
      <c r="O395" s="1457">
        <v>0</v>
      </c>
      <c r="P395" s="241" t="s">
        <v>387</v>
      </c>
      <c r="Q395" s="241"/>
      <c r="R395" s="147"/>
      <c r="S395" s="236"/>
      <c r="T395" s="392" t="s">
        <v>950</v>
      </c>
      <c r="U395" s="392" t="s">
        <v>1133</v>
      </c>
      <c r="AA395"/>
      <c r="AB395"/>
      <c r="AC395" s="380"/>
      <c r="AD395" s="68"/>
    </row>
    <row r="396" spans="3:30" ht="10.5" customHeight="1">
      <c r="C396" s="1463" t="s">
        <v>4188</v>
      </c>
      <c r="D396" s="1460">
        <v>0</v>
      </c>
      <c r="E396" s="1460">
        <v>0</v>
      </c>
      <c r="F396" s="1461">
        <v>0</v>
      </c>
      <c r="G396" s="1472" t="s">
        <v>4188</v>
      </c>
      <c r="H396" s="1458">
        <v>0</v>
      </c>
      <c r="I396" s="1458">
        <v>0</v>
      </c>
      <c r="J396" s="1473">
        <v>0</v>
      </c>
      <c r="K396" s="1462"/>
      <c r="L396" s="1456">
        <v>13021012800</v>
      </c>
      <c r="M396" s="1457">
        <v>0</v>
      </c>
      <c r="N396" s="1457">
        <v>0</v>
      </c>
      <c r="O396" s="1457">
        <v>0</v>
      </c>
      <c r="P396" s="241" t="s">
        <v>389</v>
      </c>
      <c r="Q396" s="241"/>
      <c r="R396" s="147"/>
      <c r="S396" s="236"/>
      <c r="T396" s="392" t="s">
        <v>301</v>
      </c>
      <c r="U396" s="392" t="s">
        <v>2330</v>
      </c>
      <c r="AA396"/>
      <c r="AB396"/>
      <c r="AC396" s="380"/>
      <c r="AD396" s="68"/>
    </row>
    <row r="397" spans="3:30" ht="10.5" customHeight="1">
      <c r="C397" s="1463" t="s">
        <v>4189</v>
      </c>
      <c r="D397" s="1460">
        <v>0</v>
      </c>
      <c r="E397" s="1460">
        <v>0</v>
      </c>
      <c r="F397" s="1461">
        <v>0</v>
      </c>
      <c r="G397" s="1472" t="s">
        <v>4189</v>
      </c>
      <c r="H397" s="1458">
        <v>0</v>
      </c>
      <c r="I397" s="1458">
        <v>0</v>
      </c>
      <c r="J397" s="1473">
        <v>0</v>
      </c>
      <c r="K397" s="1462"/>
      <c r="L397" s="1456">
        <v>13021012900</v>
      </c>
      <c r="M397" s="1457">
        <v>0</v>
      </c>
      <c r="N397" s="1457">
        <v>0</v>
      </c>
      <c r="O397" s="1457">
        <v>0</v>
      </c>
      <c r="P397" s="241" t="s">
        <v>390</v>
      </c>
      <c r="Q397" s="241"/>
      <c r="R397" s="147"/>
      <c r="S397" s="236"/>
      <c r="T397" s="392" t="s">
        <v>2541</v>
      </c>
      <c r="U397" s="392" t="s">
        <v>1659</v>
      </c>
      <c r="AA397"/>
      <c r="AB397"/>
      <c r="AC397" s="380"/>
      <c r="AD397" s="68"/>
    </row>
    <row r="398" spans="3:30" ht="10.5" customHeight="1">
      <c r="C398" s="1463" t="s">
        <v>4190</v>
      </c>
      <c r="D398" s="1460">
        <v>0</v>
      </c>
      <c r="E398" s="1460">
        <v>0</v>
      </c>
      <c r="F398" s="1461">
        <v>0</v>
      </c>
      <c r="G398" s="1472" t="s">
        <v>4190</v>
      </c>
      <c r="H398" s="1458">
        <v>0</v>
      </c>
      <c r="I398" s="1458">
        <v>0</v>
      </c>
      <c r="J398" s="1473">
        <v>0</v>
      </c>
      <c r="K398" s="1462"/>
      <c r="L398" s="1456">
        <v>13021013101</v>
      </c>
      <c r="M398" s="1457">
        <v>0</v>
      </c>
      <c r="N398" s="1457">
        <v>0</v>
      </c>
      <c r="O398" s="1457">
        <v>0</v>
      </c>
      <c r="P398" s="241" t="s">
        <v>1804</v>
      </c>
      <c r="Q398" s="241"/>
      <c r="R398" s="147"/>
      <c r="S398" s="236"/>
      <c r="T398" s="392" t="s">
        <v>1562</v>
      </c>
      <c r="U398" s="392" t="s">
        <v>2327</v>
      </c>
      <c r="AA398"/>
      <c r="AB398"/>
      <c r="AC398" s="380"/>
      <c r="AD398" s="68"/>
    </row>
    <row r="399" spans="3:30" ht="10.5" customHeight="1">
      <c r="C399" s="1463" t="s">
        <v>4191</v>
      </c>
      <c r="D399" s="1460">
        <v>0</v>
      </c>
      <c r="E399" s="1460">
        <v>0</v>
      </c>
      <c r="F399" s="1461">
        <v>0</v>
      </c>
      <c r="G399" s="1472" t="s">
        <v>4191</v>
      </c>
      <c r="H399" s="1458">
        <v>0</v>
      </c>
      <c r="I399" s="1458">
        <v>0</v>
      </c>
      <c r="J399" s="1473">
        <v>0</v>
      </c>
      <c r="K399" s="1462"/>
      <c r="L399" s="1456">
        <v>13021013102</v>
      </c>
      <c r="M399" s="1457">
        <v>0</v>
      </c>
      <c r="N399" s="1457">
        <v>0</v>
      </c>
      <c r="O399" s="1457">
        <v>0</v>
      </c>
      <c r="P399" s="241" t="s">
        <v>462</v>
      </c>
      <c r="Q399" s="241"/>
      <c r="R399" s="147"/>
      <c r="S399" s="236"/>
      <c r="T399" s="392" t="s">
        <v>807</v>
      </c>
      <c r="U399" s="392" t="s">
        <v>100</v>
      </c>
      <c r="AA399"/>
      <c r="AB399"/>
      <c r="AC399" s="380"/>
      <c r="AD399" s="68"/>
    </row>
    <row r="400" spans="3:30" ht="10.5" customHeight="1">
      <c r="C400" s="1463" t="s">
        <v>4192</v>
      </c>
      <c r="D400" s="1460">
        <v>0</v>
      </c>
      <c r="E400" s="1460">
        <v>0</v>
      </c>
      <c r="F400" s="1461">
        <v>0</v>
      </c>
      <c r="G400" s="1472" t="s">
        <v>4192</v>
      </c>
      <c r="H400" s="1458">
        <v>0</v>
      </c>
      <c r="I400" s="1458">
        <v>0</v>
      </c>
      <c r="J400" s="1473">
        <v>0</v>
      </c>
      <c r="K400" s="1462"/>
      <c r="L400" s="1456">
        <v>13021013201</v>
      </c>
      <c r="M400" s="1457">
        <v>0</v>
      </c>
      <c r="N400" s="1457">
        <v>0</v>
      </c>
      <c r="O400" s="1457">
        <v>0</v>
      </c>
      <c r="P400" s="241" t="s">
        <v>2007</v>
      </c>
      <c r="Q400" s="241"/>
      <c r="R400" s="147"/>
      <c r="S400" s="236"/>
      <c r="T400" s="392" t="s">
        <v>809</v>
      </c>
      <c r="U400" s="392" t="s">
        <v>303</v>
      </c>
      <c r="AA400"/>
      <c r="AB400"/>
      <c r="AC400" s="380"/>
      <c r="AD400" s="68"/>
    </row>
    <row r="401" spans="3:30" ht="10.5" customHeight="1">
      <c r="C401" s="1463" t="s">
        <v>4193</v>
      </c>
      <c r="D401" s="1460">
        <v>0</v>
      </c>
      <c r="E401" s="1460">
        <v>0</v>
      </c>
      <c r="F401" s="1461">
        <v>0</v>
      </c>
      <c r="G401" s="1472" t="s">
        <v>4193</v>
      </c>
      <c r="H401" s="1458">
        <v>0</v>
      </c>
      <c r="I401" s="1458">
        <v>0</v>
      </c>
      <c r="J401" s="1473">
        <v>0</v>
      </c>
      <c r="K401" s="1462"/>
      <c r="L401" s="1456">
        <v>13021013202</v>
      </c>
      <c r="M401" s="1457">
        <v>0</v>
      </c>
      <c r="N401" s="1457">
        <v>0</v>
      </c>
      <c r="O401" s="1457">
        <v>0</v>
      </c>
      <c r="P401" s="241" t="s">
        <v>1534</v>
      </c>
      <c r="Q401" s="241"/>
      <c r="R401" s="147"/>
      <c r="S401" s="236"/>
      <c r="T401" s="392" t="s">
        <v>1618</v>
      </c>
      <c r="U401" s="392" t="s">
        <v>1035</v>
      </c>
      <c r="AA401"/>
      <c r="AB401"/>
      <c r="AC401" s="380"/>
      <c r="AD401" s="68"/>
    </row>
    <row r="402" spans="3:30" ht="10.5" customHeight="1">
      <c r="C402" s="1463" t="s">
        <v>4194</v>
      </c>
      <c r="D402" s="1460">
        <v>0</v>
      </c>
      <c r="E402" s="1460">
        <v>0</v>
      </c>
      <c r="F402" s="1461">
        <v>0</v>
      </c>
      <c r="G402" s="1472" t="s">
        <v>4194</v>
      </c>
      <c r="H402" s="1458">
        <v>0</v>
      </c>
      <c r="I402" s="1458">
        <v>0</v>
      </c>
      <c r="J402" s="1473">
        <v>0</v>
      </c>
      <c r="K402" s="1462"/>
      <c r="L402" s="1456">
        <v>13021013302</v>
      </c>
      <c r="M402" s="1457">
        <v>0</v>
      </c>
      <c r="N402" s="1457">
        <v>0</v>
      </c>
      <c r="O402" s="1457">
        <v>0</v>
      </c>
      <c r="P402" s="241" t="s">
        <v>1536</v>
      </c>
      <c r="Q402" s="241"/>
      <c r="R402" s="147"/>
      <c r="S402" s="236"/>
      <c r="T402" s="392" t="s">
        <v>588</v>
      </c>
      <c r="U402" s="392" t="s">
        <v>313</v>
      </c>
      <c r="AA402"/>
      <c r="AB402"/>
      <c r="AC402" s="380"/>
      <c r="AD402" s="68"/>
    </row>
    <row r="403" spans="3:30" ht="10.5" customHeight="1">
      <c r="C403" s="1463" t="s">
        <v>4195</v>
      </c>
      <c r="D403" s="1460">
        <v>1</v>
      </c>
      <c r="E403" s="1460">
        <v>1</v>
      </c>
      <c r="F403" s="1461">
        <v>2</v>
      </c>
      <c r="G403" s="1472" t="s">
        <v>4195</v>
      </c>
      <c r="H403" s="1458">
        <v>0</v>
      </c>
      <c r="I403" s="1458">
        <v>1</v>
      </c>
      <c r="J403" s="1473">
        <v>1</v>
      </c>
      <c r="K403" s="1462"/>
      <c r="L403" s="1456">
        <v>13021013407</v>
      </c>
      <c r="M403" s="1457">
        <v>1</v>
      </c>
      <c r="N403" s="1457">
        <v>1</v>
      </c>
      <c r="O403" s="1457">
        <v>2</v>
      </c>
      <c r="P403" s="241" t="s">
        <v>293</v>
      </c>
      <c r="Q403" s="241"/>
      <c r="R403" s="147"/>
      <c r="S403" s="236"/>
      <c r="T403" s="392" t="s">
        <v>1603</v>
      </c>
      <c r="U403" s="392" t="s">
        <v>108</v>
      </c>
      <c r="AA403"/>
      <c r="AB403"/>
      <c r="AC403" s="380"/>
      <c r="AD403" s="68"/>
    </row>
    <row r="404" spans="3:30" ht="10.5" customHeight="1">
      <c r="C404" s="1463" t="s">
        <v>4196</v>
      </c>
      <c r="D404" s="1460">
        <v>1</v>
      </c>
      <c r="E404" s="1460">
        <v>1</v>
      </c>
      <c r="F404" s="1461">
        <v>2</v>
      </c>
      <c r="G404" s="1472" t="s">
        <v>4196</v>
      </c>
      <c r="H404" s="1458">
        <v>1</v>
      </c>
      <c r="I404" s="1458">
        <v>1</v>
      </c>
      <c r="J404" s="1473">
        <v>2</v>
      </c>
      <c r="K404" s="1462"/>
      <c r="L404" s="1456">
        <v>13021013408</v>
      </c>
      <c r="M404" s="1457">
        <v>1</v>
      </c>
      <c r="N404" s="1457">
        <v>1</v>
      </c>
      <c r="O404" s="1457">
        <v>2</v>
      </c>
      <c r="P404" s="241" t="s">
        <v>295</v>
      </c>
      <c r="Q404" s="241"/>
      <c r="R404" s="147"/>
      <c r="S404" s="236"/>
      <c r="T404" s="392" t="s">
        <v>2542</v>
      </c>
      <c r="U404" s="392" t="s">
        <v>152</v>
      </c>
      <c r="AA404"/>
      <c r="AB404"/>
      <c r="AC404" s="380"/>
      <c r="AD404" s="68"/>
    </row>
    <row r="405" spans="3:30" ht="10.5" customHeight="1">
      <c r="C405" s="1463" t="s">
        <v>4197</v>
      </c>
      <c r="D405" s="1460">
        <v>1</v>
      </c>
      <c r="E405" s="1460">
        <v>1</v>
      </c>
      <c r="F405" s="1461">
        <v>2</v>
      </c>
      <c r="G405" s="1472" t="s">
        <v>4197</v>
      </c>
      <c r="H405" s="1458">
        <v>1</v>
      </c>
      <c r="I405" s="1458">
        <v>1</v>
      </c>
      <c r="J405" s="1473">
        <v>2</v>
      </c>
      <c r="K405" s="1462"/>
      <c r="L405" s="1456">
        <v>13021013409</v>
      </c>
      <c r="M405" s="1457">
        <v>1</v>
      </c>
      <c r="N405" s="1457">
        <v>1</v>
      </c>
      <c r="O405" s="1457">
        <v>2</v>
      </c>
      <c r="P405" s="241" t="s">
        <v>883</v>
      </c>
      <c r="Q405" s="241"/>
      <c r="R405" s="147"/>
      <c r="S405" s="236"/>
      <c r="T405" s="392" t="s">
        <v>1860</v>
      </c>
      <c r="U405" s="392" t="s">
        <v>1045</v>
      </c>
      <c r="AA405"/>
      <c r="AB405"/>
      <c r="AC405" s="380"/>
      <c r="AD405" s="68"/>
    </row>
    <row r="406" spans="3:30" ht="10.5" customHeight="1">
      <c r="C406" s="1463" t="s">
        <v>4198</v>
      </c>
      <c r="D406" s="1460">
        <v>1</v>
      </c>
      <c r="E406" s="1460">
        <v>1</v>
      </c>
      <c r="F406" s="1461">
        <v>2</v>
      </c>
      <c r="G406" s="1472" t="s">
        <v>4198</v>
      </c>
      <c r="H406" s="1458">
        <v>1</v>
      </c>
      <c r="I406" s="1458">
        <v>1</v>
      </c>
      <c r="J406" s="1473">
        <v>2</v>
      </c>
      <c r="K406" s="1462"/>
      <c r="L406" s="1456">
        <v>13021013410</v>
      </c>
      <c r="M406" s="1457">
        <v>1</v>
      </c>
      <c r="N406" s="1457">
        <v>1</v>
      </c>
      <c r="O406" s="1457">
        <v>2</v>
      </c>
      <c r="P406" s="241" t="s">
        <v>2143</v>
      </c>
      <c r="Q406" s="241"/>
      <c r="R406" s="147"/>
      <c r="S406" s="236"/>
      <c r="T406" s="236" t="s">
        <v>2543</v>
      </c>
      <c r="U406" s="236" t="s">
        <v>306</v>
      </c>
      <c r="AA406"/>
      <c r="AB406"/>
      <c r="AC406" s="68"/>
      <c r="AD406" s="68"/>
    </row>
    <row r="407" spans="3:30" ht="10.5" customHeight="1">
      <c r="C407" s="1463" t="s">
        <v>4199</v>
      </c>
      <c r="D407" s="1460">
        <v>1</v>
      </c>
      <c r="E407" s="1460">
        <v>1</v>
      </c>
      <c r="F407" s="1461">
        <v>2</v>
      </c>
      <c r="G407" s="1472" t="s">
        <v>4199</v>
      </c>
      <c r="H407" s="1458">
        <v>1</v>
      </c>
      <c r="I407" s="1458" t="s">
        <v>3911</v>
      </c>
      <c r="J407" s="1473">
        <v>1</v>
      </c>
      <c r="K407" s="1462"/>
      <c r="L407" s="1456">
        <v>13021013411</v>
      </c>
      <c r="M407" s="1457">
        <v>1</v>
      </c>
      <c r="N407" s="1457">
        <v>1</v>
      </c>
      <c r="O407" s="1457">
        <v>2</v>
      </c>
      <c r="P407" s="241" t="s">
        <v>2144</v>
      </c>
      <c r="Q407" s="241"/>
      <c r="R407" s="147"/>
      <c r="S407" s="236"/>
      <c r="T407" s="392" t="s">
        <v>970</v>
      </c>
      <c r="U407" s="392" t="s">
        <v>1772</v>
      </c>
      <c r="AA407"/>
      <c r="AB407"/>
      <c r="AC407" s="380"/>
      <c r="AD407" s="68"/>
    </row>
    <row r="408" spans="3:30" ht="10.5" customHeight="1">
      <c r="C408" s="1463" t="s">
        <v>4200</v>
      </c>
      <c r="D408" s="1460">
        <v>0</v>
      </c>
      <c r="E408" s="1460">
        <v>0</v>
      </c>
      <c r="F408" s="1461">
        <v>0</v>
      </c>
      <c r="G408" s="1472" t="s">
        <v>4200</v>
      </c>
      <c r="H408" s="1458">
        <v>0</v>
      </c>
      <c r="I408" s="1458">
        <v>0</v>
      </c>
      <c r="J408" s="1473">
        <v>0</v>
      </c>
      <c r="K408" s="1462"/>
      <c r="L408" s="1456">
        <v>13021013502</v>
      </c>
      <c r="M408" s="1457">
        <v>0</v>
      </c>
      <c r="N408" s="1457">
        <v>0</v>
      </c>
      <c r="O408" s="1457">
        <v>0</v>
      </c>
      <c r="P408" s="241" t="s">
        <v>2125</v>
      </c>
      <c r="Q408" s="241"/>
      <c r="R408" s="147"/>
      <c r="S408" s="236"/>
      <c r="T408" s="236" t="s">
        <v>388</v>
      </c>
      <c r="U408" s="236" t="s">
        <v>177</v>
      </c>
      <c r="AA408"/>
      <c r="AB408"/>
      <c r="AC408" s="68"/>
      <c r="AD408" s="68"/>
    </row>
    <row r="409" spans="3:30" ht="10.5" customHeight="1">
      <c r="C409" s="1463" t="s">
        <v>4201</v>
      </c>
      <c r="D409" s="1460">
        <v>0</v>
      </c>
      <c r="E409" s="1460">
        <v>0</v>
      </c>
      <c r="F409" s="1461">
        <v>0</v>
      </c>
      <c r="G409" s="1472" t="s">
        <v>4201</v>
      </c>
      <c r="H409" s="1458">
        <v>0</v>
      </c>
      <c r="I409" s="1458">
        <v>0</v>
      </c>
      <c r="J409" s="1473">
        <v>0</v>
      </c>
      <c r="K409" s="1462"/>
      <c r="L409" s="1456">
        <v>13021013503</v>
      </c>
      <c r="M409" s="1457">
        <v>0</v>
      </c>
      <c r="N409" s="1457">
        <v>0</v>
      </c>
      <c r="O409" s="1457">
        <v>0</v>
      </c>
      <c r="P409" s="241" t="s">
        <v>2126</v>
      </c>
      <c r="Q409" s="241"/>
      <c r="R409" s="147"/>
      <c r="S409" s="236"/>
      <c r="T409" s="392" t="s">
        <v>985</v>
      </c>
      <c r="U409" s="392" t="s">
        <v>1032</v>
      </c>
      <c r="AA409"/>
      <c r="AB409"/>
      <c r="AC409" s="380"/>
      <c r="AD409" s="68"/>
    </row>
    <row r="410" spans="3:30" ht="10.5" customHeight="1">
      <c r="C410" s="1463" t="s">
        <v>4202</v>
      </c>
      <c r="D410" s="1460">
        <v>1</v>
      </c>
      <c r="E410" s="1460">
        <v>1</v>
      </c>
      <c r="F410" s="1461">
        <v>2</v>
      </c>
      <c r="G410" s="1472" t="s">
        <v>4202</v>
      </c>
      <c r="H410" s="1458">
        <v>0</v>
      </c>
      <c r="I410" s="1458">
        <v>0</v>
      </c>
      <c r="J410" s="1473">
        <v>0</v>
      </c>
      <c r="K410" s="1462"/>
      <c r="L410" s="1456">
        <v>13021013504</v>
      </c>
      <c r="M410" s="1457">
        <v>1</v>
      </c>
      <c r="N410" s="1457">
        <v>1</v>
      </c>
      <c r="O410" s="1457">
        <v>2</v>
      </c>
      <c r="P410" s="241" t="s">
        <v>2128</v>
      </c>
      <c r="Q410" s="241"/>
      <c r="R410" s="147"/>
      <c r="S410" s="236"/>
      <c r="T410" s="236" t="s">
        <v>391</v>
      </c>
      <c r="U410" s="236" t="s">
        <v>2012</v>
      </c>
      <c r="AA410"/>
      <c r="AB410"/>
      <c r="AC410" s="68"/>
      <c r="AD410" s="68"/>
    </row>
    <row r="411" spans="3:30" ht="10.5" customHeight="1">
      <c r="C411" s="1463" t="s">
        <v>4203</v>
      </c>
      <c r="D411" s="1460">
        <v>0</v>
      </c>
      <c r="E411" s="1460">
        <v>1</v>
      </c>
      <c r="F411" s="1461">
        <v>1</v>
      </c>
      <c r="G411" s="1472" t="s">
        <v>4203</v>
      </c>
      <c r="H411" s="1458">
        <v>0</v>
      </c>
      <c r="I411" s="1458">
        <v>1</v>
      </c>
      <c r="J411" s="1473">
        <v>1</v>
      </c>
      <c r="K411" s="1462"/>
      <c r="L411" s="1456">
        <v>13021013603</v>
      </c>
      <c r="M411" s="1457">
        <v>0</v>
      </c>
      <c r="N411" s="1457">
        <v>1</v>
      </c>
      <c r="O411" s="1457">
        <v>1</v>
      </c>
      <c r="P411" s="241" t="s">
        <v>479</v>
      </c>
      <c r="Q411" s="241"/>
      <c r="R411" s="147"/>
      <c r="S411" s="236"/>
      <c r="T411" s="392" t="s">
        <v>1805</v>
      </c>
      <c r="U411" s="392" t="s">
        <v>1367</v>
      </c>
      <c r="AA411"/>
      <c r="AB411"/>
      <c r="AC411" s="380"/>
      <c r="AD411" s="68"/>
    </row>
    <row r="412" spans="3:30" ht="10.5" customHeight="1">
      <c r="C412" s="1463" t="s">
        <v>4204</v>
      </c>
      <c r="D412" s="1460">
        <v>1</v>
      </c>
      <c r="E412" s="1460">
        <v>1</v>
      </c>
      <c r="F412" s="1461">
        <v>2</v>
      </c>
      <c r="G412" s="1472" t="s">
        <v>4204</v>
      </c>
      <c r="H412" s="1458">
        <v>0</v>
      </c>
      <c r="I412" s="1458" t="s">
        <v>3911</v>
      </c>
      <c r="J412" s="1473">
        <v>0</v>
      </c>
      <c r="K412" s="1462"/>
      <c r="L412" s="1456">
        <v>13021013604</v>
      </c>
      <c r="M412" s="1457">
        <v>1</v>
      </c>
      <c r="N412" s="1457">
        <v>1</v>
      </c>
      <c r="O412" s="1457">
        <v>2</v>
      </c>
      <c r="P412" s="241" t="s">
        <v>179</v>
      </c>
      <c r="Q412" s="241"/>
      <c r="R412" s="147"/>
      <c r="S412" s="236"/>
      <c r="T412" s="392" t="s">
        <v>463</v>
      </c>
      <c r="U412" s="392" t="s">
        <v>2387</v>
      </c>
      <c r="AA412"/>
      <c r="AB412"/>
      <c r="AC412" s="380"/>
      <c r="AD412" s="68"/>
    </row>
    <row r="413" spans="3:30" ht="10.5" customHeight="1">
      <c r="C413" s="1463" t="s">
        <v>4205</v>
      </c>
      <c r="D413" s="1460">
        <v>1</v>
      </c>
      <c r="E413" s="1460">
        <v>1</v>
      </c>
      <c r="F413" s="1461">
        <v>2</v>
      </c>
      <c r="G413" s="1472" t="s">
        <v>4205</v>
      </c>
      <c r="H413" s="1458">
        <v>1</v>
      </c>
      <c r="I413" s="1458" t="s">
        <v>3911</v>
      </c>
      <c r="J413" s="1473">
        <v>1</v>
      </c>
      <c r="K413" s="1462"/>
      <c r="L413" s="1456">
        <v>13021013605</v>
      </c>
      <c r="M413" s="1457">
        <v>1</v>
      </c>
      <c r="N413" s="1457">
        <v>1</v>
      </c>
      <c r="O413" s="1457">
        <v>2</v>
      </c>
      <c r="P413" s="241" t="s">
        <v>1962</v>
      </c>
      <c r="Q413" s="241"/>
      <c r="R413" s="147"/>
      <c r="S413" s="236"/>
      <c r="T413" s="392" t="s">
        <v>2008</v>
      </c>
      <c r="U413" s="392" t="s">
        <v>1246</v>
      </c>
      <c r="AA413"/>
      <c r="AB413"/>
      <c r="AC413" s="380"/>
      <c r="AD413" s="68"/>
    </row>
    <row r="414" spans="3:30" ht="10.5" customHeight="1">
      <c r="C414" s="1463" t="s">
        <v>4206</v>
      </c>
      <c r="D414" s="1460">
        <v>1</v>
      </c>
      <c r="E414" s="1460">
        <v>1</v>
      </c>
      <c r="F414" s="1461">
        <v>2</v>
      </c>
      <c r="G414" s="1472" t="s">
        <v>4206</v>
      </c>
      <c r="H414" s="1458">
        <v>1</v>
      </c>
      <c r="I414" s="1458">
        <v>1</v>
      </c>
      <c r="J414" s="1473">
        <v>2</v>
      </c>
      <c r="K414" s="1462"/>
      <c r="L414" s="1456">
        <v>13021013606</v>
      </c>
      <c r="M414" s="1457">
        <v>1</v>
      </c>
      <c r="N414" s="1457">
        <v>1</v>
      </c>
      <c r="O414" s="1457">
        <v>2</v>
      </c>
      <c r="P414" s="241" t="s">
        <v>1835</v>
      </c>
      <c r="Q414" s="241"/>
      <c r="R414" s="147"/>
      <c r="S414" s="236"/>
      <c r="T414" s="392" t="s">
        <v>1535</v>
      </c>
      <c r="U414" s="392" t="s">
        <v>1776</v>
      </c>
      <c r="AA414"/>
      <c r="AB414"/>
      <c r="AC414" s="380"/>
      <c r="AD414" s="68"/>
    </row>
    <row r="415" spans="3:30" ht="10.5" customHeight="1">
      <c r="C415" s="1463" t="s">
        <v>4207</v>
      </c>
      <c r="D415" s="1460">
        <v>0</v>
      </c>
      <c r="E415" s="1460">
        <v>0</v>
      </c>
      <c r="F415" s="1461">
        <v>0</v>
      </c>
      <c r="G415" s="1472" t="s">
        <v>4207</v>
      </c>
      <c r="H415" s="1458">
        <v>0</v>
      </c>
      <c r="I415" s="1458">
        <v>1</v>
      </c>
      <c r="J415" s="1473">
        <v>1</v>
      </c>
      <c r="K415" s="1462"/>
      <c r="L415" s="1456">
        <v>13021013700</v>
      </c>
      <c r="M415" s="1457">
        <v>0</v>
      </c>
      <c r="N415" s="1457">
        <v>1</v>
      </c>
      <c r="O415" s="1457">
        <v>1</v>
      </c>
      <c r="P415" s="241" t="s">
        <v>1837</v>
      </c>
      <c r="Q415" s="241"/>
      <c r="R415" s="147"/>
      <c r="S415" s="236"/>
      <c r="T415" s="392" t="s">
        <v>1537</v>
      </c>
      <c r="U415" s="392" t="s">
        <v>157</v>
      </c>
      <c r="AA415"/>
      <c r="AB415"/>
      <c r="AC415" s="380"/>
      <c r="AD415" s="68"/>
    </row>
    <row r="416" spans="3:30" ht="10.5" customHeight="1">
      <c r="C416" s="1463" t="s">
        <v>4208</v>
      </c>
      <c r="D416" s="1460">
        <v>0</v>
      </c>
      <c r="E416" s="1460">
        <v>0</v>
      </c>
      <c r="F416" s="1461">
        <v>0</v>
      </c>
      <c r="G416" s="1472" t="s">
        <v>4208</v>
      </c>
      <c r="H416" s="1458">
        <v>0</v>
      </c>
      <c r="I416" s="1458">
        <v>0</v>
      </c>
      <c r="J416" s="1473">
        <v>0</v>
      </c>
      <c r="K416" s="1462"/>
      <c r="L416" s="1456">
        <v>13021013800</v>
      </c>
      <c r="M416" s="1457">
        <v>0</v>
      </c>
      <c r="N416" s="1457">
        <v>0</v>
      </c>
      <c r="O416" s="1457">
        <v>0</v>
      </c>
      <c r="P416" s="241" t="s">
        <v>1078</v>
      </c>
      <c r="Q416" s="241"/>
      <c r="R416" s="147"/>
      <c r="S416" s="236"/>
      <c r="T416" s="392" t="s">
        <v>294</v>
      </c>
      <c r="U416" s="392" t="s">
        <v>150</v>
      </c>
      <c r="AA416"/>
      <c r="AB416"/>
      <c r="AC416" s="380"/>
      <c r="AD416" s="68"/>
    </row>
    <row r="417" spans="3:30" ht="10.5" customHeight="1">
      <c r="C417" s="1463" t="s">
        <v>4209</v>
      </c>
      <c r="D417" s="1460">
        <v>0</v>
      </c>
      <c r="E417" s="1460">
        <v>0</v>
      </c>
      <c r="F417" s="1461">
        <v>0</v>
      </c>
      <c r="G417" s="1472" t="s">
        <v>4209</v>
      </c>
      <c r="H417" s="1458">
        <v>0</v>
      </c>
      <c r="I417" s="1458">
        <v>0</v>
      </c>
      <c r="J417" s="1473">
        <v>0</v>
      </c>
      <c r="K417" s="1462"/>
      <c r="L417" s="1456">
        <v>13021013900</v>
      </c>
      <c r="M417" s="1457">
        <v>0</v>
      </c>
      <c r="N417" s="1457">
        <v>0</v>
      </c>
      <c r="O417" s="1457">
        <v>0</v>
      </c>
      <c r="P417" s="241" t="s">
        <v>1080</v>
      </c>
      <c r="Q417" s="241"/>
      <c r="R417" s="147"/>
      <c r="S417" s="236"/>
      <c r="T417" s="392" t="s">
        <v>296</v>
      </c>
      <c r="U417" s="392" t="s">
        <v>1233</v>
      </c>
      <c r="AA417"/>
      <c r="AB417"/>
      <c r="AC417" s="380"/>
      <c r="AD417" s="68"/>
    </row>
    <row r="418" spans="3:30" ht="10.5" customHeight="1">
      <c r="C418" s="1463" t="s">
        <v>4210</v>
      </c>
      <c r="D418" s="1460">
        <v>1</v>
      </c>
      <c r="E418" s="1460">
        <v>0</v>
      </c>
      <c r="F418" s="1461">
        <v>1</v>
      </c>
      <c r="G418" s="1472" t="s">
        <v>4210</v>
      </c>
      <c r="H418" s="1458">
        <v>0</v>
      </c>
      <c r="I418" s="1458">
        <v>0</v>
      </c>
      <c r="J418" s="1473">
        <v>0</v>
      </c>
      <c r="K418" s="1462"/>
      <c r="L418" s="1456">
        <v>13023790100</v>
      </c>
      <c r="M418" s="1457">
        <v>1</v>
      </c>
      <c r="N418" s="1457">
        <v>0</v>
      </c>
      <c r="O418" s="1457">
        <v>1</v>
      </c>
      <c r="P418" s="241" t="s">
        <v>1049</v>
      </c>
      <c r="Q418" s="241"/>
      <c r="R418" s="147"/>
      <c r="S418" s="236"/>
      <c r="T418" s="392" t="s">
        <v>884</v>
      </c>
      <c r="U418" s="392" t="s">
        <v>2289</v>
      </c>
      <c r="AA418"/>
      <c r="AB418"/>
      <c r="AC418" s="380"/>
      <c r="AD418" s="68"/>
    </row>
    <row r="419" spans="3:30" ht="10.5" customHeight="1">
      <c r="C419" s="1463" t="s">
        <v>4211</v>
      </c>
      <c r="D419" s="1460">
        <v>0</v>
      </c>
      <c r="E419" s="1460">
        <v>0</v>
      </c>
      <c r="F419" s="1461">
        <v>0</v>
      </c>
      <c r="G419" s="1472" t="s">
        <v>4211</v>
      </c>
      <c r="H419" s="1458">
        <v>0</v>
      </c>
      <c r="I419" s="1458">
        <v>0</v>
      </c>
      <c r="J419" s="1473">
        <v>0</v>
      </c>
      <c r="K419" s="1462"/>
      <c r="L419" s="1456">
        <v>13023790200</v>
      </c>
      <c r="M419" s="1457">
        <v>0</v>
      </c>
      <c r="N419" s="1457">
        <v>0</v>
      </c>
      <c r="O419" s="1457">
        <v>0</v>
      </c>
      <c r="P419" s="241" t="s">
        <v>1050</v>
      </c>
      <c r="Q419" s="241"/>
      <c r="R419" s="147"/>
      <c r="S419" s="236"/>
      <c r="T419" s="392" t="s">
        <v>2145</v>
      </c>
      <c r="U419" s="392" t="s">
        <v>310</v>
      </c>
      <c r="AA419"/>
      <c r="AB419"/>
      <c r="AC419" s="380"/>
      <c r="AD419" s="68"/>
    </row>
    <row r="420" spans="3:30" ht="10.5" customHeight="1">
      <c r="C420" s="1463" t="s">
        <v>4212</v>
      </c>
      <c r="D420" s="1460">
        <v>0</v>
      </c>
      <c r="E420" s="1460">
        <v>0</v>
      </c>
      <c r="F420" s="1461">
        <v>0</v>
      </c>
      <c r="G420" s="1472" t="s">
        <v>4212</v>
      </c>
      <c r="H420" s="1458">
        <v>0</v>
      </c>
      <c r="I420" s="1458">
        <v>1</v>
      </c>
      <c r="J420" s="1473">
        <v>1</v>
      </c>
      <c r="K420" s="1462"/>
      <c r="L420" s="1456">
        <v>13023790300</v>
      </c>
      <c r="M420" s="1457">
        <v>0</v>
      </c>
      <c r="N420" s="1457">
        <v>1</v>
      </c>
      <c r="O420" s="1457">
        <v>1</v>
      </c>
      <c r="P420" s="241" t="s">
        <v>67</v>
      </c>
      <c r="Q420" s="241"/>
      <c r="R420" s="147"/>
      <c r="S420" s="236"/>
      <c r="T420" s="392" t="s">
        <v>2544</v>
      </c>
      <c r="U420" s="392" t="s">
        <v>2029</v>
      </c>
      <c r="AA420"/>
      <c r="AB420"/>
      <c r="AC420" s="380"/>
      <c r="AD420" s="68"/>
    </row>
    <row r="421" spans="3:30" ht="10.5" customHeight="1">
      <c r="C421" s="1463" t="s">
        <v>4213</v>
      </c>
      <c r="D421" s="1460">
        <v>0</v>
      </c>
      <c r="E421" s="1460">
        <v>0</v>
      </c>
      <c r="F421" s="1461">
        <v>0</v>
      </c>
      <c r="G421" s="1472" t="s">
        <v>4213</v>
      </c>
      <c r="H421" s="1458">
        <v>0</v>
      </c>
      <c r="I421" s="1458">
        <v>0</v>
      </c>
      <c r="J421" s="1473">
        <v>0</v>
      </c>
      <c r="K421" s="1462"/>
      <c r="L421" s="1456">
        <v>13025960100</v>
      </c>
      <c r="M421" s="1457">
        <v>0</v>
      </c>
      <c r="N421" s="1457">
        <v>0</v>
      </c>
      <c r="O421" s="1457">
        <v>0</v>
      </c>
      <c r="P421" s="241" t="s">
        <v>347</v>
      </c>
      <c r="Q421" s="241"/>
      <c r="R421" s="147"/>
      <c r="S421" s="236"/>
      <c r="T421" s="436" t="s">
        <v>2127</v>
      </c>
      <c r="U421" s="392" t="s">
        <v>172</v>
      </c>
      <c r="AA421"/>
      <c r="AB421"/>
      <c r="AC421" s="712"/>
      <c r="AD421" s="68"/>
    </row>
    <row r="422" spans="3:30" ht="10.5" customHeight="1">
      <c r="C422" s="1463" t="s">
        <v>4214</v>
      </c>
      <c r="D422" s="1460">
        <v>0</v>
      </c>
      <c r="E422" s="1460">
        <v>0</v>
      </c>
      <c r="F422" s="1461">
        <v>0</v>
      </c>
      <c r="G422" s="1472" t="s">
        <v>4214</v>
      </c>
      <c r="H422" s="1458">
        <v>0</v>
      </c>
      <c r="I422" s="1458">
        <v>0</v>
      </c>
      <c r="J422" s="1473">
        <v>0</v>
      </c>
      <c r="K422" s="1462"/>
      <c r="L422" s="1456">
        <v>13025960200</v>
      </c>
      <c r="M422" s="1457">
        <v>0</v>
      </c>
      <c r="N422" s="1457">
        <v>0</v>
      </c>
      <c r="O422" s="1457">
        <v>0</v>
      </c>
      <c r="P422" s="241" t="s">
        <v>2079</v>
      </c>
      <c r="Q422" s="241"/>
      <c r="R422" s="147"/>
      <c r="S422" s="236"/>
      <c r="T422" s="392" t="s">
        <v>2129</v>
      </c>
      <c r="U422" s="392" t="s">
        <v>1243</v>
      </c>
      <c r="AA422"/>
      <c r="AB422"/>
      <c r="AC422" s="380"/>
      <c r="AD422" s="68"/>
    </row>
    <row r="423" spans="3:30" ht="10.5" customHeight="1">
      <c r="C423" s="1463" t="s">
        <v>4215</v>
      </c>
      <c r="D423" s="1460">
        <v>0</v>
      </c>
      <c r="E423" s="1460">
        <v>0</v>
      </c>
      <c r="F423" s="1461">
        <v>0</v>
      </c>
      <c r="G423" s="1472" t="s">
        <v>4215</v>
      </c>
      <c r="H423" s="1458">
        <v>0</v>
      </c>
      <c r="I423" s="1458">
        <v>0</v>
      </c>
      <c r="J423" s="1473">
        <v>0</v>
      </c>
      <c r="K423" s="1462"/>
      <c r="L423" s="1456">
        <v>13025960300</v>
      </c>
      <c r="M423" s="1457">
        <v>0</v>
      </c>
      <c r="N423" s="1457">
        <v>0</v>
      </c>
      <c r="O423" s="1457">
        <v>0</v>
      </c>
      <c r="P423" s="241" t="s">
        <v>1688</v>
      </c>
      <c r="Q423" s="241"/>
      <c r="R423" s="147"/>
      <c r="S423" s="236"/>
      <c r="T423" s="392" t="s">
        <v>480</v>
      </c>
      <c r="U423" s="392" t="s">
        <v>172</v>
      </c>
      <c r="AA423"/>
      <c r="AB423"/>
      <c r="AC423" s="380"/>
      <c r="AD423" s="68"/>
    </row>
    <row r="424" spans="3:30" ht="10.5" customHeight="1">
      <c r="C424" s="1463" t="s">
        <v>4216</v>
      </c>
      <c r="D424" s="1460">
        <v>0</v>
      </c>
      <c r="E424" s="1460">
        <v>0</v>
      </c>
      <c r="F424" s="1461">
        <v>0</v>
      </c>
      <c r="G424" s="1472" t="s">
        <v>4216</v>
      </c>
      <c r="H424" s="1458">
        <v>0</v>
      </c>
      <c r="I424" s="1458">
        <v>0</v>
      </c>
      <c r="J424" s="1473">
        <v>0</v>
      </c>
      <c r="K424" s="1462"/>
      <c r="L424" s="1456">
        <v>13027960200</v>
      </c>
      <c r="M424" s="1457">
        <v>0</v>
      </c>
      <c r="N424" s="1457">
        <v>0</v>
      </c>
      <c r="O424" s="1457">
        <v>0</v>
      </c>
      <c r="P424" s="241" t="s">
        <v>1632</v>
      </c>
      <c r="Q424" s="241"/>
      <c r="R424" s="147"/>
      <c r="S424" s="236"/>
      <c r="T424" s="392" t="s">
        <v>986</v>
      </c>
      <c r="U424" s="392" t="s">
        <v>1424</v>
      </c>
      <c r="AA424"/>
      <c r="AB424"/>
      <c r="AC424" s="380"/>
      <c r="AD424" s="68"/>
    </row>
    <row r="425" spans="3:30" ht="10.5" customHeight="1">
      <c r="C425" s="1463" t="s">
        <v>4217</v>
      </c>
      <c r="D425" s="1460">
        <v>0</v>
      </c>
      <c r="E425" s="1460">
        <v>0</v>
      </c>
      <c r="F425" s="1461">
        <v>0</v>
      </c>
      <c r="G425" s="1472" t="s">
        <v>4217</v>
      </c>
      <c r="H425" s="1458">
        <v>0</v>
      </c>
      <c r="I425" s="1458">
        <v>0</v>
      </c>
      <c r="J425" s="1473">
        <v>0</v>
      </c>
      <c r="K425" s="1462"/>
      <c r="L425" s="1456">
        <v>13027960300</v>
      </c>
      <c r="M425" s="1457">
        <v>0</v>
      </c>
      <c r="N425" s="1457">
        <v>0</v>
      </c>
      <c r="O425" s="1457">
        <v>0</v>
      </c>
      <c r="P425" s="241" t="s">
        <v>262</v>
      </c>
      <c r="Q425" s="241"/>
      <c r="R425" s="147"/>
      <c r="S425" s="236"/>
      <c r="T425" s="392" t="s">
        <v>180</v>
      </c>
      <c r="U425" s="392" t="s">
        <v>2014</v>
      </c>
      <c r="AA425"/>
      <c r="AB425"/>
      <c r="AC425" s="380"/>
      <c r="AD425" s="68"/>
    </row>
    <row r="426" spans="3:30" ht="10.5" customHeight="1">
      <c r="C426" s="1463" t="s">
        <v>4218</v>
      </c>
      <c r="D426" s="1460">
        <v>0</v>
      </c>
      <c r="E426" s="1460">
        <v>0</v>
      </c>
      <c r="F426" s="1461">
        <v>0</v>
      </c>
      <c r="G426" s="1472" t="s">
        <v>4218</v>
      </c>
      <c r="H426" s="1458">
        <v>0</v>
      </c>
      <c r="I426" s="1458">
        <v>0</v>
      </c>
      <c r="J426" s="1473">
        <v>0</v>
      </c>
      <c r="K426" s="1462"/>
      <c r="L426" s="1456">
        <v>13027960400</v>
      </c>
      <c r="M426" s="1457">
        <v>0</v>
      </c>
      <c r="N426" s="1457">
        <v>0</v>
      </c>
      <c r="O426" s="1457">
        <v>0</v>
      </c>
      <c r="P426" s="241" t="s">
        <v>2173</v>
      </c>
      <c r="Q426" s="241"/>
      <c r="R426" s="147"/>
      <c r="S426" s="236"/>
      <c r="T426" s="236" t="s">
        <v>987</v>
      </c>
      <c r="U426" s="236" t="s">
        <v>2288</v>
      </c>
      <c r="AA426"/>
      <c r="AB426"/>
      <c r="AC426" s="68"/>
      <c r="AD426" s="68"/>
    </row>
    <row r="427" spans="3:30" ht="10.5" customHeight="1">
      <c r="C427" s="1463" t="s">
        <v>4219</v>
      </c>
      <c r="D427" s="1460">
        <v>0</v>
      </c>
      <c r="E427" s="1460">
        <v>0</v>
      </c>
      <c r="F427" s="1461">
        <v>0</v>
      </c>
      <c r="G427" s="1472" t="s">
        <v>4219</v>
      </c>
      <c r="H427" s="1458">
        <v>0</v>
      </c>
      <c r="I427" s="1458">
        <v>0</v>
      </c>
      <c r="J427" s="1473">
        <v>0</v>
      </c>
      <c r="K427" s="1462"/>
      <c r="L427" s="1456">
        <v>13027960500</v>
      </c>
      <c r="M427" s="1457">
        <v>0</v>
      </c>
      <c r="N427" s="1457">
        <v>0</v>
      </c>
      <c r="O427" s="1457">
        <v>0</v>
      </c>
      <c r="P427" s="241" t="s">
        <v>442</v>
      </c>
      <c r="Q427" s="241"/>
      <c r="R427" s="147"/>
      <c r="S427" s="236"/>
      <c r="T427" s="392" t="s">
        <v>1834</v>
      </c>
      <c r="U427" s="392" t="s">
        <v>2211</v>
      </c>
      <c r="AA427"/>
      <c r="AB427"/>
      <c r="AC427" s="380"/>
      <c r="AD427" s="68"/>
    </row>
    <row r="428" spans="3:30" ht="10.5" customHeight="1">
      <c r="C428" s="1463" t="s">
        <v>4220</v>
      </c>
      <c r="D428" s="1460">
        <v>0</v>
      </c>
      <c r="E428" s="1460">
        <v>0</v>
      </c>
      <c r="F428" s="1461">
        <v>0</v>
      </c>
      <c r="G428" s="1472" t="s">
        <v>4220</v>
      </c>
      <c r="H428" s="1458">
        <v>0</v>
      </c>
      <c r="I428" s="1458">
        <v>0</v>
      </c>
      <c r="J428" s="1473">
        <v>0</v>
      </c>
      <c r="K428" s="1462"/>
      <c r="L428" s="1456">
        <v>13027960600</v>
      </c>
      <c r="M428" s="1457">
        <v>0</v>
      </c>
      <c r="N428" s="1457">
        <v>0</v>
      </c>
      <c r="O428" s="1457">
        <v>0</v>
      </c>
      <c r="P428" s="241" t="s">
        <v>443</v>
      </c>
      <c r="Q428" s="241"/>
      <c r="R428" s="147"/>
      <c r="S428" s="236"/>
      <c r="T428" s="392" t="s">
        <v>988</v>
      </c>
      <c r="U428" s="392" t="s">
        <v>152</v>
      </c>
      <c r="AA428"/>
      <c r="AB428"/>
      <c r="AC428" s="380"/>
      <c r="AD428" s="68"/>
    </row>
    <row r="429" spans="3:30" ht="10.5" customHeight="1">
      <c r="C429" s="1463" t="s">
        <v>4221</v>
      </c>
      <c r="D429" s="1460">
        <v>0</v>
      </c>
      <c r="E429" s="1460">
        <v>0</v>
      </c>
      <c r="F429" s="1461">
        <v>0</v>
      </c>
      <c r="G429" s="1472" t="s">
        <v>4221</v>
      </c>
      <c r="H429" s="1458">
        <v>0</v>
      </c>
      <c r="I429" s="1458">
        <v>0</v>
      </c>
      <c r="J429" s="1473">
        <v>0</v>
      </c>
      <c r="K429" s="1462"/>
      <c r="L429" s="1456">
        <v>13029920101</v>
      </c>
      <c r="M429" s="1457">
        <v>0</v>
      </c>
      <c r="N429" s="1457">
        <v>0</v>
      </c>
      <c r="O429" s="1457">
        <v>0</v>
      </c>
      <c r="P429" s="241" t="s">
        <v>445</v>
      </c>
      <c r="Q429" s="241"/>
      <c r="R429" s="147"/>
      <c r="S429" s="236"/>
      <c r="T429" s="392" t="s">
        <v>1836</v>
      </c>
      <c r="U429" s="392" t="s">
        <v>2211</v>
      </c>
      <c r="AA429"/>
      <c r="AB429"/>
      <c r="AC429" s="380"/>
      <c r="AD429" s="68"/>
    </row>
    <row r="430" spans="3:30" ht="10.5" customHeight="1">
      <c r="C430" s="1463" t="s">
        <v>4222</v>
      </c>
      <c r="D430" s="1460">
        <v>0</v>
      </c>
      <c r="E430" s="1460">
        <v>0</v>
      </c>
      <c r="F430" s="1461">
        <v>0</v>
      </c>
      <c r="G430" s="1472" t="s">
        <v>4222</v>
      </c>
      <c r="H430" s="1458">
        <v>0</v>
      </c>
      <c r="I430" s="1458">
        <v>0</v>
      </c>
      <c r="J430" s="1473">
        <v>0</v>
      </c>
      <c r="K430" s="1462"/>
      <c r="L430" s="1456">
        <v>13029920102</v>
      </c>
      <c r="M430" s="1457">
        <v>0</v>
      </c>
      <c r="N430" s="1457">
        <v>0</v>
      </c>
      <c r="O430" s="1457">
        <v>0</v>
      </c>
      <c r="P430" s="241" t="s">
        <v>447</v>
      </c>
      <c r="Q430" s="241"/>
      <c r="R430" s="147"/>
      <c r="S430" s="236"/>
      <c r="T430" s="392" t="s">
        <v>310</v>
      </c>
      <c r="U430" s="392" t="s">
        <v>1254</v>
      </c>
      <c r="AA430"/>
      <c r="AB430"/>
      <c r="AC430" s="380"/>
      <c r="AD430" s="68"/>
    </row>
    <row r="431" spans="3:30" ht="10.5" customHeight="1">
      <c r="C431" s="1463" t="s">
        <v>4223</v>
      </c>
      <c r="D431" s="1460">
        <v>1</v>
      </c>
      <c r="E431" s="1460">
        <v>1</v>
      </c>
      <c r="F431" s="1461">
        <v>2</v>
      </c>
      <c r="G431" s="1472" t="s">
        <v>4223</v>
      </c>
      <c r="H431" s="1458">
        <v>1</v>
      </c>
      <c r="I431" s="1458" t="s">
        <v>3911</v>
      </c>
      <c r="J431" s="1473">
        <v>1</v>
      </c>
      <c r="K431" s="1462"/>
      <c r="L431" s="1456">
        <v>13029920301</v>
      </c>
      <c r="M431" s="1457">
        <v>1</v>
      </c>
      <c r="N431" s="1457">
        <v>1</v>
      </c>
      <c r="O431" s="1457">
        <v>2</v>
      </c>
      <c r="P431" s="241" t="s">
        <v>1167</v>
      </c>
      <c r="Q431" s="241"/>
      <c r="R431" s="147"/>
      <c r="S431" s="236"/>
      <c r="T431" s="392" t="s">
        <v>1079</v>
      </c>
      <c r="U431" s="392" t="s">
        <v>813</v>
      </c>
      <c r="AA431"/>
      <c r="AB431"/>
      <c r="AC431" s="380"/>
      <c r="AD431" s="68"/>
    </row>
    <row r="432" spans="3:30" ht="10.5" customHeight="1">
      <c r="C432" s="1463" t="s">
        <v>4224</v>
      </c>
      <c r="D432" s="1460">
        <v>1</v>
      </c>
      <c r="E432" s="1460">
        <v>1</v>
      </c>
      <c r="F432" s="1461">
        <v>2</v>
      </c>
      <c r="G432" s="1472" t="s">
        <v>4224</v>
      </c>
      <c r="H432" s="1458">
        <v>0</v>
      </c>
      <c r="I432" s="1458">
        <v>0</v>
      </c>
      <c r="J432" s="1473">
        <v>0</v>
      </c>
      <c r="K432" s="1462"/>
      <c r="L432" s="1456">
        <v>13029920303</v>
      </c>
      <c r="M432" s="1457">
        <v>1</v>
      </c>
      <c r="N432" s="1457">
        <v>1</v>
      </c>
      <c r="O432" s="1457">
        <v>2</v>
      </c>
      <c r="P432" s="241" t="s">
        <v>1169</v>
      </c>
      <c r="Q432" s="241"/>
      <c r="R432" s="147"/>
      <c r="S432" s="236"/>
      <c r="T432" s="392" t="s">
        <v>1048</v>
      </c>
      <c r="U432" s="392" t="s">
        <v>816</v>
      </c>
      <c r="AA432"/>
      <c r="AB432"/>
      <c r="AC432" s="380"/>
      <c r="AD432" s="68"/>
    </row>
    <row r="433" spans="3:30" ht="10.5" customHeight="1">
      <c r="C433" s="1463" t="s">
        <v>4225</v>
      </c>
      <c r="D433" s="1460">
        <v>1</v>
      </c>
      <c r="E433" s="1460">
        <v>1</v>
      </c>
      <c r="F433" s="1461">
        <v>2</v>
      </c>
      <c r="G433" s="1472" t="s">
        <v>4225</v>
      </c>
      <c r="H433" s="1458">
        <v>1</v>
      </c>
      <c r="I433" s="1458">
        <v>1</v>
      </c>
      <c r="J433" s="1473">
        <v>2</v>
      </c>
      <c r="K433" s="1462"/>
      <c r="L433" s="1456">
        <v>13029920305</v>
      </c>
      <c r="M433" s="1457">
        <v>1</v>
      </c>
      <c r="N433" s="1457">
        <v>1</v>
      </c>
      <c r="O433" s="1457">
        <v>2</v>
      </c>
      <c r="P433" s="241" t="s">
        <v>1852</v>
      </c>
      <c r="Q433" s="241"/>
      <c r="R433" s="147"/>
      <c r="S433" s="236"/>
      <c r="T433" s="392" t="s">
        <v>312</v>
      </c>
      <c r="U433" s="392" t="s">
        <v>1029</v>
      </c>
      <c r="AA433"/>
      <c r="AB433"/>
      <c r="AC433" s="380"/>
      <c r="AD433" s="68"/>
    </row>
    <row r="434" spans="3:30" ht="10.5" customHeight="1">
      <c r="C434" s="1463" t="s">
        <v>4226</v>
      </c>
      <c r="D434" s="1460">
        <v>1</v>
      </c>
      <c r="E434" s="1460">
        <v>1</v>
      </c>
      <c r="F434" s="1461">
        <v>2</v>
      </c>
      <c r="G434" s="1472" t="s">
        <v>4226</v>
      </c>
      <c r="H434" s="1458">
        <v>1</v>
      </c>
      <c r="I434" s="1458">
        <v>1</v>
      </c>
      <c r="J434" s="1473">
        <v>2</v>
      </c>
      <c r="K434" s="1462"/>
      <c r="L434" s="1456">
        <v>13029920306</v>
      </c>
      <c r="M434" s="1457">
        <v>1</v>
      </c>
      <c r="N434" s="1457">
        <v>1</v>
      </c>
      <c r="O434" s="1457">
        <v>2</v>
      </c>
      <c r="P434" s="241" t="s">
        <v>1853</v>
      </c>
      <c r="Q434" s="241"/>
      <c r="R434" s="147"/>
      <c r="S434" s="236"/>
      <c r="T434" s="392" t="s">
        <v>315</v>
      </c>
      <c r="U434" s="392" t="s">
        <v>310</v>
      </c>
      <c r="AA434"/>
      <c r="AB434"/>
      <c r="AC434" s="380"/>
      <c r="AD434" s="68"/>
    </row>
    <row r="435" spans="3:30" ht="10.5" customHeight="1">
      <c r="C435" s="1463" t="s">
        <v>4227</v>
      </c>
      <c r="D435" s="1460" t="s">
        <v>3911</v>
      </c>
      <c r="E435" s="1460" t="s">
        <v>3911</v>
      </c>
      <c r="F435" s="1461">
        <v>0</v>
      </c>
      <c r="G435" s="1472" t="s">
        <v>4227</v>
      </c>
      <c r="H435" s="1458" t="s">
        <v>3911</v>
      </c>
      <c r="I435" s="1458" t="s">
        <v>3911</v>
      </c>
      <c r="J435" s="1473">
        <v>0</v>
      </c>
      <c r="K435" s="1462"/>
      <c r="L435" s="1456">
        <v>13029980000</v>
      </c>
      <c r="M435" s="1457">
        <v>0</v>
      </c>
      <c r="N435" s="1457">
        <v>0</v>
      </c>
      <c r="O435" s="1457">
        <v>0</v>
      </c>
      <c r="P435" s="241" t="s">
        <v>70</v>
      </c>
      <c r="Q435" s="241"/>
      <c r="R435" s="147"/>
      <c r="S435" s="236"/>
      <c r="T435" s="236" t="s">
        <v>68</v>
      </c>
      <c r="U435" s="236" t="s">
        <v>1780</v>
      </c>
      <c r="AA435"/>
      <c r="AB435"/>
      <c r="AC435" s="68"/>
      <c r="AD435" s="68"/>
    </row>
    <row r="436" spans="3:30" ht="10.5" customHeight="1">
      <c r="C436" s="1463" t="s">
        <v>4228</v>
      </c>
      <c r="D436" s="1460">
        <v>0</v>
      </c>
      <c r="E436" s="1460">
        <v>0</v>
      </c>
      <c r="F436" s="1461">
        <v>0</v>
      </c>
      <c r="G436" s="1472" t="s">
        <v>4228</v>
      </c>
      <c r="H436" s="1458">
        <v>0</v>
      </c>
      <c r="I436" s="1458">
        <v>0</v>
      </c>
      <c r="J436" s="1473">
        <v>0</v>
      </c>
      <c r="K436" s="1462"/>
      <c r="L436" s="1456">
        <v>13031110100</v>
      </c>
      <c r="M436" s="1457">
        <v>0</v>
      </c>
      <c r="N436" s="1457">
        <v>0</v>
      </c>
      <c r="O436" s="1457">
        <v>0</v>
      </c>
      <c r="P436" s="241" t="s">
        <v>72</v>
      </c>
      <c r="Q436" s="241"/>
      <c r="R436" s="147"/>
      <c r="S436" s="236"/>
      <c r="T436" s="236" t="s">
        <v>2080</v>
      </c>
      <c r="U436" s="236" t="s">
        <v>1254</v>
      </c>
      <c r="AA436"/>
      <c r="AB436"/>
      <c r="AC436" s="68"/>
      <c r="AD436" s="68"/>
    </row>
    <row r="437" spans="3:30" ht="10.5" customHeight="1">
      <c r="C437" s="1463" t="s">
        <v>4229</v>
      </c>
      <c r="D437" s="1460">
        <v>0</v>
      </c>
      <c r="E437" s="1460">
        <v>0</v>
      </c>
      <c r="F437" s="1461">
        <v>0</v>
      </c>
      <c r="G437" s="1472" t="s">
        <v>4229</v>
      </c>
      <c r="H437" s="1458">
        <v>1</v>
      </c>
      <c r="I437" s="1458">
        <v>0</v>
      </c>
      <c r="J437" s="1473">
        <v>1</v>
      </c>
      <c r="K437" s="1462"/>
      <c r="L437" s="1456">
        <v>13031110200</v>
      </c>
      <c r="M437" s="1457">
        <v>1</v>
      </c>
      <c r="N437" s="1457">
        <v>0</v>
      </c>
      <c r="O437" s="1457">
        <v>1</v>
      </c>
      <c r="P437" s="241" t="s">
        <v>2222</v>
      </c>
      <c r="Q437" s="241"/>
      <c r="R437" s="147"/>
      <c r="S437" s="236"/>
      <c r="T437" s="392" t="s">
        <v>1631</v>
      </c>
      <c r="U437" s="392" t="s">
        <v>1864</v>
      </c>
      <c r="AA437"/>
      <c r="AB437"/>
      <c r="AC437" s="380"/>
      <c r="AD437" s="68"/>
    </row>
    <row r="438" spans="3:30" ht="10.5" customHeight="1">
      <c r="C438" s="1463" t="s">
        <v>4230</v>
      </c>
      <c r="D438" s="1460">
        <v>1</v>
      </c>
      <c r="E438" s="1460">
        <v>1</v>
      </c>
      <c r="F438" s="1461">
        <v>2</v>
      </c>
      <c r="G438" s="1472" t="s">
        <v>4230</v>
      </c>
      <c r="H438" s="1458">
        <v>1</v>
      </c>
      <c r="I438" s="1458">
        <v>1</v>
      </c>
      <c r="J438" s="1473">
        <v>2</v>
      </c>
      <c r="K438" s="1462"/>
      <c r="L438" s="1456">
        <v>13031110300</v>
      </c>
      <c r="M438" s="1457">
        <v>1</v>
      </c>
      <c r="N438" s="1457">
        <v>1</v>
      </c>
      <c r="O438" s="1457">
        <v>2</v>
      </c>
      <c r="P438" s="241" t="s">
        <v>2040</v>
      </c>
      <c r="Q438" s="241"/>
      <c r="R438" s="147"/>
      <c r="S438" s="236"/>
      <c r="T438" s="392" t="s">
        <v>1633</v>
      </c>
      <c r="U438" s="392" t="s">
        <v>102</v>
      </c>
      <c r="AA438"/>
      <c r="AB438"/>
      <c r="AC438" s="380"/>
      <c r="AD438" s="68"/>
    </row>
    <row r="439" spans="3:30" ht="10.5" customHeight="1">
      <c r="C439" s="1463" t="s">
        <v>4231</v>
      </c>
      <c r="D439" s="1460">
        <v>0</v>
      </c>
      <c r="E439" s="1460">
        <v>0</v>
      </c>
      <c r="F439" s="1461">
        <v>0</v>
      </c>
      <c r="G439" s="1472" t="s">
        <v>4231</v>
      </c>
      <c r="H439" s="1458">
        <v>0</v>
      </c>
      <c r="I439" s="1458">
        <v>0</v>
      </c>
      <c r="J439" s="1473">
        <v>0</v>
      </c>
      <c r="K439" s="1462"/>
      <c r="L439" s="1456">
        <v>13031110401</v>
      </c>
      <c r="M439" s="1457">
        <v>0</v>
      </c>
      <c r="N439" s="1457">
        <v>0</v>
      </c>
      <c r="O439" s="1457">
        <v>0</v>
      </c>
      <c r="P439" s="241" t="s">
        <v>2041</v>
      </c>
      <c r="Q439" s="241"/>
      <c r="R439" s="147"/>
      <c r="S439" s="236"/>
      <c r="T439" s="392" t="s">
        <v>645</v>
      </c>
      <c r="U439" s="392" t="s">
        <v>1133</v>
      </c>
      <c r="AA439"/>
      <c r="AB439"/>
      <c r="AC439" s="380"/>
      <c r="AD439" s="68"/>
    </row>
    <row r="440" spans="3:30" ht="10.5" customHeight="1">
      <c r="C440" s="1463" t="s">
        <v>4232</v>
      </c>
      <c r="D440" s="1460">
        <v>0</v>
      </c>
      <c r="E440" s="1460">
        <v>1</v>
      </c>
      <c r="F440" s="1461">
        <v>1</v>
      </c>
      <c r="G440" s="1472" t="s">
        <v>4232</v>
      </c>
      <c r="H440" s="1458">
        <v>0</v>
      </c>
      <c r="I440" s="1458" t="s">
        <v>3911</v>
      </c>
      <c r="J440" s="1473">
        <v>0</v>
      </c>
      <c r="K440" s="1462"/>
      <c r="L440" s="1456">
        <v>13031110403</v>
      </c>
      <c r="M440" s="1457">
        <v>0</v>
      </c>
      <c r="N440" s="1457">
        <v>1</v>
      </c>
      <c r="O440" s="1457">
        <v>1</v>
      </c>
      <c r="P440" s="241" t="s">
        <v>903</v>
      </c>
      <c r="Q440" s="241"/>
      <c r="R440" s="147"/>
      <c r="S440" s="236"/>
      <c r="T440" s="392" t="s">
        <v>2172</v>
      </c>
      <c r="U440" s="392" t="s">
        <v>2288</v>
      </c>
      <c r="AA440"/>
      <c r="AB440"/>
      <c r="AC440" s="380"/>
      <c r="AD440" s="68"/>
    </row>
    <row r="441" spans="3:30" ht="10.5" customHeight="1">
      <c r="C441" s="1463" t="s">
        <v>4233</v>
      </c>
      <c r="D441" s="1460">
        <v>0</v>
      </c>
      <c r="E441" s="1460">
        <v>1</v>
      </c>
      <c r="F441" s="1461">
        <v>1</v>
      </c>
      <c r="G441" s="1472" t="s">
        <v>4233</v>
      </c>
      <c r="H441" s="1458">
        <v>0</v>
      </c>
      <c r="I441" s="1458" t="s">
        <v>3911</v>
      </c>
      <c r="J441" s="1473">
        <v>0</v>
      </c>
      <c r="K441" s="1462"/>
      <c r="L441" s="1456">
        <v>13031110404</v>
      </c>
      <c r="M441" s="1457">
        <v>0</v>
      </c>
      <c r="N441" s="1457">
        <v>1</v>
      </c>
      <c r="O441" s="1457">
        <v>1</v>
      </c>
      <c r="P441" s="241" t="s">
        <v>905</v>
      </c>
      <c r="Q441" s="241"/>
      <c r="R441" s="147"/>
      <c r="S441" s="236"/>
      <c r="T441" s="392" t="s">
        <v>2174</v>
      </c>
      <c r="U441" s="392" t="s">
        <v>2023</v>
      </c>
      <c r="AA441"/>
      <c r="AB441"/>
      <c r="AC441" s="380"/>
      <c r="AD441" s="68"/>
    </row>
    <row r="442" spans="3:30" ht="10.5" customHeight="1">
      <c r="C442" s="1463" t="s">
        <v>4234</v>
      </c>
      <c r="D442" s="1460">
        <v>0</v>
      </c>
      <c r="E442" s="1460">
        <v>0</v>
      </c>
      <c r="F442" s="1461">
        <v>0</v>
      </c>
      <c r="G442" s="1472" t="s">
        <v>4234</v>
      </c>
      <c r="H442" s="1458">
        <v>0</v>
      </c>
      <c r="I442" s="1458" t="s">
        <v>3911</v>
      </c>
      <c r="J442" s="1473">
        <v>0</v>
      </c>
      <c r="K442" s="1462"/>
      <c r="L442" s="1456">
        <v>13031110500</v>
      </c>
      <c r="M442" s="1457">
        <v>0</v>
      </c>
      <c r="N442" s="1457">
        <v>0</v>
      </c>
      <c r="O442" s="1457">
        <v>0</v>
      </c>
      <c r="P442" s="241" t="s">
        <v>1395</v>
      </c>
      <c r="Q442" s="241"/>
      <c r="R442" s="147"/>
      <c r="S442" s="236"/>
      <c r="T442" s="392" t="s">
        <v>444</v>
      </c>
      <c r="U442" s="392" t="s">
        <v>2291</v>
      </c>
      <c r="AA442"/>
      <c r="AB442"/>
      <c r="AC442" s="380"/>
      <c r="AD442" s="68"/>
    </row>
    <row r="443" spans="3:30" ht="10.5" customHeight="1">
      <c r="C443" s="1463" t="s">
        <v>4235</v>
      </c>
      <c r="D443" s="1460">
        <v>1</v>
      </c>
      <c r="E443" s="1460">
        <v>0</v>
      </c>
      <c r="F443" s="1461">
        <v>1</v>
      </c>
      <c r="G443" s="1472" t="s">
        <v>4235</v>
      </c>
      <c r="H443" s="1458">
        <v>0</v>
      </c>
      <c r="I443" s="1458">
        <v>1</v>
      </c>
      <c r="J443" s="1473">
        <v>1</v>
      </c>
      <c r="K443" s="1462"/>
      <c r="L443" s="1456">
        <v>13031110601</v>
      </c>
      <c r="M443" s="1457">
        <v>1</v>
      </c>
      <c r="N443" s="1457">
        <v>1</v>
      </c>
      <c r="O443" s="1457">
        <v>1</v>
      </c>
      <c r="P443" s="241" t="s">
        <v>1396</v>
      </c>
      <c r="Q443" s="241"/>
      <c r="R443" s="147"/>
      <c r="S443" s="236"/>
      <c r="T443" s="392" t="s">
        <v>446</v>
      </c>
      <c r="U443" s="392" t="s">
        <v>1252</v>
      </c>
      <c r="AA443"/>
      <c r="AB443"/>
      <c r="AC443" s="380"/>
      <c r="AD443" s="68"/>
    </row>
    <row r="444" spans="3:30" ht="10.5" customHeight="1">
      <c r="C444" s="1463" t="s">
        <v>4236</v>
      </c>
      <c r="D444" s="1460">
        <v>0</v>
      </c>
      <c r="E444" s="1460">
        <v>0</v>
      </c>
      <c r="F444" s="1461">
        <v>0</v>
      </c>
      <c r="G444" s="1472" t="s">
        <v>4236</v>
      </c>
      <c r="H444" s="1458">
        <v>0</v>
      </c>
      <c r="I444" s="1458">
        <v>0</v>
      </c>
      <c r="J444" s="1473">
        <v>0</v>
      </c>
      <c r="K444" s="1462"/>
      <c r="L444" s="1456">
        <v>13031110602</v>
      </c>
      <c r="M444" s="1457">
        <v>0</v>
      </c>
      <c r="N444" s="1457">
        <v>0</v>
      </c>
      <c r="O444" s="1457">
        <v>0</v>
      </c>
      <c r="P444" s="241" t="s">
        <v>1398</v>
      </c>
      <c r="Q444" s="241"/>
      <c r="R444" s="147"/>
      <c r="S444" s="236"/>
      <c r="T444" s="392" t="s">
        <v>989</v>
      </c>
      <c r="U444" s="392" t="s">
        <v>1257</v>
      </c>
      <c r="AA444"/>
      <c r="AB444"/>
      <c r="AC444" s="380"/>
      <c r="AD444" s="68"/>
    </row>
    <row r="445" spans="3:30" ht="10.5" customHeight="1">
      <c r="C445" s="1463" t="s">
        <v>4237</v>
      </c>
      <c r="D445" s="1460">
        <v>1</v>
      </c>
      <c r="E445" s="1460">
        <v>1</v>
      </c>
      <c r="F445" s="1461">
        <v>2</v>
      </c>
      <c r="G445" s="1472" t="s">
        <v>4237</v>
      </c>
      <c r="H445" s="1458">
        <v>1</v>
      </c>
      <c r="I445" s="1458">
        <v>1</v>
      </c>
      <c r="J445" s="1473">
        <v>2</v>
      </c>
      <c r="K445" s="1462"/>
      <c r="L445" s="1456">
        <v>13031110700</v>
      </c>
      <c r="M445" s="1457">
        <v>1</v>
      </c>
      <c r="N445" s="1457">
        <v>1</v>
      </c>
      <c r="O445" s="1457">
        <v>2</v>
      </c>
      <c r="P445" s="241" t="s">
        <v>1400</v>
      </c>
      <c r="Q445" s="241"/>
      <c r="R445" s="147"/>
      <c r="S445" s="236"/>
      <c r="T445" s="392" t="s">
        <v>448</v>
      </c>
      <c r="U445" s="392" t="s">
        <v>1257</v>
      </c>
      <c r="AA445"/>
      <c r="AB445"/>
      <c r="AC445" s="380"/>
      <c r="AD445" s="68"/>
    </row>
    <row r="446" spans="3:30" ht="10.5" customHeight="1">
      <c r="C446" s="1463" t="s">
        <v>4238</v>
      </c>
      <c r="D446" s="1460">
        <v>0</v>
      </c>
      <c r="E446" s="1460">
        <v>0</v>
      </c>
      <c r="F446" s="1461">
        <v>0</v>
      </c>
      <c r="G446" s="1472" t="s">
        <v>4238</v>
      </c>
      <c r="H446" s="1458">
        <v>0</v>
      </c>
      <c r="I446" s="1458">
        <v>0</v>
      </c>
      <c r="J446" s="1473">
        <v>0</v>
      </c>
      <c r="K446" s="1462"/>
      <c r="L446" s="1456">
        <v>13031110800</v>
      </c>
      <c r="M446" s="1457">
        <v>0</v>
      </c>
      <c r="N446" s="1457">
        <v>0</v>
      </c>
      <c r="O446" s="1457">
        <v>0</v>
      </c>
      <c r="P446" s="241" t="s">
        <v>1402</v>
      </c>
      <c r="Q446" s="241"/>
      <c r="R446" s="147"/>
      <c r="S446" s="236"/>
      <c r="T446" s="236" t="s">
        <v>1168</v>
      </c>
      <c r="U446" s="236" t="s">
        <v>1237</v>
      </c>
      <c r="AA446"/>
      <c r="AB446"/>
      <c r="AC446" s="68"/>
      <c r="AD446" s="68"/>
    </row>
    <row r="447" spans="3:30" ht="10.5" customHeight="1">
      <c r="C447" s="1463" t="s">
        <v>4239</v>
      </c>
      <c r="D447" s="1460">
        <v>0</v>
      </c>
      <c r="E447" s="1460">
        <v>0</v>
      </c>
      <c r="F447" s="1461">
        <v>0</v>
      </c>
      <c r="G447" s="1472" t="s">
        <v>4239</v>
      </c>
      <c r="H447" s="1458">
        <v>0</v>
      </c>
      <c r="I447" s="1458">
        <v>0</v>
      </c>
      <c r="J447" s="1473">
        <v>0</v>
      </c>
      <c r="K447" s="1462"/>
      <c r="L447" s="1456">
        <v>13031110900</v>
      </c>
      <c r="M447" s="1457">
        <v>0</v>
      </c>
      <c r="N447" s="1457">
        <v>0</v>
      </c>
      <c r="O447" s="1457">
        <v>0</v>
      </c>
      <c r="P447" s="241" t="s">
        <v>2159</v>
      </c>
      <c r="Q447" s="241"/>
      <c r="R447" s="147"/>
      <c r="S447" s="236"/>
      <c r="T447" s="392" t="s">
        <v>1170</v>
      </c>
      <c r="U447" s="392" t="s">
        <v>319</v>
      </c>
      <c r="AA447"/>
      <c r="AB447"/>
      <c r="AC447" s="380"/>
      <c r="AD447" s="68"/>
    </row>
    <row r="448" spans="3:30" ht="10.5" customHeight="1">
      <c r="C448" s="1463" t="s">
        <v>4240</v>
      </c>
      <c r="D448" s="1460">
        <v>0</v>
      </c>
      <c r="E448" s="1460">
        <v>0</v>
      </c>
      <c r="F448" s="1461">
        <v>0</v>
      </c>
      <c r="G448" s="1472" t="s">
        <v>4240</v>
      </c>
      <c r="H448" s="1458">
        <v>0</v>
      </c>
      <c r="I448" s="1458">
        <v>0</v>
      </c>
      <c r="J448" s="1473">
        <v>0</v>
      </c>
      <c r="K448" s="1462"/>
      <c r="L448" s="1456">
        <v>13033950100</v>
      </c>
      <c r="M448" s="1457">
        <v>0</v>
      </c>
      <c r="N448" s="1457">
        <v>0</v>
      </c>
      <c r="O448" s="1457">
        <v>0</v>
      </c>
      <c r="P448" s="241" t="s">
        <v>2391</v>
      </c>
      <c r="Q448" s="241"/>
      <c r="R448" s="147"/>
      <c r="S448" s="236"/>
      <c r="T448" s="392" t="s">
        <v>2545</v>
      </c>
      <c r="U448" s="392" t="s">
        <v>2331</v>
      </c>
      <c r="AA448"/>
      <c r="AB448"/>
      <c r="AC448" s="380"/>
      <c r="AD448" s="68"/>
    </row>
    <row r="449" spans="3:30" ht="10.5" customHeight="1">
      <c r="C449" s="1463" t="s">
        <v>4241</v>
      </c>
      <c r="D449" s="1460">
        <v>0</v>
      </c>
      <c r="E449" s="1460">
        <v>0</v>
      </c>
      <c r="F449" s="1461">
        <v>0</v>
      </c>
      <c r="G449" s="1472" t="s">
        <v>4241</v>
      </c>
      <c r="H449" s="1458">
        <v>0</v>
      </c>
      <c r="I449" s="1458" t="s">
        <v>3911</v>
      </c>
      <c r="J449" s="1473">
        <v>0</v>
      </c>
      <c r="K449" s="1462"/>
      <c r="L449" s="1456">
        <v>13033950200</v>
      </c>
      <c r="M449" s="1457">
        <v>0</v>
      </c>
      <c r="N449" s="1457">
        <v>0</v>
      </c>
      <c r="O449" s="1457">
        <v>0</v>
      </c>
      <c r="P449" s="241" t="s">
        <v>1206</v>
      </c>
      <c r="Q449" s="241"/>
      <c r="R449" s="147"/>
      <c r="S449" s="236"/>
      <c r="T449" s="392" t="s">
        <v>1854</v>
      </c>
      <c r="U449" s="392" t="s">
        <v>1863</v>
      </c>
      <c r="AA449"/>
      <c r="AB449"/>
      <c r="AC449" s="380"/>
      <c r="AD449" s="68"/>
    </row>
    <row r="450" spans="3:30" ht="10.5" customHeight="1">
      <c r="C450" s="1463" t="s">
        <v>4242</v>
      </c>
      <c r="D450" s="1460">
        <v>0</v>
      </c>
      <c r="E450" s="1460">
        <v>0</v>
      </c>
      <c r="F450" s="1461">
        <v>0</v>
      </c>
      <c r="G450" s="1472" t="s">
        <v>4242</v>
      </c>
      <c r="H450" s="1458">
        <v>0</v>
      </c>
      <c r="I450" s="1458">
        <v>0</v>
      </c>
      <c r="J450" s="1473">
        <v>0</v>
      </c>
      <c r="K450" s="1462"/>
      <c r="L450" s="1456">
        <v>13033950400</v>
      </c>
      <c r="M450" s="1457">
        <v>0</v>
      </c>
      <c r="N450" s="1457">
        <v>0</v>
      </c>
      <c r="O450" s="1457">
        <v>0</v>
      </c>
      <c r="P450" s="241" t="s">
        <v>1412</v>
      </c>
      <c r="Q450" s="241"/>
      <c r="R450" s="147"/>
      <c r="S450" s="236"/>
      <c r="T450" s="392" t="s">
        <v>71</v>
      </c>
      <c r="U450" s="392" t="s">
        <v>1776</v>
      </c>
      <c r="AA450"/>
      <c r="AB450"/>
      <c r="AC450" s="380"/>
      <c r="AD450" s="68"/>
    </row>
    <row r="451" spans="3:30" ht="10.5" customHeight="1">
      <c r="C451" s="1463" t="s">
        <v>4243</v>
      </c>
      <c r="D451" s="1460">
        <v>0</v>
      </c>
      <c r="E451" s="1460">
        <v>0</v>
      </c>
      <c r="F451" s="1461">
        <v>0</v>
      </c>
      <c r="G451" s="1472" t="s">
        <v>4243</v>
      </c>
      <c r="H451" s="1458">
        <v>0</v>
      </c>
      <c r="I451" s="1458">
        <v>0</v>
      </c>
      <c r="J451" s="1473">
        <v>0</v>
      </c>
      <c r="K451" s="1462"/>
      <c r="L451" s="1456">
        <v>13033950500</v>
      </c>
      <c r="M451" s="1457">
        <v>0</v>
      </c>
      <c r="N451" s="1457">
        <v>0</v>
      </c>
      <c r="O451" s="1457">
        <v>0</v>
      </c>
      <c r="P451" s="241" t="s">
        <v>762</v>
      </c>
      <c r="Q451" s="241"/>
      <c r="R451" s="147"/>
      <c r="S451" s="236"/>
      <c r="T451" s="392" t="s">
        <v>589</v>
      </c>
      <c r="U451" s="392" t="s">
        <v>2288</v>
      </c>
      <c r="AA451"/>
      <c r="AB451"/>
      <c r="AC451" s="380"/>
      <c r="AD451" s="68"/>
    </row>
    <row r="452" spans="3:30" ht="10.5" customHeight="1">
      <c r="C452" s="1463" t="s">
        <v>4244</v>
      </c>
      <c r="D452" s="1460">
        <v>0</v>
      </c>
      <c r="E452" s="1460">
        <v>0</v>
      </c>
      <c r="F452" s="1461">
        <v>0</v>
      </c>
      <c r="G452" s="1472" t="s">
        <v>4244</v>
      </c>
      <c r="H452" s="1458">
        <v>0</v>
      </c>
      <c r="I452" s="1458">
        <v>0</v>
      </c>
      <c r="J452" s="1473">
        <v>0</v>
      </c>
      <c r="K452" s="1462"/>
      <c r="L452" s="1456">
        <v>13033950700</v>
      </c>
      <c r="M452" s="1457">
        <v>0</v>
      </c>
      <c r="N452" s="1457">
        <v>0</v>
      </c>
      <c r="O452" s="1457">
        <v>0</v>
      </c>
      <c r="P452" s="241" t="s">
        <v>763</v>
      </c>
      <c r="Q452" s="241"/>
      <c r="R452" s="147"/>
      <c r="S452" s="236"/>
      <c r="T452" s="392" t="s">
        <v>73</v>
      </c>
      <c r="U452" s="392" t="s">
        <v>168</v>
      </c>
      <c r="AA452"/>
      <c r="AB452"/>
      <c r="AC452" s="380"/>
      <c r="AD452" s="68"/>
    </row>
    <row r="453" spans="3:30" ht="10.5" customHeight="1">
      <c r="C453" s="1463" t="s">
        <v>4245</v>
      </c>
      <c r="D453" s="1460">
        <v>0</v>
      </c>
      <c r="E453" s="1460">
        <v>0</v>
      </c>
      <c r="F453" s="1461">
        <v>0</v>
      </c>
      <c r="G453" s="1472" t="s">
        <v>4245</v>
      </c>
      <c r="H453" s="1458">
        <v>0</v>
      </c>
      <c r="I453" s="1458">
        <v>0</v>
      </c>
      <c r="J453" s="1473">
        <v>0</v>
      </c>
      <c r="K453" s="1462"/>
      <c r="L453" s="1456">
        <v>13033950900</v>
      </c>
      <c r="M453" s="1457">
        <v>0</v>
      </c>
      <c r="N453" s="1457">
        <v>0</v>
      </c>
      <c r="O453" s="1457">
        <v>0</v>
      </c>
      <c r="P453" s="241" t="s">
        <v>765</v>
      </c>
      <c r="Q453" s="241"/>
      <c r="R453" s="147"/>
      <c r="S453" s="236"/>
      <c r="T453" s="392" t="s">
        <v>2223</v>
      </c>
      <c r="U453" s="392" t="s">
        <v>1363</v>
      </c>
      <c r="AA453"/>
      <c r="AB453"/>
      <c r="AC453" s="380"/>
      <c r="AD453" s="68"/>
    </row>
    <row r="454" spans="3:30" ht="10.5" customHeight="1">
      <c r="C454" s="1463" t="s">
        <v>4246</v>
      </c>
      <c r="D454" s="1460">
        <v>0</v>
      </c>
      <c r="E454" s="1460">
        <v>1</v>
      </c>
      <c r="F454" s="1461">
        <v>1</v>
      </c>
      <c r="G454" s="1472" t="s">
        <v>4246</v>
      </c>
      <c r="H454" s="1458">
        <v>0</v>
      </c>
      <c r="I454" s="1458">
        <v>0</v>
      </c>
      <c r="J454" s="1473">
        <v>0</v>
      </c>
      <c r="K454" s="1462"/>
      <c r="L454" s="1456">
        <v>13035150100</v>
      </c>
      <c r="M454" s="1457">
        <v>0</v>
      </c>
      <c r="N454" s="1457">
        <v>1</v>
      </c>
      <c r="O454" s="1457">
        <v>1</v>
      </c>
      <c r="P454" s="241" t="s">
        <v>766</v>
      </c>
      <c r="Q454" s="241"/>
      <c r="R454" s="147"/>
      <c r="S454" s="236"/>
      <c r="T454" s="392" t="s">
        <v>990</v>
      </c>
      <c r="U454" s="392" t="s">
        <v>1424</v>
      </c>
      <c r="AA454"/>
      <c r="AB454"/>
      <c r="AC454" s="380"/>
      <c r="AD454" s="68"/>
    </row>
    <row r="455" spans="3:30" ht="10.5" customHeight="1">
      <c r="C455" s="1463" t="s">
        <v>4247</v>
      </c>
      <c r="D455" s="1460">
        <v>0</v>
      </c>
      <c r="E455" s="1460">
        <v>0</v>
      </c>
      <c r="F455" s="1461">
        <v>0</v>
      </c>
      <c r="G455" s="1472" t="s">
        <v>4247</v>
      </c>
      <c r="H455" s="1458">
        <v>0</v>
      </c>
      <c r="I455" s="1458">
        <v>0</v>
      </c>
      <c r="J455" s="1473">
        <v>0</v>
      </c>
      <c r="K455" s="1462"/>
      <c r="L455" s="1456">
        <v>13035150200</v>
      </c>
      <c r="M455" s="1457">
        <v>0</v>
      </c>
      <c r="N455" s="1457">
        <v>0</v>
      </c>
      <c r="O455" s="1457">
        <v>0</v>
      </c>
      <c r="P455" s="241" t="s">
        <v>113</v>
      </c>
      <c r="Q455" s="241"/>
      <c r="R455" s="147"/>
      <c r="S455" s="236"/>
      <c r="T455" s="392" t="s">
        <v>991</v>
      </c>
      <c r="U455" s="392" t="s">
        <v>1046</v>
      </c>
      <c r="AA455"/>
      <c r="AB455"/>
      <c r="AC455" s="380"/>
      <c r="AD455" s="68"/>
    </row>
    <row r="456" spans="3:30" ht="10.5" customHeight="1">
      <c r="C456" s="1463" t="s">
        <v>4248</v>
      </c>
      <c r="D456" s="1460">
        <v>0</v>
      </c>
      <c r="E456" s="1460">
        <v>1</v>
      </c>
      <c r="F456" s="1461">
        <v>1</v>
      </c>
      <c r="G456" s="1472" t="s">
        <v>4248</v>
      </c>
      <c r="H456" s="1458">
        <v>0</v>
      </c>
      <c r="I456" s="1458">
        <v>1</v>
      </c>
      <c r="J456" s="1473">
        <v>1</v>
      </c>
      <c r="K456" s="1462"/>
      <c r="L456" s="1456">
        <v>13035150300</v>
      </c>
      <c r="M456" s="1457">
        <v>0</v>
      </c>
      <c r="N456" s="1457">
        <v>1</v>
      </c>
      <c r="O456" s="1457">
        <v>1</v>
      </c>
      <c r="P456" s="241" t="s">
        <v>239</v>
      </c>
      <c r="Q456" s="241"/>
      <c r="R456" s="147"/>
      <c r="S456" s="236"/>
      <c r="T456" s="392" t="s">
        <v>571</v>
      </c>
      <c r="U456" s="392" t="s">
        <v>614</v>
      </c>
      <c r="AA456"/>
      <c r="AB456"/>
      <c r="AC456" s="380"/>
      <c r="AD456" s="68"/>
    </row>
    <row r="457" spans="3:30" ht="10.5" customHeight="1">
      <c r="C457" s="1463" t="s">
        <v>4249</v>
      </c>
      <c r="D457" s="1460">
        <v>0</v>
      </c>
      <c r="E457" s="1460">
        <v>0</v>
      </c>
      <c r="F457" s="1461">
        <v>0</v>
      </c>
      <c r="G457" s="1472" t="s">
        <v>4249</v>
      </c>
      <c r="H457" s="1458">
        <v>0</v>
      </c>
      <c r="I457" s="1458">
        <v>1</v>
      </c>
      <c r="J457" s="1473">
        <v>1</v>
      </c>
      <c r="K457" s="1462"/>
      <c r="L457" s="1456">
        <v>13037950100</v>
      </c>
      <c r="M457" s="1457">
        <v>0</v>
      </c>
      <c r="N457" s="1457">
        <v>1</v>
      </c>
      <c r="O457" s="1457">
        <v>1</v>
      </c>
      <c r="P457" s="241" t="s">
        <v>1409</v>
      </c>
      <c r="Q457" s="241"/>
      <c r="R457" s="147"/>
      <c r="S457" s="236"/>
      <c r="T457" s="392" t="s">
        <v>904</v>
      </c>
      <c r="U457" s="392" t="s">
        <v>115</v>
      </c>
      <c r="AA457"/>
      <c r="AB457"/>
      <c r="AC457" s="380"/>
      <c r="AD457" s="68"/>
    </row>
    <row r="458" spans="3:30" ht="10.5" customHeight="1">
      <c r="C458" s="1463" t="s">
        <v>4250</v>
      </c>
      <c r="D458" s="1460">
        <v>0</v>
      </c>
      <c r="E458" s="1460">
        <v>0</v>
      </c>
      <c r="F458" s="1461">
        <v>0</v>
      </c>
      <c r="G458" s="1472" t="s">
        <v>4250</v>
      </c>
      <c r="H458" s="1458">
        <v>0</v>
      </c>
      <c r="I458" s="1458">
        <v>0</v>
      </c>
      <c r="J458" s="1473">
        <v>0</v>
      </c>
      <c r="K458" s="1462"/>
      <c r="L458" s="1456">
        <v>13037950200</v>
      </c>
      <c r="M458" s="1457">
        <v>0</v>
      </c>
      <c r="N458" s="1457">
        <v>0</v>
      </c>
      <c r="O458" s="1457">
        <v>0</v>
      </c>
      <c r="P458" s="241" t="s">
        <v>234</v>
      </c>
      <c r="Q458" s="241"/>
      <c r="R458" s="147"/>
      <c r="S458" s="236"/>
      <c r="T458" s="392" t="s">
        <v>906</v>
      </c>
      <c r="U458" s="392" t="s">
        <v>1255</v>
      </c>
      <c r="AA458"/>
      <c r="AB458"/>
      <c r="AC458" s="380"/>
      <c r="AD458" s="68"/>
    </row>
    <row r="459" spans="3:30" ht="10.5" customHeight="1">
      <c r="C459" s="1463" t="s">
        <v>4251</v>
      </c>
      <c r="D459" s="1460">
        <v>0</v>
      </c>
      <c r="E459" s="1460">
        <v>0</v>
      </c>
      <c r="F459" s="1461">
        <v>0</v>
      </c>
      <c r="G459" s="1472" t="s">
        <v>4251</v>
      </c>
      <c r="H459" s="1458">
        <v>0</v>
      </c>
      <c r="I459" s="1458">
        <v>1</v>
      </c>
      <c r="J459" s="1473">
        <v>1</v>
      </c>
      <c r="K459" s="1462"/>
      <c r="L459" s="1456">
        <v>13039010100</v>
      </c>
      <c r="M459" s="1457">
        <v>0</v>
      </c>
      <c r="N459" s="1457">
        <v>1</v>
      </c>
      <c r="O459" s="1457">
        <v>1</v>
      </c>
      <c r="P459" s="241" t="s">
        <v>1414</v>
      </c>
      <c r="Q459" s="241"/>
      <c r="R459" s="147"/>
      <c r="S459" s="236"/>
      <c r="T459" s="392" t="s">
        <v>1397</v>
      </c>
      <c r="U459" s="392" t="s">
        <v>1366</v>
      </c>
      <c r="AA459"/>
      <c r="AB459"/>
      <c r="AC459" s="380"/>
      <c r="AD459" s="68"/>
    </row>
    <row r="460" spans="3:30" ht="10.5" customHeight="1">
      <c r="C460" s="1463" t="s">
        <v>4252</v>
      </c>
      <c r="D460" s="1460">
        <v>0</v>
      </c>
      <c r="E460" s="1460">
        <v>1</v>
      </c>
      <c r="F460" s="1461">
        <v>1</v>
      </c>
      <c r="G460" s="1472" t="s">
        <v>4252</v>
      </c>
      <c r="H460" s="1458">
        <v>0</v>
      </c>
      <c r="I460" s="1458">
        <v>0</v>
      </c>
      <c r="J460" s="1473">
        <v>0</v>
      </c>
      <c r="K460" s="1462"/>
      <c r="L460" s="1456">
        <v>13039010200</v>
      </c>
      <c r="M460" s="1457">
        <v>0</v>
      </c>
      <c r="N460" s="1457">
        <v>1</v>
      </c>
      <c r="O460" s="1457">
        <v>1</v>
      </c>
      <c r="P460" s="241" t="s">
        <v>1416</v>
      </c>
      <c r="Q460" s="241"/>
      <c r="R460" s="147"/>
      <c r="S460" s="236"/>
      <c r="T460" s="392" t="s">
        <v>1399</v>
      </c>
      <c r="U460" s="392" t="s">
        <v>2328</v>
      </c>
      <c r="AA460"/>
      <c r="AB460"/>
      <c r="AC460" s="380"/>
      <c r="AD460" s="68"/>
    </row>
    <row r="461" spans="3:30" ht="10.5" customHeight="1">
      <c r="C461" s="1463" t="s">
        <v>4253</v>
      </c>
      <c r="D461" s="1460">
        <v>0</v>
      </c>
      <c r="E461" s="1460">
        <v>0</v>
      </c>
      <c r="F461" s="1461">
        <v>0</v>
      </c>
      <c r="G461" s="1472" t="s">
        <v>4253</v>
      </c>
      <c r="H461" s="1458">
        <v>0</v>
      </c>
      <c r="I461" s="1458">
        <v>0</v>
      </c>
      <c r="J461" s="1473">
        <v>0</v>
      </c>
      <c r="K461" s="1462"/>
      <c r="L461" s="1456">
        <v>13039010301</v>
      </c>
      <c r="M461" s="1457">
        <v>0</v>
      </c>
      <c r="N461" s="1457">
        <v>0</v>
      </c>
      <c r="O461" s="1457">
        <v>0</v>
      </c>
      <c r="P461" s="241" t="s">
        <v>1315</v>
      </c>
      <c r="Q461" s="241"/>
      <c r="R461" s="147"/>
      <c r="S461" s="236"/>
      <c r="T461" s="392" t="s">
        <v>1401</v>
      </c>
      <c r="U461" s="392" t="s">
        <v>2021</v>
      </c>
      <c r="AA461"/>
      <c r="AB461"/>
      <c r="AC461" s="380"/>
      <c r="AD461" s="68"/>
    </row>
    <row r="462" spans="3:30" ht="10.5" customHeight="1">
      <c r="C462" s="1463" t="s">
        <v>4254</v>
      </c>
      <c r="D462" s="1460">
        <v>0</v>
      </c>
      <c r="E462" s="1460">
        <v>0</v>
      </c>
      <c r="F462" s="1461">
        <v>0</v>
      </c>
      <c r="G462" s="1472" t="s">
        <v>4254</v>
      </c>
      <c r="H462" s="1458">
        <v>0</v>
      </c>
      <c r="I462" s="1458">
        <v>0</v>
      </c>
      <c r="J462" s="1473">
        <v>0</v>
      </c>
      <c r="K462" s="1462"/>
      <c r="L462" s="1456">
        <v>13039010302</v>
      </c>
      <c r="M462" s="1457">
        <v>0</v>
      </c>
      <c r="N462" s="1457">
        <v>0</v>
      </c>
      <c r="O462" s="1457">
        <v>0</v>
      </c>
      <c r="P462" s="241" t="s">
        <v>1317</v>
      </c>
      <c r="Q462" s="241"/>
      <c r="R462" s="147"/>
      <c r="S462" s="236"/>
      <c r="T462" s="392" t="s">
        <v>2158</v>
      </c>
      <c r="U462" s="392" t="s">
        <v>2386</v>
      </c>
      <c r="AA462"/>
      <c r="AB462"/>
      <c r="AC462" s="380"/>
      <c r="AD462" s="68"/>
    </row>
    <row r="463" spans="3:30" ht="10.5" customHeight="1">
      <c r="C463" s="1463" t="s">
        <v>4255</v>
      </c>
      <c r="D463" s="1460">
        <v>1</v>
      </c>
      <c r="E463" s="1460">
        <v>1</v>
      </c>
      <c r="F463" s="1461">
        <v>2</v>
      </c>
      <c r="G463" s="1472" t="s">
        <v>4255</v>
      </c>
      <c r="H463" s="1458">
        <v>1</v>
      </c>
      <c r="I463" s="1458">
        <v>0</v>
      </c>
      <c r="J463" s="1473">
        <v>1</v>
      </c>
      <c r="K463" s="1462"/>
      <c r="L463" s="1456">
        <v>13039010401</v>
      </c>
      <c r="M463" s="1457">
        <v>1</v>
      </c>
      <c r="N463" s="1457">
        <v>1</v>
      </c>
      <c r="O463" s="1457">
        <v>2</v>
      </c>
      <c r="P463" s="241" t="s">
        <v>1319</v>
      </c>
      <c r="Q463" s="241"/>
      <c r="R463" s="147"/>
      <c r="S463" s="236"/>
      <c r="T463" s="392" t="s">
        <v>2160</v>
      </c>
      <c r="U463" s="392" t="s">
        <v>115</v>
      </c>
      <c r="AA463"/>
      <c r="AB463"/>
      <c r="AC463" s="380"/>
      <c r="AD463" s="68"/>
    </row>
    <row r="464" spans="3:30" ht="10.5" customHeight="1">
      <c r="C464" s="1463" t="s">
        <v>4256</v>
      </c>
      <c r="D464" s="1460">
        <v>1</v>
      </c>
      <c r="E464" s="1460">
        <v>1</v>
      </c>
      <c r="F464" s="1461">
        <v>2</v>
      </c>
      <c r="G464" s="1472" t="s">
        <v>4256</v>
      </c>
      <c r="H464" s="1458">
        <v>1</v>
      </c>
      <c r="I464" s="1458">
        <v>1</v>
      </c>
      <c r="J464" s="1473">
        <v>2</v>
      </c>
      <c r="K464" s="1462"/>
      <c r="L464" s="1456">
        <v>13039010402</v>
      </c>
      <c r="M464" s="1457">
        <v>1</v>
      </c>
      <c r="N464" s="1457">
        <v>1</v>
      </c>
      <c r="O464" s="1457">
        <v>2</v>
      </c>
      <c r="P464" s="241" t="s">
        <v>1320</v>
      </c>
      <c r="Q464" s="241"/>
      <c r="R464" s="147"/>
      <c r="S464" s="236"/>
      <c r="T464" s="236" t="s">
        <v>1205</v>
      </c>
      <c r="U464" s="236" t="s">
        <v>893</v>
      </c>
      <c r="AA464"/>
      <c r="AB464"/>
      <c r="AC464" s="68"/>
      <c r="AD464" s="68"/>
    </row>
    <row r="465" spans="3:30" ht="10.5" customHeight="1">
      <c r="C465" s="1463" t="s">
        <v>4257</v>
      </c>
      <c r="D465" s="1460">
        <v>1</v>
      </c>
      <c r="E465" s="1460">
        <v>1</v>
      </c>
      <c r="F465" s="1461">
        <v>2</v>
      </c>
      <c r="G465" s="1472" t="s">
        <v>4257</v>
      </c>
      <c r="H465" s="1458">
        <v>1</v>
      </c>
      <c r="I465" s="1458">
        <v>1</v>
      </c>
      <c r="J465" s="1473">
        <v>2</v>
      </c>
      <c r="K465" s="1462"/>
      <c r="L465" s="1456">
        <v>13039010403</v>
      </c>
      <c r="M465" s="1457">
        <v>1</v>
      </c>
      <c r="N465" s="1457">
        <v>1</v>
      </c>
      <c r="O465" s="1457">
        <v>2</v>
      </c>
      <c r="P465" s="241" t="s">
        <v>1322</v>
      </c>
      <c r="Q465" s="241"/>
      <c r="R465" s="147"/>
      <c r="S465" s="236"/>
      <c r="T465" s="392" t="s">
        <v>992</v>
      </c>
      <c r="U465" s="392" t="s">
        <v>1861</v>
      </c>
      <c r="AA465"/>
      <c r="AB465"/>
      <c r="AC465" s="380"/>
      <c r="AD465" s="68"/>
    </row>
    <row r="466" spans="3:30" ht="10.5" customHeight="1">
      <c r="C466" s="1463" t="s">
        <v>4258</v>
      </c>
      <c r="D466" s="1460">
        <v>0</v>
      </c>
      <c r="E466" s="1460">
        <v>1</v>
      </c>
      <c r="F466" s="1461">
        <v>1</v>
      </c>
      <c r="G466" s="1472" t="s">
        <v>4258</v>
      </c>
      <c r="H466" s="1458">
        <v>0</v>
      </c>
      <c r="I466" s="1458" t="s">
        <v>3911</v>
      </c>
      <c r="J466" s="1473">
        <v>0</v>
      </c>
      <c r="K466" s="1462"/>
      <c r="L466" s="1456">
        <v>13039010500</v>
      </c>
      <c r="M466" s="1457">
        <v>0</v>
      </c>
      <c r="N466" s="1457">
        <v>1</v>
      </c>
      <c r="O466" s="1457">
        <v>1</v>
      </c>
      <c r="P466" s="241" t="s">
        <v>1324</v>
      </c>
      <c r="Q466" s="241"/>
      <c r="R466" s="147"/>
      <c r="S466" s="236"/>
      <c r="T466" s="392" t="s">
        <v>1207</v>
      </c>
      <c r="U466" s="392" t="s">
        <v>1368</v>
      </c>
      <c r="AA466"/>
      <c r="AB466"/>
      <c r="AC466" s="380"/>
      <c r="AD466" s="68"/>
    </row>
    <row r="467" spans="3:30" ht="10.5" customHeight="1">
      <c r="C467" s="1463" t="s">
        <v>4259</v>
      </c>
      <c r="D467" s="1460">
        <v>0</v>
      </c>
      <c r="E467" s="1460">
        <v>0</v>
      </c>
      <c r="F467" s="1461">
        <v>0</v>
      </c>
      <c r="G467" s="1472" t="s">
        <v>4259</v>
      </c>
      <c r="H467" s="1458">
        <v>0</v>
      </c>
      <c r="I467" s="1458">
        <v>0</v>
      </c>
      <c r="J467" s="1473">
        <v>0</v>
      </c>
      <c r="K467" s="1462"/>
      <c r="L467" s="1456">
        <v>13039010601</v>
      </c>
      <c r="M467" s="1457">
        <v>0</v>
      </c>
      <c r="N467" s="1457">
        <v>0</v>
      </c>
      <c r="O467" s="1457">
        <v>0</v>
      </c>
      <c r="P467" s="241" t="s">
        <v>1467</v>
      </c>
      <c r="Q467" s="241"/>
      <c r="R467" s="147"/>
      <c r="S467" s="236"/>
      <c r="T467" s="392" t="s">
        <v>770</v>
      </c>
      <c r="U467" s="392" t="s">
        <v>1863</v>
      </c>
      <c r="AA467"/>
      <c r="AB467"/>
      <c r="AC467" s="380"/>
      <c r="AD467" s="68"/>
    </row>
    <row r="468" spans="3:30" ht="10.5" customHeight="1">
      <c r="C468" s="1463" t="s">
        <v>4260</v>
      </c>
      <c r="D468" s="1460">
        <v>0</v>
      </c>
      <c r="E468" s="1460">
        <v>0</v>
      </c>
      <c r="F468" s="1461">
        <v>0</v>
      </c>
      <c r="G468" s="1472" t="s">
        <v>4260</v>
      </c>
      <c r="H468" s="1458">
        <v>0</v>
      </c>
      <c r="I468" s="1458" t="s">
        <v>3911</v>
      </c>
      <c r="J468" s="1473">
        <v>0</v>
      </c>
      <c r="K468" s="1462"/>
      <c r="L468" s="1456">
        <v>13039010602</v>
      </c>
      <c r="M468" s="1457">
        <v>0</v>
      </c>
      <c r="N468" s="1457">
        <v>0</v>
      </c>
      <c r="O468" s="1457">
        <v>0</v>
      </c>
      <c r="P468" s="241" t="s">
        <v>1468</v>
      </c>
      <c r="Q468" s="241"/>
      <c r="R468" s="147"/>
      <c r="S468" s="236"/>
      <c r="T468" s="392" t="s">
        <v>771</v>
      </c>
      <c r="U468" s="392" t="s">
        <v>815</v>
      </c>
      <c r="AA468"/>
      <c r="AB468"/>
      <c r="AC468" s="380"/>
      <c r="AD468" s="68"/>
    </row>
    <row r="469" spans="3:30" ht="10.5" customHeight="1">
      <c r="C469" s="1463" t="s">
        <v>4261</v>
      </c>
      <c r="D469" s="1460" t="s">
        <v>3911</v>
      </c>
      <c r="E469" s="1460" t="s">
        <v>3911</v>
      </c>
      <c r="F469" s="1461">
        <v>0</v>
      </c>
      <c r="G469" s="1472" t="s">
        <v>4261</v>
      </c>
      <c r="H469" s="1458" t="s">
        <v>3911</v>
      </c>
      <c r="I469" s="1458" t="s">
        <v>3911</v>
      </c>
      <c r="J469" s="1473">
        <v>0</v>
      </c>
      <c r="K469" s="1462"/>
      <c r="L469" s="1456">
        <v>13039990000</v>
      </c>
      <c r="M469" s="1457">
        <v>0</v>
      </c>
      <c r="N469" s="1457">
        <v>0</v>
      </c>
      <c r="O469" s="1457">
        <v>0</v>
      </c>
      <c r="P469" s="241" t="s">
        <v>1469</v>
      </c>
      <c r="Q469" s="241"/>
      <c r="R469" s="147"/>
      <c r="S469" s="236"/>
      <c r="T469" s="392" t="s">
        <v>764</v>
      </c>
      <c r="U469" s="392" t="s">
        <v>585</v>
      </c>
      <c r="AA469"/>
      <c r="AB469"/>
      <c r="AC469" s="380"/>
      <c r="AD469" s="68"/>
    </row>
    <row r="470" spans="3:30" ht="10.5" customHeight="1">
      <c r="C470" s="1463" t="s">
        <v>4262</v>
      </c>
      <c r="D470" s="1460">
        <v>0</v>
      </c>
      <c r="E470" s="1460">
        <v>0</v>
      </c>
      <c r="F470" s="1461">
        <v>0</v>
      </c>
      <c r="G470" s="1472" t="s">
        <v>4262</v>
      </c>
      <c r="H470" s="1458">
        <v>0</v>
      </c>
      <c r="I470" s="1458">
        <v>0</v>
      </c>
      <c r="J470" s="1473">
        <v>0</v>
      </c>
      <c r="K470" s="1462"/>
      <c r="L470" s="1456">
        <v>13043950100</v>
      </c>
      <c r="M470" s="1457">
        <v>0</v>
      </c>
      <c r="N470" s="1457">
        <v>0</v>
      </c>
      <c r="O470" s="1457">
        <v>0</v>
      </c>
      <c r="P470" s="241" t="s">
        <v>1470</v>
      </c>
      <c r="Q470" s="241"/>
      <c r="R470" s="147"/>
      <c r="S470" s="236"/>
      <c r="T470" s="392" t="s">
        <v>767</v>
      </c>
      <c r="U470" s="392" t="s">
        <v>306</v>
      </c>
      <c r="AA470"/>
      <c r="AB470"/>
      <c r="AC470" s="380"/>
      <c r="AD470" s="68"/>
    </row>
    <row r="471" spans="3:30" ht="10.5" customHeight="1">
      <c r="C471" s="1463" t="s">
        <v>4263</v>
      </c>
      <c r="D471" s="1460">
        <v>0</v>
      </c>
      <c r="E471" s="1460">
        <v>0</v>
      </c>
      <c r="F471" s="1461">
        <v>0</v>
      </c>
      <c r="G471" s="1472" t="s">
        <v>4263</v>
      </c>
      <c r="H471" s="1458">
        <v>0</v>
      </c>
      <c r="I471" s="1458">
        <v>0</v>
      </c>
      <c r="J471" s="1473">
        <v>0</v>
      </c>
      <c r="K471" s="1462"/>
      <c r="L471" s="1456">
        <v>13043950200</v>
      </c>
      <c r="M471" s="1457">
        <v>0</v>
      </c>
      <c r="N471" s="1457">
        <v>0</v>
      </c>
      <c r="O471" s="1457">
        <v>0</v>
      </c>
      <c r="P471" s="241" t="s">
        <v>1472</v>
      </c>
      <c r="Q471" s="241"/>
      <c r="R471" s="147"/>
      <c r="S471" s="236"/>
      <c r="T471" s="392" t="s">
        <v>114</v>
      </c>
      <c r="U471" s="392" t="s">
        <v>1864</v>
      </c>
      <c r="AA471"/>
      <c r="AB471"/>
      <c r="AC471" s="380"/>
      <c r="AD471" s="68"/>
    </row>
    <row r="472" spans="3:30" ht="10.5" customHeight="1">
      <c r="C472" s="1463" t="s">
        <v>4264</v>
      </c>
      <c r="D472" s="1460">
        <v>0</v>
      </c>
      <c r="E472" s="1460">
        <v>0</v>
      </c>
      <c r="F472" s="1461">
        <v>0</v>
      </c>
      <c r="G472" s="1472" t="s">
        <v>4264</v>
      </c>
      <c r="H472" s="1458">
        <v>0</v>
      </c>
      <c r="I472" s="1458">
        <v>0</v>
      </c>
      <c r="J472" s="1473">
        <v>0</v>
      </c>
      <c r="K472" s="1462"/>
      <c r="L472" s="1456">
        <v>13043950300</v>
      </c>
      <c r="M472" s="1457">
        <v>0</v>
      </c>
      <c r="N472" s="1457">
        <v>0</v>
      </c>
      <c r="O472" s="1457">
        <v>0</v>
      </c>
      <c r="P472" s="241" t="s">
        <v>1474</v>
      </c>
      <c r="Q472" s="241"/>
      <c r="R472" s="147"/>
      <c r="S472" s="236"/>
      <c r="T472" s="392" t="s">
        <v>240</v>
      </c>
      <c r="U472" s="392" t="s">
        <v>1740</v>
      </c>
      <c r="AA472"/>
      <c r="AB472"/>
      <c r="AC472" s="380"/>
      <c r="AD472" s="68"/>
    </row>
    <row r="473" spans="3:30" ht="10.5" customHeight="1">
      <c r="C473" s="1463" t="s">
        <v>4265</v>
      </c>
      <c r="D473" s="1460">
        <v>0</v>
      </c>
      <c r="E473" s="1460">
        <v>1</v>
      </c>
      <c r="F473" s="1461">
        <v>1</v>
      </c>
      <c r="G473" s="1472" t="s">
        <v>4265</v>
      </c>
      <c r="H473" s="1458">
        <v>0</v>
      </c>
      <c r="I473" s="1458">
        <v>0</v>
      </c>
      <c r="J473" s="1473">
        <v>0</v>
      </c>
      <c r="K473" s="1462"/>
      <c r="L473" s="1456">
        <v>13045910101</v>
      </c>
      <c r="M473" s="1457">
        <v>0</v>
      </c>
      <c r="N473" s="1457">
        <v>1</v>
      </c>
      <c r="O473" s="1457">
        <v>1</v>
      </c>
      <c r="P473" s="241" t="s">
        <v>1475</v>
      </c>
      <c r="Q473" s="241"/>
      <c r="R473" s="147"/>
      <c r="S473" s="236"/>
      <c r="T473" s="236" t="s">
        <v>1410</v>
      </c>
      <c r="U473" s="236" t="s">
        <v>1863</v>
      </c>
      <c r="AA473"/>
      <c r="AB473"/>
      <c r="AC473" s="68"/>
      <c r="AD473" s="68"/>
    </row>
    <row r="474" spans="3:30" ht="10.5" customHeight="1">
      <c r="C474" s="1463" t="s">
        <v>4266</v>
      </c>
      <c r="D474" s="1460">
        <v>1</v>
      </c>
      <c r="E474" s="1460">
        <v>1</v>
      </c>
      <c r="F474" s="1461">
        <v>2</v>
      </c>
      <c r="G474" s="1472" t="s">
        <v>4266</v>
      </c>
      <c r="H474" s="1458">
        <v>1</v>
      </c>
      <c r="I474" s="1458">
        <v>0</v>
      </c>
      <c r="J474" s="1473">
        <v>1</v>
      </c>
      <c r="K474" s="1462"/>
      <c r="L474" s="1456">
        <v>13045910103</v>
      </c>
      <c r="M474" s="1457">
        <v>1</v>
      </c>
      <c r="N474" s="1457">
        <v>1</v>
      </c>
      <c r="O474" s="1457">
        <v>2</v>
      </c>
      <c r="P474" s="241" t="s">
        <v>1477</v>
      </c>
      <c r="Q474" s="241"/>
      <c r="R474" s="147"/>
      <c r="S474" s="236"/>
      <c r="T474" s="392" t="s">
        <v>1413</v>
      </c>
      <c r="U474" s="392" t="s">
        <v>315</v>
      </c>
      <c r="AA474"/>
      <c r="AB474"/>
      <c r="AC474" s="380"/>
      <c r="AD474" s="68"/>
    </row>
    <row r="475" spans="3:30" ht="10.5" customHeight="1">
      <c r="C475" s="1463" t="s">
        <v>4267</v>
      </c>
      <c r="D475" s="1460">
        <v>0</v>
      </c>
      <c r="E475" s="1460">
        <v>1</v>
      </c>
      <c r="F475" s="1461">
        <v>1</v>
      </c>
      <c r="G475" s="1472" t="s">
        <v>4267</v>
      </c>
      <c r="H475" s="1458">
        <v>0</v>
      </c>
      <c r="I475" s="1458">
        <v>0</v>
      </c>
      <c r="J475" s="1473">
        <v>0</v>
      </c>
      <c r="K475" s="1462"/>
      <c r="L475" s="1456">
        <v>13045910104</v>
      </c>
      <c r="M475" s="1457">
        <v>0</v>
      </c>
      <c r="N475" s="1457">
        <v>1</v>
      </c>
      <c r="O475" s="1457">
        <v>1</v>
      </c>
      <c r="P475" s="241" t="s">
        <v>358</v>
      </c>
      <c r="Q475" s="241"/>
      <c r="R475" s="147"/>
      <c r="S475" s="236"/>
      <c r="T475" s="392" t="s">
        <v>1415</v>
      </c>
      <c r="U475" s="392" t="s">
        <v>2288</v>
      </c>
      <c r="AA475"/>
      <c r="AB475"/>
      <c r="AC475" s="380"/>
      <c r="AD475" s="68"/>
    </row>
    <row r="476" spans="3:30" ht="10.5" customHeight="1">
      <c r="C476" s="1463" t="s">
        <v>4268</v>
      </c>
      <c r="D476" s="1460">
        <v>0</v>
      </c>
      <c r="E476" s="1460">
        <v>0</v>
      </c>
      <c r="F476" s="1461">
        <v>0</v>
      </c>
      <c r="G476" s="1472" t="s">
        <v>4268</v>
      </c>
      <c r="H476" s="1458">
        <v>0</v>
      </c>
      <c r="I476" s="1458">
        <v>0</v>
      </c>
      <c r="J476" s="1473">
        <v>0</v>
      </c>
      <c r="K476" s="1462"/>
      <c r="L476" s="1456">
        <v>13045910200</v>
      </c>
      <c r="M476" s="1457">
        <v>0</v>
      </c>
      <c r="N476" s="1457">
        <v>0</v>
      </c>
      <c r="O476" s="1457">
        <v>0</v>
      </c>
      <c r="P476" s="241" t="s">
        <v>236</v>
      </c>
      <c r="Q476" s="241"/>
      <c r="R476" s="147"/>
      <c r="S476" s="236"/>
      <c r="T476" s="392" t="s">
        <v>456</v>
      </c>
      <c r="U476" s="392" t="s">
        <v>1370</v>
      </c>
      <c r="AA476"/>
      <c r="AB476"/>
      <c r="AC476" s="380"/>
      <c r="AD476" s="68"/>
    </row>
    <row r="477" spans="3:30" ht="10.5" customHeight="1">
      <c r="C477" s="1463" t="s">
        <v>4269</v>
      </c>
      <c r="D477" s="1460">
        <v>0</v>
      </c>
      <c r="E477" s="1460">
        <v>1</v>
      </c>
      <c r="F477" s="1461">
        <v>1</v>
      </c>
      <c r="G477" s="1472" t="s">
        <v>4269</v>
      </c>
      <c r="H477" s="1458">
        <v>0</v>
      </c>
      <c r="I477" s="1458">
        <v>0</v>
      </c>
      <c r="J477" s="1473">
        <v>0</v>
      </c>
      <c r="K477" s="1462"/>
      <c r="L477" s="1456">
        <v>13045910300</v>
      </c>
      <c r="M477" s="1457">
        <v>0</v>
      </c>
      <c r="N477" s="1457">
        <v>1</v>
      </c>
      <c r="O477" s="1457">
        <v>1</v>
      </c>
      <c r="P477" s="241" t="s">
        <v>238</v>
      </c>
      <c r="Q477" s="241"/>
      <c r="R477" s="147"/>
      <c r="S477" s="236"/>
      <c r="T477" s="392" t="s">
        <v>1316</v>
      </c>
      <c r="U477" s="392" t="s">
        <v>298</v>
      </c>
      <c r="AA477"/>
      <c r="AB477"/>
      <c r="AC477" s="380"/>
      <c r="AD477" s="68"/>
    </row>
    <row r="478" spans="3:30" ht="10.5" customHeight="1">
      <c r="C478" s="1463" t="s">
        <v>4270</v>
      </c>
      <c r="D478" s="1460">
        <v>0</v>
      </c>
      <c r="E478" s="1460">
        <v>0</v>
      </c>
      <c r="F478" s="1461">
        <v>0</v>
      </c>
      <c r="G478" s="1472" t="s">
        <v>4270</v>
      </c>
      <c r="H478" s="1458">
        <v>0</v>
      </c>
      <c r="I478" s="1458" t="s">
        <v>3911</v>
      </c>
      <c r="J478" s="1473">
        <v>0</v>
      </c>
      <c r="K478" s="1462"/>
      <c r="L478" s="1456">
        <v>13045910400</v>
      </c>
      <c r="M478" s="1457">
        <v>0</v>
      </c>
      <c r="N478" s="1457">
        <v>0</v>
      </c>
      <c r="O478" s="1457">
        <v>0</v>
      </c>
      <c r="P478" s="241" t="s">
        <v>11</v>
      </c>
      <c r="Q478" s="241"/>
      <c r="R478" s="147"/>
      <c r="S478" s="236"/>
      <c r="T478" s="392" t="s">
        <v>1318</v>
      </c>
      <c r="U478" s="392" t="s">
        <v>813</v>
      </c>
      <c r="AA478"/>
      <c r="AB478"/>
      <c r="AC478" s="380"/>
      <c r="AD478" s="68"/>
    </row>
    <row r="479" spans="3:30" ht="10.5" customHeight="1">
      <c r="C479" s="1463" t="s">
        <v>4271</v>
      </c>
      <c r="D479" s="1460">
        <v>0</v>
      </c>
      <c r="E479" s="1460">
        <v>1</v>
      </c>
      <c r="F479" s="1461">
        <v>1</v>
      </c>
      <c r="G479" s="1472" t="s">
        <v>4271</v>
      </c>
      <c r="H479" s="1458">
        <v>0</v>
      </c>
      <c r="I479" s="1458">
        <v>0</v>
      </c>
      <c r="J479" s="1473">
        <v>0</v>
      </c>
      <c r="K479" s="1462"/>
      <c r="L479" s="1456">
        <v>13045910501</v>
      </c>
      <c r="M479" s="1457">
        <v>0</v>
      </c>
      <c r="N479" s="1457">
        <v>1</v>
      </c>
      <c r="O479" s="1457">
        <v>1</v>
      </c>
      <c r="P479" s="241" t="s">
        <v>1021</v>
      </c>
      <c r="Q479" s="241"/>
      <c r="R479" s="147"/>
      <c r="S479" s="236"/>
      <c r="T479" s="392" t="s">
        <v>169</v>
      </c>
      <c r="U479" s="392" t="s">
        <v>2019</v>
      </c>
      <c r="AA479"/>
      <c r="AB479"/>
      <c r="AC479" s="380"/>
      <c r="AD479" s="68"/>
    </row>
    <row r="480" spans="3:30" ht="10.5" customHeight="1">
      <c r="C480" s="1463" t="s">
        <v>4272</v>
      </c>
      <c r="D480" s="1460">
        <v>0</v>
      </c>
      <c r="E480" s="1460">
        <v>0</v>
      </c>
      <c r="F480" s="1461">
        <v>0</v>
      </c>
      <c r="G480" s="1472" t="s">
        <v>4272</v>
      </c>
      <c r="H480" s="1458">
        <v>0</v>
      </c>
      <c r="I480" s="1458">
        <v>0</v>
      </c>
      <c r="J480" s="1473">
        <v>0</v>
      </c>
      <c r="K480" s="1462"/>
      <c r="L480" s="1456">
        <v>13045910502</v>
      </c>
      <c r="M480" s="1457">
        <v>0</v>
      </c>
      <c r="N480" s="1457">
        <v>0</v>
      </c>
      <c r="O480" s="1457">
        <v>0</v>
      </c>
      <c r="P480" s="241" t="s">
        <v>1023</v>
      </c>
      <c r="Q480" s="241"/>
      <c r="R480" s="147"/>
      <c r="S480" s="236"/>
      <c r="T480" s="392" t="s">
        <v>1321</v>
      </c>
      <c r="U480" s="392" t="s">
        <v>1740</v>
      </c>
      <c r="AA480"/>
      <c r="AB480"/>
      <c r="AC480" s="380"/>
      <c r="AD480" s="68"/>
    </row>
    <row r="481" spans="3:30" ht="10.5" customHeight="1">
      <c r="C481" s="1463" t="s">
        <v>4273</v>
      </c>
      <c r="D481" s="1460">
        <v>0</v>
      </c>
      <c r="E481" s="1460">
        <v>0</v>
      </c>
      <c r="F481" s="1461">
        <v>0</v>
      </c>
      <c r="G481" s="1472" t="s">
        <v>4273</v>
      </c>
      <c r="H481" s="1458">
        <v>1</v>
      </c>
      <c r="I481" s="1458">
        <v>0</v>
      </c>
      <c r="J481" s="1473">
        <v>1</v>
      </c>
      <c r="K481" s="1462"/>
      <c r="L481" s="1456">
        <v>13045910600</v>
      </c>
      <c r="M481" s="1457">
        <v>1</v>
      </c>
      <c r="N481" s="1457">
        <v>0</v>
      </c>
      <c r="O481" s="1457">
        <v>1</v>
      </c>
      <c r="P481" s="241" t="s">
        <v>1025</v>
      </c>
      <c r="Q481" s="241"/>
      <c r="R481" s="147"/>
      <c r="S481" s="236"/>
      <c r="T481" s="392" t="s">
        <v>1323</v>
      </c>
      <c r="U481" s="392" t="s">
        <v>155</v>
      </c>
      <c r="AA481"/>
      <c r="AB481"/>
      <c r="AC481" s="380"/>
      <c r="AD481" s="68"/>
    </row>
    <row r="482" spans="3:30" ht="10.5" customHeight="1">
      <c r="C482" s="1463" t="s">
        <v>4274</v>
      </c>
      <c r="D482" s="1460">
        <v>0</v>
      </c>
      <c r="E482" s="1460">
        <v>1</v>
      </c>
      <c r="F482" s="1461">
        <v>1</v>
      </c>
      <c r="G482" s="1472" t="s">
        <v>4274</v>
      </c>
      <c r="H482" s="1458">
        <v>0</v>
      </c>
      <c r="I482" s="1458">
        <v>0</v>
      </c>
      <c r="J482" s="1473">
        <v>0</v>
      </c>
      <c r="K482" s="1462"/>
      <c r="L482" s="1456">
        <v>13045910701</v>
      </c>
      <c r="M482" s="1457">
        <v>0</v>
      </c>
      <c r="N482" s="1457">
        <v>1</v>
      </c>
      <c r="O482" s="1457">
        <v>1</v>
      </c>
      <c r="P482" s="241" t="s">
        <v>246</v>
      </c>
      <c r="Q482" s="241"/>
      <c r="R482" s="147"/>
      <c r="S482" s="236"/>
      <c r="T482" s="392" t="s">
        <v>2296</v>
      </c>
      <c r="U482" s="392" t="s">
        <v>1770</v>
      </c>
      <c r="AA482"/>
      <c r="AB482"/>
      <c r="AC482" s="380"/>
      <c r="AD482" s="68"/>
    </row>
    <row r="483" spans="3:30" ht="10.5" customHeight="1">
      <c r="C483" s="1463" t="s">
        <v>4275</v>
      </c>
      <c r="D483" s="1460">
        <v>1</v>
      </c>
      <c r="E483" s="1460">
        <v>1</v>
      </c>
      <c r="F483" s="1461">
        <v>2</v>
      </c>
      <c r="G483" s="1472" t="s">
        <v>4275</v>
      </c>
      <c r="H483" s="1458">
        <v>0</v>
      </c>
      <c r="I483" s="1458">
        <v>1</v>
      </c>
      <c r="J483" s="1473">
        <v>1</v>
      </c>
      <c r="K483" s="1462"/>
      <c r="L483" s="1456">
        <v>13045910702</v>
      </c>
      <c r="M483" s="1457">
        <v>1</v>
      </c>
      <c r="N483" s="1457">
        <v>1</v>
      </c>
      <c r="O483" s="1457">
        <v>2</v>
      </c>
      <c r="P483" s="241" t="s">
        <v>248</v>
      </c>
      <c r="Q483" s="241"/>
      <c r="R483" s="147"/>
      <c r="S483" s="236"/>
      <c r="T483" s="392" t="s">
        <v>993</v>
      </c>
      <c r="U483" s="392" t="s">
        <v>2291</v>
      </c>
      <c r="AA483"/>
      <c r="AB483"/>
      <c r="AC483" s="380"/>
      <c r="AD483" s="68"/>
    </row>
    <row r="484" spans="3:30" ht="10.5" customHeight="1">
      <c r="C484" s="1463" t="s">
        <v>4276</v>
      </c>
      <c r="D484" s="1460">
        <v>0</v>
      </c>
      <c r="E484" s="1460">
        <v>1</v>
      </c>
      <c r="F484" s="1461">
        <v>1</v>
      </c>
      <c r="G484" s="1472" t="s">
        <v>4276</v>
      </c>
      <c r="H484" s="1458">
        <v>0</v>
      </c>
      <c r="I484" s="1458">
        <v>0</v>
      </c>
      <c r="J484" s="1473">
        <v>0</v>
      </c>
      <c r="K484" s="1462"/>
      <c r="L484" s="1456">
        <v>13045910703</v>
      </c>
      <c r="M484" s="1457">
        <v>0</v>
      </c>
      <c r="N484" s="1457">
        <v>1</v>
      </c>
      <c r="O484" s="1457">
        <v>1</v>
      </c>
      <c r="P484" s="241" t="s">
        <v>1522</v>
      </c>
      <c r="Q484" s="241"/>
      <c r="R484" s="147"/>
      <c r="S484" s="236"/>
      <c r="T484" s="392" t="s">
        <v>1243</v>
      </c>
      <c r="U484" s="392" t="s">
        <v>1242</v>
      </c>
      <c r="AA484"/>
      <c r="AB484"/>
      <c r="AC484" s="380"/>
      <c r="AD484" s="68"/>
    </row>
    <row r="485" spans="3:30" ht="10.5" customHeight="1">
      <c r="C485" s="1463" t="s">
        <v>4277</v>
      </c>
      <c r="D485" s="1460">
        <v>0</v>
      </c>
      <c r="E485" s="1460">
        <v>1</v>
      </c>
      <c r="F485" s="1461">
        <v>1</v>
      </c>
      <c r="G485" s="1472" t="s">
        <v>4277</v>
      </c>
      <c r="H485" s="1458">
        <v>0</v>
      </c>
      <c r="I485" s="1458">
        <v>0</v>
      </c>
      <c r="J485" s="1473">
        <v>0</v>
      </c>
      <c r="K485" s="1462"/>
      <c r="L485" s="1456">
        <v>13045910800</v>
      </c>
      <c r="M485" s="1457">
        <v>0</v>
      </c>
      <c r="N485" s="1457">
        <v>1</v>
      </c>
      <c r="O485" s="1457">
        <v>1</v>
      </c>
      <c r="P485" s="241" t="s">
        <v>2146</v>
      </c>
      <c r="Q485" s="241"/>
      <c r="R485" s="147"/>
      <c r="S485" s="236"/>
      <c r="T485" s="392" t="s">
        <v>172</v>
      </c>
      <c r="U485" s="392" t="s">
        <v>2379</v>
      </c>
      <c r="AA485"/>
      <c r="AB485"/>
      <c r="AC485" s="380"/>
      <c r="AD485" s="68"/>
    </row>
    <row r="486" spans="3:30" ht="10.5" customHeight="1">
      <c r="C486" s="1463" t="s">
        <v>4278</v>
      </c>
      <c r="D486" s="1460">
        <v>0</v>
      </c>
      <c r="E486" s="1460">
        <v>1</v>
      </c>
      <c r="F486" s="1461">
        <v>1</v>
      </c>
      <c r="G486" s="1472" t="s">
        <v>4278</v>
      </c>
      <c r="H486" s="1458">
        <v>0</v>
      </c>
      <c r="I486" s="1458">
        <v>1</v>
      </c>
      <c r="J486" s="1473">
        <v>1</v>
      </c>
      <c r="K486" s="1462"/>
      <c r="L486" s="1456">
        <v>13045910900</v>
      </c>
      <c r="M486" s="1457">
        <v>0</v>
      </c>
      <c r="N486" s="1457">
        <v>1</v>
      </c>
      <c r="O486" s="1457">
        <v>1</v>
      </c>
      <c r="P486" s="241" t="s">
        <v>454</v>
      </c>
      <c r="Q486" s="241"/>
      <c r="R486" s="147"/>
      <c r="S486" s="236"/>
      <c r="T486" s="392" t="s">
        <v>1471</v>
      </c>
      <c r="U486" s="392" t="s">
        <v>2027</v>
      </c>
      <c r="AA486"/>
      <c r="AB486"/>
      <c r="AC486" s="380"/>
      <c r="AD486" s="68"/>
    </row>
    <row r="487" spans="3:30" ht="10.5" customHeight="1">
      <c r="C487" s="1463" t="s">
        <v>4279</v>
      </c>
      <c r="D487" s="1460">
        <v>1</v>
      </c>
      <c r="E487" s="1460">
        <v>1</v>
      </c>
      <c r="F487" s="1461">
        <v>2</v>
      </c>
      <c r="G487" s="1472" t="s">
        <v>4279</v>
      </c>
      <c r="H487" s="1458">
        <v>1</v>
      </c>
      <c r="I487" s="1458">
        <v>1</v>
      </c>
      <c r="J487" s="1473">
        <v>2</v>
      </c>
      <c r="K487" s="1462"/>
      <c r="L487" s="1456">
        <v>13045911000</v>
      </c>
      <c r="M487" s="1457">
        <v>1</v>
      </c>
      <c r="N487" s="1457">
        <v>1</v>
      </c>
      <c r="O487" s="1457">
        <v>2</v>
      </c>
      <c r="P487" s="241" t="s">
        <v>1225</v>
      </c>
      <c r="Q487" s="241"/>
      <c r="R487" s="147"/>
      <c r="S487" s="236"/>
      <c r="T487" s="392" t="s">
        <v>1473</v>
      </c>
      <c r="U487" s="392" t="s">
        <v>1740</v>
      </c>
      <c r="AA487"/>
      <c r="AB487"/>
      <c r="AC487" s="380"/>
      <c r="AD487" s="68"/>
    </row>
    <row r="488" spans="3:30" ht="10.5" customHeight="1">
      <c r="C488" s="1463" t="s">
        <v>4280</v>
      </c>
      <c r="D488" s="1460">
        <v>1</v>
      </c>
      <c r="E488" s="1460">
        <v>1</v>
      </c>
      <c r="F488" s="1461">
        <v>2</v>
      </c>
      <c r="G488" s="1472" t="s">
        <v>4280</v>
      </c>
      <c r="H488" s="1458">
        <v>0</v>
      </c>
      <c r="I488" s="1458">
        <v>1</v>
      </c>
      <c r="J488" s="1473">
        <v>1</v>
      </c>
      <c r="K488" s="1462"/>
      <c r="L488" s="1456">
        <v>13045911100</v>
      </c>
      <c r="M488" s="1457">
        <v>1</v>
      </c>
      <c r="N488" s="1457">
        <v>1</v>
      </c>
      <c r="O488" s="1457">
        <v>2</v>
      </c>
      <c r="P488" s="241" t="s">
        <v>601</v>
      </c>
      <c r="Q488" s="241"/>
      <c r="R488" s="147"/>
      <c r="S488" s="236"/>
      <c r="T488" s="392" t="s">
        <v>1476</v>
      </c>
      <c r="U488" s="392" t="s">
        <v>2384</v>
      </c>
      <c r="AA488"/>
      <c r="AB488"/>
      <c r="AC488" s="380"/>
      <c r="AD488" s="68"/>
    </row>
    <row r="489" spans="3:30" ht="10.5" customHeight="1">
      <c r="C489" s="1463" t="s">
        <v>4281</v>
      </c>
      <c r="D489" s="1460">
        <v>0</v>
      </c>
      <c r="E489" s="1460">
        <v>0</v>
      </c>
      <c r="F489" s="1461">
        <v>0</v>
      </c>
      <c r="G489" s="1472" t="s">
        <v>4281</v>
      </c>
      <c r="H489" s="1458">
        <v>0</v>
      </c>
      <c r="I489" s="1458">
        <v>0</v>
      </c>
      <c r="J489" s="1473">
        <v>0</v>
      </c>
      <c r="K489" s="1462"/>
      <c r="L489" s="1456">
        <v>13045911200</v>
      </c>
      <c r="M489" s="1457">
        <v>0</v>
      </c>
      <c r="N489" s="1457">
        <v>0</v>
      </c>
      <c r="O489" s="1457">
        <v>0</v>
      </c>
      <c r="P489" s="241" t="s">
        <v>641</v>
      </c>
      <c r="Q489" s="241"/>
      <c r="R489" s="147"/>
      <c r="S489" s="236"/>
      <c r="T489" s="392" t="s">
        <v>357</v>
      </c>
      <c r="U489" s="392" t="s">
        <v>2291</v>
      </c>
      <c r="AA489"/>
      <c r="AB489"/>
      <c r="AC489" s="380"/>
      <c r="AD489" s="68"/>
    </row>
    <row r="490" spans="3:30" ht="10.5" customHeight="1">
      <c r="C490" s="1463" t="s">
        <v>4282</v>
      </c>
      <c r="D490" s="1460">
        <v>0</v>
      </c>
      <c r="E490" s="1460">
        <v>0</v>
      </c>
      <c r="F490" s="1461">
        <v>0</v>
      </c>
      <c r="G490" s="1472" t="s">
        <v>4282</v>
      </c>
      <c r="H490" s="1458">
        <v>0</v>
      </c>
      <c r="I490" s="1458">
        <v>0</v>
      </c>
      <c r="J490" s="1473">
        <v>0</v>
      </c>
      <c r="K490" s="1462"/>
      <c r="L490" s="1456">
        <v>13047030100</v>
      </c>
      <c r="M490" s="1457">
        <v>0</v>
      </c>
      <c r="N490" s="1457">
        <v>0</v>
      </c>
      <c r="O490" s="1457">
        <v>0</v>
      </c>
      <c r="P490" s="241" t="s">
        <v>642</v>
      </c>
      <c r="Q490" s="241"/>
      <c r="R490" s="147"/>
      <c r="S490" s="236"/>
      <c r="T490" s="436" t="s">
        <v>359</v>
      </c>
      <c r="U490" s="392" t="s">
        <v>1243</v>
      </c>
      <c r="AA490"/>
      <c r="AB490"/>
      <c r="AC490" s="712"/>
      <c r="AD490" s="68"/>
    </row>
    <row r="491" spans="3:30" ht="10.5" customHeight="1">
      <c r="C491" s="1463" t="s">
        <v>4283</v>
      </c>
      <c r="D491" s="1460">
        <v>1</v>
      </c>
      <c r="E491" s="1460">
        <v>0</v>
      </c>
      <c r="F491" s="1461">
        <v>1</v>
      </c>
      <c r="G491" s="1472" t="s">
        <v>4283</v>
      </c>
      <c r="H491" s="1458">
        <v>0</v>
      </c>
      <c r="I491" s="1458">
        <v>0</v>
      </c>
      <c r="J491" s="1473">
        <v>0</v>
      </c>
      <c r="K491" s="1462"/>
      <c r="L491" s="1456">
        <v>13047030201</v>
      </c>
      <c r="M491" s="1457">
        <v>1</v>
      </c>
      <c r="N491" s="1457">
        <v>0</v>
      </c>
      <c r="O491" s="1457">
        <v>1</v>
      </c>
      <c r="P491" s="241" t="s">
        <v>488</v>
      </c>
      <c r="Q491" s="241"/>
      <c r="R491" s="147"/>
      <c r="S491" s="236"/>
      <c r="T491" s="436" t="s">
        <v>237</v>
      </c>
      <c r="U491" s="392" t="s">
        <v>2017</v>
      </c>
      <c r="AA491"/>
      <c r="AB491"/>
      <c r="AC491" s="712"/>
      <c r="AD491" s="68"/>
    </row>
    <row r="492" spans="3:30" ht="10.5" customHeight="1">
      <c r="C492" s="1463" t="s">
        <v>4284</v>
      </c>
      <c r="D492" s="1460">
        <v>1</v>
      </c>
      <c r="E492" s="1460">
        <v>1</v>
      </c>
      <c r="F492" s="1461">
        <v>2</v>
      </c>
      <c r="G492" s="1472" t="s">
        <v>4284</v>
      </c>
      <c r="H492" s="1458">
        <v>1</v>
      </c>
      <c r="I492" s="1458">
        <v>1</v>
      </c>
      <c r="J492" s="1473">
        <v>2</v>
      </c>
      <c r="K492" s="1462"/>
      <c r="L492" s="1456">
        <v>13047030202</v>
      </c>
      <c r="M492" s="1457">
        <v>1</v>
      </c>
      <c r="N492" s="1457">
        <v>1</v>
      </c>
      <c r="O492" s="1457">
        <v>2</v>
      </c>
      <c r="P492" s="241" t="s">
        <v>490</v>
      </c>
      <c r="Q492" s="241"/>
      <c r="R492" s="147"/>
      <c r="S492" s="236"/>
      <c r="T492" s="392" t="s">
        <v>1503</v>
      </c>
      <c r="U492" s="392" t="s">
        <v>2327</v>
      </c>
      <c r="AA492"/>
      <c r="AB492"/>
      <c r="AC492" s="380"/>
      <c r="AD492" s="68"/>
    </row>
    <row r="493" spans="3:30" ht="10.5" customHeight="1">
      <c r="C493" s="1463" t="s">
        <v>4285</v>
      </c>
      <c r="D493" s="1460">
        <v>1</v>
      </c>
      <c r="E493" s="1460">
        <v>1</v>
      </c>
      <c r="F493" s="1461">
        <v>2</v>
      </c>
      <c r="G493" s="1472" t="s">
        <v>4285</v>
      </c>
      <c r="H493" s="1458">
        <v>1</v>
      </c>
      <c r="I493" s="1458">
        <v>1</v>
      </c>
      <c r="J493" s="1473">
        <v>2</v>
      </c>
      <c r="K493" s="1462"/>
      <c r="L493" s="1456">
        <v>13047030301</v>
      </c>
      <c r="M493" s="1457">
        <v>1</v>
      </c>
      <c r="N493" s="1457">
        <v>1</v>
      </c>
      <c r="O493" s="1457">
        <v>2</v>
      </c>
      <c r="P493" s="241" t="s">
        <v>492</v>
      </c>
      <c r="Q493" s="241"/>
      <c r="R493" s="147"/>
      <c r="S493" s="236"/>
      <c r="T493" s="392" t="s">
        <v>2546</v>
      </c>
      <c r="U493" s="392" t="s">
        <v>315</v>
      </c>
      <c r="AA493"/>
      <c r="AB493"/>
      <c r="AC493" s="380"/>
      <c r="AD493" s="68"/>
    </row>
    <row r="494" spans="3:30" ht="10.5" customHeight="1">
      <c r="C494" s="1463" t="s">
        <v>4286</v>
      </c>
      <c r="D494" s="1460">
        <v>1</v>
      </c>
      <c r="E494" s="1460">
        <v>1</v>
      </c>
      <c r="F494" s="1461">
        <v>2</v>
      </c>
      <c r="G494" s="1472" t="s">
        <v>4286</v>
      </c>
      <c r="H494" s="1458">
        <v>1</v>
      </c>
      <c r="I494" s="1458">
        <v>0</v>
      </c>
      <c r="J494" s="1473">
        <v>1</v>
      </c>
      <c r="K494" s="1462"/>
      <c r="L494" s="1456">
        <v>13047030303</v>
      </c>
      <c r="M494" s="1457">
        <v>1</v>
      </c>
      <c r="N494" s="1457">
        <v>1</v>
      </c>
      <c r="O494" s="1457">
        <v>2</v>
      </c>
      <c r="P494" s="241" t="s">
        <v>494</v>
      </c>
      <c r="Q494" s="241"/>
      <c r="R494" s="147"/>
      <c r="S494" s="236"/>
      <c r="T494" s="392" t="s">
        <v>1022</v>
      </c>
      <c r="U494" s="392" t="s">
        <v>2386</v>
      </c>
      <c r="AA494"/>
      <c r="AB494"/>
      <c r="AC494" s="380"/>
      <c r="AD494" s="68"/>
    </row>
    <row r="495" spans="3:30" ht="10.5" customHeight="1">
      <c r="C495" s="1463" t="s">
        <v>4287</v>
      </c>
      <c r="D495" s="1460">
        <v>1</v>
      </c>
      <c r="E495" s="1460">
        <v>1</v>
      </c>
      <c r="F495" s="1461">
        <v>2</v>
      </c>
      <c r="G495" s="1472" t="s">
        <v>4287</v>
      </c>
      <c r="H495" s="1458">
        <v>1</v>
      </c>
      <c r="I495" s="1458">
        <v>1</v>
      </c>
      <c r="J495" s="1473">
        <v>2</v>
      </c>
      <c r="K495" s="1462"/>
      <c r="L495" s="1456">
        <v>13047030304</v>
      </c>
      <c r="M495" s="1457">
        <v>1</v>
      </c>
      <c r="N495" s="1457">
        <v>1</v>
      </c>
      <c r="O495" s="1457">
        <v>2</v>
      </c>
      <c r="P495" s="241" t="s">
        <v>506</v>
      </c>
      <c r="Q495" s="241"/>
      <c r="R495" s="147"/>
      <c r="S495" s="236"/>
      <c r="T495" s="392" t="s">
        <v>1024</v>
      </c>
      <c r="U495" s="392" t="s">
        <v>1233</v>
      </c>
      <c r="AA495"/>
      <c r="AB495"/>
      <c r="AC495" s="380"/>
      <c r="AD495" s="68"/>
    </row>
    <row r="496" spans="3:30" ht="10.5" customHeight="1">
      <c r="C496" s="1463" t="s">
        <v>4288</v>
      </c>
      <c r="D496" s="1460">
        <v>1</v>
      </c>
      <c r="E496" s="1460">
        <v>1</v>
      </c>
      <c r="F496" s="1461">
        <v>2</v>
      </c>
      <c r="G496" s="1472" t="s">
        <v>4288</v>
      </c>
      <c r="H496" s="1458">
        <v>1</v>
      </c>
      <c r="I496" s="1458">
        <v>1</v>
      </c>
      <c r="J496" s="1473">
        <v>2</v>
      </c>
      <c r="K496" s="1462"/>
      <c r="L496" s="1456">
        <v>13047030401</v>
      </c>
      <c r="M496" s="1457">
        <v>1</v>
      </c>
      <c r="N496" s="1457">
        <v>1</v>
      </c>
      <c r="O496" s="1457">
        <v>2</v>
      </c>
      <c r="P496" s="241" t="s">
        <v>508</v>
      </c>
      <c r="Q496" s="241"/>
      <c r="R496" s="147"/>
      <c r="S496" s="236"/>
      <c r="T496" s="236" t="s">
        <v>1026</v>
      </c>
      <c r="U496" s="236" t="s">
        <v>609</v>
      </c>
      <c r="AA496"/>
      <c r="AB496"/>
      <c r="AC496" s="68"/>
      <c r="AD496" s="68"/>
    </row>
    <row r="497" spans="3:30" ht="10.5" customHeight="1">
      <c r="C497" s="1463" t="s">
        <v>4289</v>
      </c>
      <c r="D497" s="1460">
        <v>0</v>
      </c>
      <c r="E497" s="1460">
        <v>0</v>
      </c>
      <c r="F497" s="1461">
        <v>0</v>
      </c>
      <c r="G497" s="1472" t="s">
        <v>4289</v>
      </c>
      <c r="H497" s="1458">
        <v>1</v>
      </c>
      <c r="I497" s="1458">
        <v>0</v>
      </c>
      <c r="J497" s="1473">
        <v>0</v>
      </c>
      <c r="K497" s="1462"/>
      <c r="L497" s="1456">
        <v>13047030402</v>
      </c>
      <c r="M497" s="1457">
        <v>1</v>
      </c>
      <c r="N497" s="1457">
        <v>0</v>
      </c>
      <c r="O497" s="1457">
        <v>0</v>
      </c>
      <c r="P497" s="241" t="s">
        <v>669</v>
      </c>
      <c r="Q497" s="241"/>
      <c r="R497" s="147"/>
      <c r="S497" s="236"/>
      <c r="T497" s="392" t="s">
        <v>247</v>
      </c>
      <c r="U497" s="392" t="s">
        <v>306</v>
      </c>
      <c r="AA497"/>
      <c r="AB497"/>
      <c r="AC497" s="380"/>
      <c r="AD497" s="68"/>
    </row>
    <row r="498" spans="3:30" ht="10.5" customHeight="1">
      <c r="C498" s="1463" t="s">
        <v>4290</v>
      </c>
      <c r="D498" s="1460">
        <v>1</v>
      </c>
      <c r="E498" s="1460">
        <v>0</v>
      </c>
      <c r="F498" s="1461">
        <v>1</v>
      </c>
      <c r="G498" s="1472" t="s">
        <v>4290</v>
      </c>
      <c r="H498" s="1458">
        <v>0</v>
      </c>
      <c r="I498" s="1458">
        <v>0</v>
      </c>
      <c r="J498" s="1473">
        <v>0</v>
      </c>
      <c r="K498" s="1462"/>
      <c r="L498" s="1456">
        <v>13047030500</v>
      </c>
      <c r="M498" s="1457">
        <v>1</v>
      </c>
      <c r="N498" s="1457">
        <v>0</v>
      </c>
      <c r="O498" s="1457">
        <v>1</v>
      </c>
      <c r="P498" s="241" t="s">
        <v>545</v>
      </c>
      <c r="Q498" s="241"/>
      <c r="R498" s="147"/>
      <c r="S498" s="236"/>
      <c r="T498" s="392" t="s">
        <v>249</v>
      </c>
      <c r="U498" s="392" t="s">
        <v>2211</v>
      </c>
      <c r="AA498"/>
      <c r="AB498"/>
      <c r="AC498" s="380"/>
      <c r="AD498" s="68"/>
    </row>
    <row r="499" spans="3:30" ht="10.5" customHeight="1">
      <c r="C499" s="1463" t="s">
        <v>4291</v>
      </c>
      <c r="D499" s="1460">
        <v>0</v>
      </c>
      <c r="E499" s="1460">
        <v>0</v>
      </c>
      <c r="F499" s="1461">
        <v>0</v>
      </c>
      <c r="G499" s="1472" t="s">
        <v>4291</v>
      </c>
      <c r="H499" s="1458">
        <v>1</v>
      </c>
      <c r="I499" s="1458">
        <v>0</v>
      </c>
      <c r="J499" s="1473">
        <v>1</v>
      </c>
      <c r="K499" s="1462"/>
      <c r="L499" s="1456">
        <v>13047030600</v>
      </c>
      <c r="M499" s="1457">
        <v>1</v>
      </c>
      <c r="N499" s="1457">
        <v>0</v>
      </c>
      <c r="O499" s="1457">
        <v>1</v>
      </c>
      <c r="P499" s="241" t="s">
        <v>546</v>
      </c>
      <c r="Q499" s="241"/>
      <c r="R499" s="147"/>
      <c r="S499" s="236"/>
      <c r="T499" s="236" t="s">
        <v>3350</v>
      </c>
      <c r="U499" s="236" t="s">
        <v>813</v>
      </c>
      <c r="AA499"/>
      <c r="AB499"/>
      <c r="AC499" s="68"/>
      <c r="AD499" s="68"/>
    </row>
    <row r="500" spans="3:30" ht="10.5" customHeight="1">
      <c r="C500" s="1463" t="s">
        <v>4292</v>
      </c>
      <c r="D500" s="1460">
        <v>0</v>
      </c>
      <c r="E500" s="1460">
        <v>0</v>
      </c>
      <c r="F500" s="1461">
        <v>0</v>
      </c>
      <c r="G500" s="1472" t="s">
        <v>4292</v>
      </c>
      <c r="H500" s="1458">
        <v>0</v>
      </c>
      <c r="I500" s="1458">
        <v>0</v>
      </c>
      <c r="J500" s="1473">
        <v>0</v>
      </c>
      <c r="K500" s="1462"/>
      <c r="L500" s="1456">
        <v>13047030700</v>
      </c>
      <c r="M500" s="1457">
        <v>0</v>
      </c>
      <c r="N500" s="1457">
        <v>0</v>
      </c>
      <c r="O500" s="1457">
        <v>0</v>
      </c>
      <c r="P500" s="241" t="s">
        <v>1927</v>
      </c>
      <c r="Q500" s="241"/>
      <c r="R500" s="147"/>
      <c r="S500" s="236"/>
      <c r="T500" s="392" t="s">
        <v>2147</v>
      </c>
      <c r="U500" s="392" t="s">
        <v>1032</v>
      </c>
      <c r="AA500"/>
      <c r="AB500"/>
      <c r="AC500" s="380"/>
      <c r="AD500" s="68"/>
    </row>
    <row r="501" spans="3:30" ht="10.5" customHeight="1">
      <c r="C501" s="1463" t="s">
        <v>4293</v>
      </c>
      <c r="D501" s="1460">
        <v>0</v>
      </c>
      <c r="E501" s="1460">
        <v>0</v>
      </c>
      <c r="F501" s="1461">
        <v>0</v>
      </c>
      <c r="G501" s="1472" t="s">
        <v>4293</v>
      </c>
      <c r="H501" s="1458">
        <v>0</v>
      </c>
      <c r="I501" s="1458">
        <v>0</v>
      </c>
      <c r="J501" s="1473">
        <v>0</v>
      </c>
      <c r="K501" s="1462"/>
      <c r="L501" s="1456">
        <v>13049010100</v>
      </c>
      <c r="M501" s="1457">
        <v>0</v>
      </c>
      <c r="N501" s="1457">
        <v>0</v>
      </c>
      <c r="O501" s="1457">
        <v>0</v>
      </c>
      <c r="P501" s="241" t="s">
        <v>437</v>
      </c>
      <c r="Q501" s="241"/>
      <c r="R501" s="147"/>
      <c r="S501" s="236"/>
      <c r="T501" s="392" t="s">
        <v>455</v>
      </c>
      <c r="U501" s="392" t="s">
        <v>1553</v>
      </c>
      <c r="AA501"/>
      <c r="AB501"/>
      <c r="AC501" s="380"/>
      <c r="AD501" s="68"/>
    </row>
    <row r="502" spans="3:30" ht="10.5" customHeight="1">
      <c r="C502" s="1463" t="s">
        <v>4294</v>
      </c>
      <c r="D502" s="1460">
        <v>0</v>
      </c>
      <c r="E502" s="1460">
        <v>0</v>
      </c>
      <c r="F502" s="1461">
        <v>0</v>
      </c>
      <c r="G502" s="1472" t="s">
        <v>4294</v>
      </c>
      <c r="H502" s="1458">
        <v>0</v>
      </c>
      <c r="I502" s="1458">
        <v>0</v>
      </c>
      <c r="J502" s="1473">
        <v>0</v>
      </c>
      <c r="K502" s="1462"/>
      <c r="L502" s="1456">
        <v>13049010200</v>
      </c>
      <c r="M502" s="1457">
        <v>0</v>
      </c>
      <c r="N502" s="1457">
        <v>0</v>
      </c>
      <c r="O502" s="1457">
        <v>0</v>
      </c>
      <c r="P502" s="241" t="s">
        <v>438</v>
      </c>
      <c r="Q502" s="241"/>
      <c r="R502" s="147"/>
      <c r="S502" s="236"/>
      <c r="T502" s="392" t="s">
        <v>2547</v>
      </c>
      <c r="U502" s="392" t="s">
        <v>2027</v>
      </c>
      <c r="AA502"/>
      <c r="AB502"/>
      <c r="AC502" s="380"/>
      <c r="AD502" s="68"/>
    </row>
    <row r="503" spans="3:30" ht="10.5" customHeight="1">
      <c r="C503" s="1463" t="s">
        <v>4295</v>
      </c>
      <c r="D503" s="1460">
        <v>0</v>
      </c>
      <c r="E503" s="1460">
        <v>0</v>
      </c>
      <c r="F503" s="1461">
        <v>0</v>
      </c>
      <c r="G503" s="1472" t="s">
        <v>4295</v>
      </c>
      <c r="H503" s="1458">
        <v>0</v>
      </c>
      <c r="I503" s="1458" t="s">
        <v>3911</v>
      </c>
      <c r="J503" s="1473">
        <v>0</v>
      </c>
      <c r="K503" s="1462"/>
      <c r="L503" s="1456">
        <v>13051000100</v>
      </c>
      <c r="M503" s="1457">
        <v>0</v>
      </c>
      <c r="N503" s="1457">
        <v>0</v>
      </c>
      <c r="O503" s="1457">
        <v>0</v>
      </c>
      <c r="P503" s="241" t="s">
        <v>1189</v>
      </c>
      <c r="Q503" s="241"/>
      <c r="R503" s="147"/>
      <c r="S503" s="236"/>
      <c r="T503" s="392" t="s">
        <v>640</v>
      </c>
      <c r="U503" s="392" t="s">
        <v>155</v>
      </c>
      <c r="AA503"/>
      <c r="AB503"/>
      <c r="AC503" s="380"/>
      <c r="AD503" s="68"/>
    </row>
    <row r="504" spans="3:30" ht="10.5" customHeight="1">
      <c r="C504" s="1463" t="s">
        <v>4296</v>
      </c>
      <c r="D504" s="1460">
        <v>1</v>
      </c>
      <c r="E504" s="1460">
        <v>1</v>
      </c>
      <c r="F504" s="1461">
        <v>2</v>
      </c>
      <c r="G504" s="1472" t="s">
        <v>4296</v>
      </c>
      <c r="H504" s="1458">
        <v>1</v>
      </c>
      <c r="I504" s="1458">
        <v>1</v>
      </c>
      <c r="J504" s="1473">
        <v>2</v>
      </c>
      <c r="K504" s="1462"/>
      <c r="L504" s="1456">
        <v>13051000300</v>
      </c>
      <c r="M504" s="1457">
        <v>1</v>
      </c>
      <c r="N504" s="1457">
        <v>1</v>
      </c>
      <c r="O504" s="1457">
        <v>2</v>
      </c>
      <c r="P504" s="241" t="s">
        <v>931</v>
      </c>
      <c r="Q504" s="241"/>
      <c r="R504" s="147"/>
      <c r="S504" s="236"/>
      <c r="T504" s="392" t="s">
        <v>487</v>
      </c>
      <c r="U504" s="392" t="s">
        <v>684</v>
      </c>
      <c r="AA504"/>
      <c r="AB504"/>
      <c r="AC504" s="380"/>
      <c r="AD504" s="68"/>
    </row>
    <row r="505" spans="3:30" ht="10.5" customHeight="1">
      <c r="C505" s="1463" t="s">
        <v>4297</v>
      </c>
      <c r="D505" s="1460">
        <v>0</v>
      </c>
      <c r="E505" s="1460">
        <v>0</v>
      </c>
      <c r="F505" s="1461">
        <v>0</v>
      </c>
      <c r="G505" s="1472" t="s">
        <v>4297</v>
      </c>
      <c r="H505" s="1458">
        <v>0</v>
      </c>
      <c r="I505" s="1458">
        <v>0</v>
      </c>
      <c r="J505" s="1473">
        <v>0</v>
      </c>
      <c r="K505" s="1462"/>
      <c r="L505" s="1456">
        <v>13051000601</v>
      </c>
      <c r="M505" s="1457">
        <v>0</v>
      </c>
      <c r="N505" s="1457">
        <v>0</v>
      </c>
      <c r="O505" s="1457">
        <v>0</v>
      </c>
      <c r="P505" s="241" t="s">
        <v>933</v>
      </c>
      <c r="Q505" s="241"/>
      <c r="R505" s="147"/>
      <c r="S505" s="236"/>
      <c r="T505" s="392" t="s">
        <v>489</v>
      </c>
      <c r="U505" s="392" t="s">
        <v>1252</v>
      </c>
      <c r="AA505"/>
      <c r="AB505"/>
      <c r="AC505" s="380"/>
      <c r="AD505" s="68"/>
    </row>
    <row r="506" spans="3:30" ht="10.5" customHeight="1">
      <c r="C506" s="1463" t="s">
        <v>4298</v>
      </c>
      <c r="D506" s="1460">
        <v>0</v>
      </c>
      <c r="E506" s="1460">
        <v>0</v>
      </c>
      <c r="F506" s="1461">
        <v>0</v>
      </c>
      <c r="G506" s="1472" t="s">
        <v>4298</v>
      </c>
      <c r="H506" s="1458">
        <v>0</v>
      </c>
      <c r="I506" s="1458">
        <v>1</v>
      </c>
      <c r="J506" s="1473">
        <v>1</v>
      </c>
      <c r="K506" s="1462"/>
      <c r="L506" s="1456">
        <v>13051000900</v>
      </c>
      <c r="M506" s="1457">
        <v>0</v>
      </c>
      <c r="N506" s="1457">
        <v>1</v>
      </c>
      <c r="O506" s="1457">
        <v>1</v>
      </c>
      <c r="P506" s="241" t="s">
        <v>934</v>
      </c>
      <c r="Q506" s="241"/>
      <c r="R506" s="147"/>
      <c r="S506" s="236"/>
      <c r="T506" s="392" t="s">
        <v>491</v>
      </c>
      <c r="U506" s="392" t="s">
        <v>1367</v>
      </c>
      <c r="AA506"/>
      <c r="AB506"/>
      <c r="AC506" s="380"/>
      <c r="AD506" s="68"/>
    </row>
    <row r="507" spans="3:30" ht="10.5" customHeight="1">
      <c r="C507" s="1463" t="s">
        <v>4299</v>
      </c>
      <c r="D507" s="1460">
        <v>0</v>
      </c>
      <c r="E507" s="1460">
        <v>0</v>
      </c>
      <c r="F507" s="1461">
        <v>0</v>
      </c>
      <c r="G507" s="1472" t="s">
        <v>4299</v>
      </c>
      <c r="H507" s="1458">
        <v>0</v>
      </c>
      <c r="I507" s="1458">
        <v>0</v>
      </c>
      <c r="J507" s="1473">
        <v>0</v>
      </c>
      <c r="K507" s="1462"/>
      <c r="L507" s="1456">
        <v>13051001100</v>
      </c>
      <c r="M507" s="1457">
        <v>0</v>
      </c>
      <c r="N507" s="1457">
        <v>0</v>
      </c>
      <c r="O507" s="1457">
        <v>0</v>
      </c>
      <c r="P507" s="241" t="s">
        <v>133</v>
      </c>
      <c r="Q507" s="241"/>
      <c r="R507" s="147"/>
      <c r="S507" s="236"/>
      <c r="T507" s="392" t="s">
        <v>493</v>
      </c>
      <c r="U507" s="392" t="s">
        <v>813</v>
      </c>
      <c r="AA507"/>
      <c r="AB507"/>
      <c r="AC507" s="380"/>
      <c r="AD507" s="68"/>
    </row>
    <row r="508" spans="3:30" ht="10.5" customHeight="1">
      <c r="C508" s="1463" t="s">
        <v>4300</v>
      </c>
      <c r="D508" s="1460">
        <v>0</v>
      </c>
      <c r="E508" s="1460">
        <v>0</v>
      </c>
      <c r="F508" s="1461">
        <v>0</v>
      </c>
      <c r="G508" s="1472" t="s">
        <v>4300</v>
      </c>
      <c r="H508" s="1458">
        <v>0</v>
      </c>
      <c r="I508" s="1458">
        <v>0</v>
      </c>
      <c r="J508" s="1473">
        <v>0</v>
      </c>
      <c r="K508" s="1462"/>
      <c r="L508" s="1456">
        <v>13051001200</v>
      </c>
      <c r="M508" s="1457">
        <v>0</v>
      </c>
      <c r="N508" s="1457">
        <v>0</v>
      </c>
      <c r="O508" s="1457">
        <v>0</v>
      </c>
      <c r="P508" s="241" t="s">
        <v>134</v>
      </c>
      <c r="Q508" s="241"/>
      <c r="R508" s="147"/>
      <c r="S508" s="236"/>
      <c r="T508" s="392" t="s">
        <v>495</v>
      </c>
      <c r="U508" s="392" t="s">
        <v>1659</v>
      </c>
      <c r="AA508"/>
      <c r="AB508"/>
      <c r="AC508" s="380"/>
      <c r="AD508" s="68"/>
    </row>
    <row r="509" spans="3:30" ht="10.5" customHeight="1">
      <c r="C509" s="1463" t="s">
        <v>4301</v>
      </c>
      <c r="D509" s="1460">
        <v>0</v>
      </c>
      <c r="E509" s="1460">
        <v>0</v>
      </c>
      <c r="F509" s="1461">
        <v>0</v>
      </c>
      <c r="G509" s="1472" t="s">
        <v>4301</v>
      </c>
      <c r="H509" s="1458">
        <v>0</v>
      </c>
      <c r="I509" s="1458" t="s">
        <v>3911</v>
      </c>
      <c r="J509" s="1473">
        <v>0</v>
      </c>
      <c r="K509" s="1462"/>
      <c r="L509" s="1456">
        <v>13051001500</v>
      </c>
      <c r="M509" s="1457">
        <v>0</v>
      </c>
      <c r="N509" s="1457">
        <v>0</v>
      </c>
      <c r="O509" s="1457">
        <v>0</v>
      </c>
      <c r="P509" s="241" t="s">
        <v>136</v>
      </c>
      <c r="Q509" s="241"/>
      <c r="R509" s="147"/>
      <c r="S509" s="236"/>
      <c r="T509" s="392" t="s">
        <v>507</v>
      </c>
      <c r="U509" s="392" t="s">
        <v>317</v>
      </c>
      <c r="AA509"/>
      <c r="AB509"/>
      <c r="AC509" s="380"/>
      <c r="AD509" s="68"/>
    </row>
    <row r="510" spans="3:30" ht="10.5" customHeight="1">
      <c r="C510" s="1463" t="s">
        <v>4302</v>
      </c>
      <c r="D510" s="1460">
        <v>0</v>
      </c>
      <c r="E510" s="1460">
        <v>0</v>
      </c>
      <c r="F510" s="1461">
        <v>0</v>
      </c>
      <c r="G510" s="1472" t="s">
        <v>4302</v>
      </c>
      <c r="H510" s="1458">
        <v>0</v>
      </c>
      <c r="I510" s="1458">
        <v>0</v>
      </c>
      <c r="J510" s="1473">
        <v>0</v>
      </c>
      <c r="K510" s="1462"/>
      <c r="L510" s="1456">
        <v>13051002000</v>
      </c>
      <c r="M510" s="1457">
        <v>0</v>
      </c>
      <c r="N510" s="1457">
        <v>0</v>
      </c>
      <c r="O510" s="1457">
        <v>0</v>
      </c>
      <c r="P510" s="241" t="s">
        <v>2389</v>
      </c>
      <c r="Q510" s="241"/>
      <c r="R510" s="147"/>
      <c r="S510" s="236"/>
      <c r="T510" s="392" t="s">
        <v>509</v>
      </c>
      <c r="U510" s="392" t="s">
        <v>404</v>
      </c>
      <c r="AA510"/>
      <c r="AB510"/>
      <c r="AC510" s="380"/>
      <c r="AD510" s="68"/>
    </row>
    <row r="511" spans="3:30" ht="10.5" customHeight="1">
      <c r="C511" s="1463" t="s">
        <v>4303</v>
      </c>
      <c r="D511" s="1460">
        <v>0</v>
      </c>
      <c r="E511" s="1460">
        <v>0</v>
      </c>
      <c r="F511" s="1461">
        <v>0</v>
      </c>
      <c r="G511" s="1472" t="s">
        <v>4303</v>
      </c>
      <c r="H511" s="1458">
        <v>0</v>
      </c>
      <c r="I511" s="1458">
        <v>0</v>
      </c>
      <c r="J511" s="1473">
        <v>0</v>
      </c>
      <c r="K511" s="1462"/>
      <c r="L511" s="1456">
        <v>13051002100</v>
      </c>
      <c r="M511" s="1457">
        <v>0</v>
      </c>
      <c r="N511" s="1457">
        <v>0</v>
      </c>
      <c r="O511" s="1457">
        <v>0</v>
      </c>
      <c r="P511" s="241" t="s">
        <v>1944</v>
      </c>
      <c r="Q511" s="241"/>
      <c r="R511" s="147"/>
      <c r="S511" s="236"/>
      <c r="T511" s="236" t="s">
        <v>646</v>
      </c>
      <c r="U511" s="236" t="s">
        <v>1133</v>
      </c>
      <c r="AA511"/>
      <c r="AB511"/>
      <c r="AC511" s="68"/>
      <c r="AD511" s="68"/>
    </row>
    <row r="512" spans="3:30" ht="10.5" customHeight="1">
      <c r="C512" s="1463" t="s">
        <v>4304</v>
      </c>
      <c r="D512" s="1460">
        <v>0</v>
      </c>
      <c r="E512" s="1460">
        <v>0</v>
      </c>
      <c r="F512" s="1461">
        <v>0</v>
      </c>
      <c r="G512" s="1472" t="s">
        <v>4304</v>
      </c>
      <c r="H512" s="1458">
        <v>0</v>
      </c>
      <c r="I512" s="1458">
        <v>0</v>
      </c>
      <c r="J512" s="1473">
        <v>0</v>
      </c>
      <c r="K512" s="1462"/>
      <c r="L512" s="1456">
        <v>13051002200</v>
      </c>
      <c r="M512" s="1457">
        <v>0</v>
      </c>
      <c r="N512" s="1457">
        <v>0</v>
      </c>
      <c r="O512" s="1457">
        <v>0</v>
      </c>
      <c r="P512" s="241" t="s">
        <v>1946</v>
      </c>
      <c r="Q512" s="241"/>
      <c r="R512" s="147"/>
      <c r="S512" s="236"/>
      <c r="T512" s="392" t="s">
        <v>772</v>
      </c>
      <c r="U512" s="392" t="s">
        <v>609</v>
      </c>
      <c r="AA512"/>
      <c r="AB512"/>
      <c r="AC512" s="380"/>
      <c r="AD512" s="68"/>
    </row>
    <row r="513" spans="3:30" ht="10.5" customHeight="1">
      <c r="C513" s="1463" t="s">
        <v>4305</v>
      </c>
      <c r="D513" s="1460">
        <v>0</v>
      </c>
      <c r="E513" s="1460">
        <v>0</v>
      </c>
      <c r="F513" s="1461">
        <v>0</v>
      </c>
      <c r="G513" s="1472" t="s">
        <v>4305</v>
      </c>
      <c r="H513" s="1458">
        <v>0</v>
      </c>
      <c r="I513" s="1458">
        <v>0</v>
      </c>
      <c r="J513" s="1473">
        <v>0</v>
      </c>
      <c r="K513" s="1462"/>
      <c r="L513" s="1456">
        <v>13051002300</v>
      </c>
      <c r="M513" s="1457">
        <v>0</v>
      </c>
      <c r="N513" s="1457">
        <v>0</v>
      </c>
      <c r="O513" s="1457">
        <v>0</v>
      </c>
      <c r="P513" s="241" t="s">
        <v>547</v>
      </c>
      <c r="Q513" s="241"/>
      <c r="R513" s="147"/>
      <c r="S513" s="236"/>
      <c r="T513" s="392" t="s">
        <v>1527</v>
      </c>
      <c r="U513" s="392" t="s">
        <v>618</v>
      </c>
      <c r="AA513"/>
      <c r="AB513"/>
      <c r="AC513" s="380"/>
      <c r="AD513" s="68"/>
    </row>
    <row r="514" spans="3:30" ht="10.5" customHeight="1">
      <c r="C514" s="1463" t="s">
        <v>4306</v>
      </c>
      <c r="D514" s="1460">
        <v>0</v>
      </c>
      <c r="E514" s="1460">
        <v>0</v>
      </c>
      <c r="F514" s="1461">
        <v>0</v>
      </c>
      <c r="G514" s="1472" t="s">
        <v>4306</v>
      </c>
      <c r="H514" s="1458">
        <v>0</v>
      </c>
      <c r="I514" s="1458" t="s">
        <v>3911</v>
      </c>
      <c r="J514" s="1473">
        <v>0</v>
      </c>
      <c r="K514" s="1462"/>
      <c r="L514" s="1456">
        <v>13051002600</v>
      </c>
      <c r="M514" s="1457">
        <v>0</v>
      </c>
      <c r="N514" s="1457">
        <v>0</v>
      </c>
      <c r="O514" s="1457">
        <v>0</v>
      </c>
      <c r="P514" s="241" t="s">
        <v>2163</v>
      </c>
      <c r="Q514" s="241"/>
      <c r="R514" s="147"/>
      <c r="S514" s="236"/>
      <c r="T514" s="392" t="s">
        <v>1928</v>
      </c>
      <c r="U514" s="392" t="s">
        <v>1032</v>
      </c>
      <c r="AA514"/>
      <c r="AB514"/>
      <c r="AC514" s="380"/>
      <c r="AD514" s="68"/>
    </row>
    <row r="515" spans="3:30" ht="10.5" customHeight="1">
      <c r="C515" s="1463" t="s">
        <v>4307</v>
      </c>
      <c r="D515" s="1460">
        <v>0</v>
      </c>
      <c r="E515" s="1460">
        <v>0</v>
      </c>
      <c r="F515" s="1461">
        <v>0</v>
      </c>
      <c r="G515" s="1472" t="s">
        <v>4307</v>
      </c>
      <c r="H515" s="1458">
        <v>0</v>
      </c>
      <c r="I515" s="1458">
        <v>0</v>
      </c>
      <c r="J515" s="1473">
        <v>0</v>
      </c>
      <c r="K515" s="1462"/>
      <c r="L515" s="1456">
        <v>13051002700</v>
      </c>
      <c r="M515" s="1457">
        <v>0</v>
      </c>
      <c r="N515" s="1457">
        <v>0</v>
      </c>
      <c r="O515" s="1457">
        <v>0</v>
      </c>
      <c r="P515" s="241" t="s">
        <v>657</v>
      </c>
      <c r="Q515" s="241"/>
      <c r="R515" s="147"/>
      <c r="S515" s="236"/>
      <c r="T515" s="392" t="s">
        <v>1529</v>
      </c>
      <c r="U515" s="392" t="s">
        <v>1864</v>
      </c>
      <c r="AA515"/>
      <c r="AB515"/>
      <c r="AC515" s="380"/>
      <c r="AD515" s="68"/>
    </row>
    <row r="516" spans="3:30" ht="10.5" customHeight="1">
      <c r="C516" s="1463" t="s">
        <v>4308</v>
      </c>
      <c r="D516" s="1460">
        <v>0</v>
      </c>
      <c r="E516" s="1460">
        <v>0</v>
      </c>
      <c r="F516" s="1461">
        <v>0</v>
      </c>
      <c r="G516" s="1472" t="s">
        <v>4308</v>
      </c>
      <c r="H516" s="1458">
        <v>0</v>
      </c>
      <c r="I516" s="1458">
        <v>0</v>
      </c>
      <c r="J516" s="1473">
        <v>0</v>
      </c>
      <c r="K516" s="1462"/>
      <c r="L516" s="1456">
        <v>13051002800</v>
      </c>
      <c r="M516" s="1457">
        <v>0</v>
      </c>
      <c r="N516" s="1457">
        <v>0</v>
      </c>
      <c r="O516" s="1457">
        <v>0</v>
      </c>
      <c r="P516" s="241" t="s">
        <v>659</v>
      </c>
      <c r="Q516" s="241"/>
      <c r="R516" s="147"/>
      <c r="S516" s="236"/>
      <c r="T516" s="392" t="s">
        <v>439</v>
      </c>
      <c r="U516" s="392" t="s">
        <v>1243</v>
      </c>
      <c r="AA516"/>
      <c r="AB516"/>
      <c r="AC516" s="380"/>
      <c r="AD516" s="68"/>
    </row>
    <row r="517" spans="3:30" ht="10.5" customHeight="1">
      <c r="C517" s="1463" t="s">
        <v>4309</v>
      </c>
      <c r="D517" s="1460">
        <v>1</v>
      </c>
      <c r="E517" s="1460">
        <v>1</v>
      </c>
      <c r="F517" s="1461">
        <v>2</v>
      </c>
      <c r="G517" s="1472" t="s">
        <v>4309</v>
      </c>
      <c r="H517" s="1458">
        <v>1</v>
      </c>
      <c r="I517" s="1458">
        <v>1</v>
      </c>
      <c r="J517" s="1473">
        <v>2</v>
      </c>
      <c r="K517" s="1462"/>
      <c r="L517" s="1456">
        <v>13051002900</v>
      </c>
      <c r="M517" s="1457">
        <v>1</v>
      </c>
      <c r="N517" s="1457">
        <v>1</v>
      </c>
      <c r="O517" s="1457">
        <v>2</v>
      </c>
      <c r="P517" s="241" t="s">
        <v>2110</v>
      </c>
      <c r="Q517" s="241"/>
      <c r="R517" s="147"/>
      <c r="S517" s="236"/>
      <c r="T517" s="392" t="s">
        <v>177</v>
      </c>
      <c r="U517" s="392" t="s">
        <v>152</v>
      </c>
      <c r="AA517"/>
      <c r="AB517"/>
      <c r="AC517" s="380"/>
      <c r="AD517" s="68"/>
    </row>
    <row r="518" spans="3:30" ht="10.5" customHeight="1">
      <c r="C518" s="1463" t="s">
        <v>4310</v>
      </c>
      <c r="D518" s="1460">
        <v>1</v>
      </c>
      <c r="E518" s="1460">
        <v>1</v>
      </c>
      <c r="F518" s="1461">
        <v>2</v>
      </c>
      <c r="G518" s="1472" t="s">
        <v>4310</v>
      </c>
      <c r="H518" s="1458">
        <v>1</v>
      </c>
      <c r="I518" s="1458">
        <v>0</v>
      </c>
      <c r="J518" s="1473">
        <v>1</v>
      </c>
      <c r="K518" s="1462"/>
      <c r="L518" s="1456">
        <v>13051003000</v>
      </c>
      <c r="M518" s="1457">
        <v>1</v>
      </c>
      <c r="N518" s="1457">
        <v>1</v>
      </c>
      <c r="O518" s="1457">
        <v>2</v>
      </c>
      <c r="P518" s="241" t="s">
        <v>37</v>
      </c>
      <c r="Q518" s="241"/>
      <c r="R518" s="147"/>
      <c r="S518" s="236"/>
      <c r="T518" s="392" t="s">
        <v>1190</v>
      </c>
      <c r="U518" s="392" t="s">
        <v>312</v>
      </c>
      <c r="AA518"/>
      <c r="AB518"/>
      <c r="AC518" s="380"/>
      <c r="AD518" s="68"/>
    </row>
    <row r="519" spans="3:30" ht="10.5" customHeight="1">
      <c r="C519" s="1463" t="s">
        <v>4311</v>
      </c>
      <c r="D519" s="1460">
        <v>0</v>
      </c>
      <c r="E519" s="1460">
        <v>0</v>
      </c>
      <c r="F519" s="1461">
        <v>0</v>
      </c>
      <c r="G519" s="1472" t="s">
        <v>4311</v>
      </c>
      <c r="H519" s="1458">
        <v>0</v>
      </c>
      <c r="I519" s="1458">
        <v>0</v>
      </c>
      <c r="J519" s="1473">
        <v>0</v>
      </c>
      <c r="K519" s="1462"/>
      <c r="L519" s="1456">
        <v>13051003301</v>
      </c>
      <c r="M519" s="1457">
        <v>0</v>
      </c>
      <c r="N519" s="1457">
        <v>0</v>
      </c>
      <c r="O519" s="1457">
        <v>0</v>
      </c>
      <c r="P519" s="241" t="s">
        <v>38</v>
      </c>
      <c r="Q519" s="241"/>
      <c r="R519" s="147"/>
      <c r="S519" s="236"/>
      <c r="T519" s="392" t="s">
        <v>932</v>
      </c>
      <c r="U519" s="392" t="s">
        <v>1364</v>
      </c>
      <c r="AA519"/>
      <c r="AB519"/>
      <c r="AC519" s="380"/>
      <c r="AD519" s="68"/>
    </row>
    <row r="520" spans="3:30" ht="10.5" customHeight="1">
      <c r="C520" s="1463" t="s">
        <v>4312</v>
      </c>
      <c r="D520" s="1460">
        <v>0</v>
      </c>
      <c r="E520" s="1460">
        <v>0</v>
      </c>
      <c r="F520" s="1461">
        <v>0</v>
      </c>
      <c r="G520" s="1472" t="s">
        <v>4312</v>
      </c>
      <c r="H520" s="1458">
        <v>0</v>
      </c>
      <c r="I520" s="1458">
        <v>0</v>
      </c>
      <c r="J520" s="1473">
        <v>0</v>
      </c>
      <c r="K520" s="1462"/>
      <c r="L520" s="1456">
        <v>13051003302</v>
      </c>
      <c r="M520" s="1457">
        <v>0</v>
      </c>
      <c r="N520" s="1457">
        <v>0</v>
      </c>
      <c r="O520" s="1457">
        <v>0</v>
      </c>
      <c r="P520" s="241" t="s">
        <v>2077</v>
      </c>
      <c r="Q520" s="241"/>
      <c r="R520" s="147"/>
      <c r="S520" s="236"/>
      <c r="T520" s="392" t="s">
        <v>995</v>
      </c>
      <c r="U520" s="392" t="s">
        <v>168</v>
      </c>
      <c r="AA520"/>
      <c r="AB520"/>
      <c r="AC520" s="380"/>
      <c r="AD520" s="68"/>
    </row>
    <row r="521" spans="3:30" ht="10.5" customHeight="1">
      <c r="C521" s="1463" t="s">
        <v>4313</v>
      </c>
      <c r="D521" s="1460">
        <v>1</v>
      </c>
      <c r="E521" s="1460">
        <v>0</v>
      </c>
      <c r="F521" s="1461">
        <v>1</v>
      </c>
      <c r="G521" s="1472" t="s">
        <v>4313</v>
      </c>
      <c r="H521" s="1458">
        <v>0</v>
      </c>
      <c r="I521" s="1458">
        <v>0</v>
      </c>
      <c r="J521" s="1473">
        <v>0</v>
      </c>
      <c r="K521" s="1462"/>
      <c r="L521" s="1456">
        <v>13051003400</v>
      </c>
      <c r="M521" s="1457">
        <v>1</v>
      </c>
      <c r="N521" s="1457">
        <v>0</v>
      </c>
      <c r="O521" s="1457">
        <v>1</v>
      </c>
      <c r="P521" s="241" t="s">
        <v>2104</v>
      </c>
      <c r="Q521" s="241"/>
      <c r="R521" s="147"/>
      <c r="S521" s="236"/>
      <c r="T521" s="392" t="s">
        <v>132</v>
      </c>
      <c r="U521" s="392" t="s">
        <v>2330</v>
      </c>
      <c r="AA521"/>
      <c r="AB521"/>
      <c r="AC521" s="380"/>
      <c r="AD521" s="68"/>
    </row>
    <row r="522" spans="3:30" ht="10.5" customHeight="1">
      <c r="C522" s="1463" t="s">
        <v>4314</v>
      </c>
      <c r="D522" s="1460">
        <v>0</v>
      </c>
      <c r="E522" s="1460">
        <v>0</v>
      </c>
      <c r="F522" s="1461">
        <v>0</v>
      </c>
      <c r="G522" s="1472" t="s">
        <v>4314</v>
      </c>
      <c r="H522" s="1458">
        <v>0</v>
      </c>
      <c r="I522" s="1458">
        <v>0</v>
      </c>
      <c r="J522" s="1473">
        <v>0</v>
      </c>
      <c r="K522" s="1462"/>
      <c r="L522" s="1456">
        <v>13051003501</v>
      </c>
      <c r="M522" s="1457">
        <v>0</v>
      </c>
      <c r="N522" s="1457">
        <v>0</v>
      </c>
      <c r="O522" s="1457">
        <v>0</v>
      </c>
      <c r="P522" s="241" t="s">
        <v>371</v>
      </c>
      <c r="Q522" s="241"/>
      <c r="R522" s="147"/>
      <c r="S522" s="236"/>
      <c r="T522" s="392" t="s">
        <v>2379</v>
      </c>
      <c r="U522" s="392" t="s">
        <v>1255</v>
      </c>
      <c r="AA522"/>
      <c r="AB522"/>
      <c r="AC522" s="380"/>
      <c r="AD522" s="68"/>
    </row>
    <row r="523" spans="3:30" ht="10.5" customHeight="1">
      <c r="C523" s="1463" t="s">
        <v>4315</v>
      </c>
      <c r="D523" s="1460">
        <v>0</v>
      </c>
      <c r="E523" s="1460">
        <v>0</v>
      </c>
      <c r="F523" s="1461">
        <v>0</v>
      </c>
      <c r="G523" s="1472" t="s">
        <v>4315</v>
      </c>
      <c r="H523" s="1458">
        <v>0</v>
      </c>
      <c r="I523" s="1458">
        <v>0</v>
      </c>
      <c r="J523" s="1473">
        <v>0</v>
      </c>
      <c r="K523" s="1462"/>
      <c r="L523" s="1456">
        <v>13051003502</v>
      </c>
      <c r="M523" s="1457">
        <v>0</v>
      </c>
      <c r="N523" s="1457">
        <v>0</v>
      </c>
      <c r="O523" s="1457">
        <v>0</v>
      </c>
      <c r="P523" s="241" t="s">
        <v>373</v>
      </c>
      <c r="Q523" s="241"/>
      <c r="R523" s="147"/>
      <c r="S523" s="236"/>
      <c r="T523" s="392" t="s">
        <v>135</v>
      </c>
      <c r="U523" s="392" t="s">
        <v>609</v>
      </c>
      <c r="AA523"/>
      <c r="AB523"/>
      <c r="AC523" s="380"/>
      <c r="AD523" s="68"/>
    </row>
    <row r="524" spans="3:30" ht="10.5" customHeight="1">
      <c r="C524" s="1463" t="s">
        <v>4316</v>
      </c>
      <c r="D524" s="1460">
        <v>0</v>
      </c>
      <c r="E524" s="1460">
        <v>0</v>
      </c>
      <c r="F524" s="1461">
        <v>0</v>
      </c>
      <c r="G524" s="1472" t="s">
        <v>4316</v>
      </c>
      <c r="H524" s="1458">
        <v>0</v>
      </c>
      <c r="I524" s="1458" t="s">
        <v>3911</v>
      </c>
      <c r="J524" s="1473">
        <v>0</v>
      </c>
      <c r="K524" s="1462"/>
      <c r="L524" s="1456">
        <v>13051003601</v>
      </c>
      <c r="M524" s="1457">
        <v>0</v>
      </c>
      <c r="N524" s="1457">
        <v>0</v>
      </c>
      <c r="O524" s="1457">
        <v>0</v>
      </c>
      <c r="P524" s="241" t="s">
        <v>375</v>
      </c>
      <c r="Q524" s="241"/>
      <c r="R524" s="147"/>
      <c r="S524" s="236"/>
      <c r="T524" s="236" t="s">
        <v>137</v>
      </c>
      <c r="U524" s="236" t="s">
        <v>2288</v>
      </c>
      <c r="AA524"/>
      <c r="AB524"/>
      <c r="AC524" s="68"/>
      <c r="AD524" s="68"/>
    </row>
    <row r="525" spans="3:30" ht="10.5" customHeight="1">
      <c r="C525" s="1463" t="s">
        <v>4317</v>
      </c>
      <c r="D525" s="1460">
        <v>0</v>
      </c>
      <c r="E525" s="1460">
        <v>0</v>
      </c>
      <c r="F525" s="1461">
        <v>0</v>
      </c>
      <c r="G525" s="1472" t="s">
        <v>4317</v>
      </c>
      <c r="H525" s="1458">
        <v>0</v>
      </c>
      <c r="I525" s="1458">
        <v>0</v>
      </c>
      <c r="J525" s="1473">
        <v>0</v>
      </c>
      <c r="K525" s="1462"/>
      <c r="L525" s="1456">
        <v>13051003602</v>
      </c>
      <c r="M525" s="1457">
        <v>0</v>
      </c>
      <c r="N525" s="1457">
        <v>0</v>
      </c>
      <c r="O525" s="1457">
        <v>0</v>
      </c>
      <c r="P525" s="241" t="s">
        <v>377</v>
      </c>
      <c r="Q525" s="241"/>
      <c r="R525" s="147"/>
      <c r="S525" s="236"/>
      <c r="T525" s="236" t="s">
        <v>2390</v>
      </c>
      <c r="U525" s="236" t="s">
        <v>1247</v>
      </c>
      <c r="AA525"/>
      <c r="AB525"/>
      <c r="AC525" s="68"/>
      <c r="AD525" s="68"/>
    </row>
    <row r="526" spans="3:30" ht="10.5" customHeight="1">
      <c r="C526" s="1463" t="s">
        <v>4318</v>
      </c>
      <c r="D526" s="1460">
        <v>0</v>
      </c>
      <c r="E526" s="1460">
        <v>0</v>
      </c>
      <c r="F526" s="1461">
        <v>0</v>
      </c>
      <c r="G526" s="1472" t="s">
        <v>4318</v>
      </c>
      <c r="H526" s="1458">
        <v>0</v>
      </c>
      <c r="I526" s="1458">
        <v>0</v>
      </c>
      <c r="J526" s="1473">
        <v>0</v>
      </c>
      <c r="K526" s="1462"/>
      <c r="L526" s="1456">
        <v>13051003700</v>
      </c>
      <c r="M526" s="1457">
        <v>0</v>
      </c>
      <c r="N526" s="1457">
        <v>0</v>
      </c>
      <c r="O526" s="1457">
        <v>0</v>
      </c>
      <c r="P526" s="241" t="s">
        <v>1481</v>
      </c>
      <c r="Q526" s="241"/>
      <c r="R526" s="147"/>
      <c r="S526" s="236"/>
      <c r="T526" s="236" t="s">
        <v>1945</v>
      </c>
      <c r="U526" s="236" t="s">
        <v>2294</v>
      </c>
      <c r="AA526"/>
      <c r="AB526"/>
      <c r="AC526" s="68"/>
      <c r="AD526" s="68"/>
    </row>
    <row r="527" spans="3:30" ht="10.5" customHeight="1">
      <c r="C527" s="1463" t="s">
        <v>4319</v>
      </c>
      <c r="D527" s="1460">
        <v>0</v>
      </c>
      <c r="E527" s="1460">
        <v>0</v>
      </c>
      <c r="F527" s="1461">
        <v>0</v>
      </c>
      <c r="G527" s="1472" t="s">
        <v>4319</v>
      </c>
      <c r="H527" s="1458">
        <v>0</v>
      </c>
      <c r="I527" s="1458">
        <v>0</v>
      </c>
      <c r="J527" s="1473">
        <v>0</v>
      </c>
      <c r="K527" s="1462"/>
      <c r="L527" s="1456">
        <v>13051003800</v>
      </c>
      <c r="M527" s="1457">
        <v>0</v>
      </c>
      <c r="N527" s="1457">
        <v>0</v>
      </c>
      <c r="O527" s="1457">
        <v>0</v>
      </c>
      <c r="P527" s="241" t="s">
        <v>1483</v>
      </c>
      <c r="Q527" s="241"/>
      <c r="R527" s="147"/>
      <c r="S527" s="236"/>
      <c r="T527" s="392" t="s">
        <v>703</v>
      </c>
      <c r="U527" s="392" t="s">
        <v>116</v>
      </c>
      <c r="AA527"/>
      <c r="AB527"/>
      <c r="AC527" s="380"/>
      <c r="AD527" s="68"/>
    </row>
    <row r="528" spans="3:30" ht="10.5" customHeight="1">
      <c r="C528" s="1463" t="s">
        <v>4320</v>
      </c>
      <c r="D528" s="1460">
        <v>0</v>
      </c>
      <c r="E528" s="1460">
        <v>0</v>
      </c>
      <c r="F528" s="1461">
        <v>0</v>
      </c>
      <c r="G528" s="1472" t="s">
        <v>4320</v>
      </c>
      <c r="H528" s="1458">
        <v>0</v>
      </c>
      <c r="I528" s="1458" t="s">
        <v>3911</v>
      </c>
      <c r="J528" s="1473">
        <v>0</v>
      </c>
      <c r="K528" s="1462"/>
      <c r="L528" s="1456">
        <v>13051003900</v>
      </c>
      <c r="M528" s="1457">
        <v>0</v>
      </c>
      <c r="N528" s="1457">
        <v>0</v>
      </c>
      <c r="O528" s="1457">
        <v>0</v>
      </c>
      <c r="P528" s="241" t="s">
        <v>1485</v>
      </c>
      <c r="Q528" s="241"/>
      <c r="R528" s="147"/>
      <c r="S528" s="236"/>
      <c r="T528" s="392" t="s">
        <v>704</v>
      </c>
      <c r="U528" s="392" t="s">
        <v>177</v>
      </c>
      <c r="AA528"/>
      <c r="AB528"/>
      <c r="AC528" s="380"/>
      <c r="AD528" s="68"/>
    </row>
    <row r="529" spans="3:30" ht="10.5" customHeight="1">
      <c r="C529" s="1463" t="s">
        <v>4321</v>
      </c>
      <c r="D529" s="1460">
        <v>0</v>
      </c>
      <c r="E529" s="1460">
        <v>0</v>
      </c>
      <c r="F529" s="1461">
        <v>0</v>
      </c>
      <c r="G529" s="1472" t="s">
        <v>4321</v>
      </c>
      <c r="H529" s="1458">
        <v>1</v>
      </c>
      <c r="I529" s="1458">
        <v>1</v>
      </c>
      <c r="J529" s="1473">
        <v>2</v>
      </c>
      <c r="K529" s="1462"/>
      <c r="L529" s="1456">
        <v>13051004001</v>
      </c>
      <c r="M529" s="1457">
        <v>1</v>
      </c>
      <c r="N529" s="1457">
        <v>1</v>
      </c>
      <c r="O529" s="1457">
        <v>2</v>
      </c>
      <c r="P529" s="241" t="s">
        <v>2388</v>
      </c>
      <c r="Q529" s="241"/>
      <c r="R529" s="147"/>
      <c r="S529" s="236"/>
      <c r="T529" s="392" t="s">
        <v>658</v>
      </c>
      <c r="U529" s="392" t="s">
        <v>686</v>
      </c>
      <c r="AA529"/>
      <c r="AB529"/>
      <c r="AC529" s="380"/>
      <c r="AD529" s="68"/>
    </row>
    <row r="530" spans="3:30" ht="10.5" customHeight="1">
      <c r="C530" s="1463" t="s">
        <v>4322</v>
      </c>
      <c r="D530" s="1460">
        <v>0</v>
      </c>
      <c r="E530" s="1460">
        <v>0</v>
      </c>
      <c r="F530" s="1461">
        <v>0</v>
      </c>
      <c r="G530" s="1472" t="s">
        <v>4322</v>
      </c>
      <c r="H530" s="1458">
        <v>0</v>
      </c>
      <c r="I530" s="1458">
        <v>0</v>
      </c>
      <c r="J530" s="1473">
        <v>0</v>
      </c>
      <c r="K530" s="1462"/>
      <c r="L530" s="1456">
        <v>13051004002</v>
      </c>
      <c r="M530" s="1457">
        <v>0</v>
      </c>
      <c r="N530" s="1457">
        <v>0</v>
      </c>
      <c r="O530" s="1457">
        <v>0</v>
      </c>
      <c r="P530" s="241" t="s">
        <v>2260</v>
      </c>
      <c r="Q530" s="241"/>
      <c r="R530" s="147"/>
      <c r="S530" s="236"/>
      <c r="T530" s="392" t="s">
        <v>660</v>
      </c>
      <c r="U530" s="392" t="s">
        <v>1041</v>
      </c>
      <c r="AA530"/>
      <c r="AB530"/>
      <c r="AC530" s="380"/>
      <c r="AD530" s="68"/>
    </row>
    <row r="531" spans="3:30" ht="10.5" customHeight="1">
      <c r="C531" s="1463" t="s">
        <v>4323</v>
      </c>
      <c r="D531" s="1460">
        <v>1</v>
      </c>
      <c r="E531" s="1460">
        <v>0</v>
      </c>
      <c r="F531" s="1461">
        <v>1</v>
      </c>
      <c r="G531" s="1472" t="s">
        <v>4323</v>
      </c>
      <c r="H531" s="1458">
        <v>1</v>
      </c>
      <c r="I531" s="1458">
        <v>0</v>
      </c>
      <c r="J531" s="1473">
        <v>1</v>
      </c>
      <c r="K531" s="1462"/>
      <c r="L531" s="1456">
        <v>13051004100</v>
      </c>
      <c r="M531" s="1457">
        <v>1</v>
      </c>
      <c r="N531" s="1457">
        <v>0</v>
      </c>
      <c r="O531" s="1457">
        <v>1</v>
      </c>
      <c r="P531" s="241" t="s">
        <v>1696</v>
      </c>
      <c r="Q531" s="241"/>
      <c r="R531" s="147"/>
      <c r="S531" s="236"/>
      <c r="T531" s="392" t="s">
        <v>2111</v>
      </c>
      <c r="U531" s="392" t="s">
        <v>1133</v>
      </c>
      <c r="AA531"/>
      <c r="AB531"/>
      <c r="AC531" s="380"/>
      <c r="AD531" s="68"/>
    </row>
    <row r="532" spans="3:30" ht="10.5" customHeight="1">
      <c r="C532" s="1463" t="s">
        <v>4324</v>
      </c>
      <c r="D532" s="1460">
        <v>0</v>
      </c>
      <c r="E532" s="1460">
        <v>0</v>
      </c>
      <c r="F532" s="1461">
        <v>0</v>
      </c>
      <c r="G532" s="1472" t="s">
        <v>4324</v>
      </c>
      <c r="H532" s="1458">
        <v>0</v>
      </c>
      <c r="I532" s="1458">
        <v>0</v>
      </c>
      <c r="J532" s="1473">
        <v>0</v>
      </c>
      <c r="K532" s="1462"/>
      <c r="L532" s="1456">
        <v>13051004207</v>
      </c>
      <c r="M532" s="1457">
        <v>0</v>
      </c>
      <c r="N532" s="1457">
        <v>0</v>
      </c>
      <c r="O532" s="1457">
        <v>0</v>
      </c>
      <c r="P532" s="241" t="s">
        <v>1698</v>
      </c>
      <c r="Q532" s="241"/>
      <c r="R532" s="147"/>
      <c r="S532" s="236"/>
      <c r="T532" s="392" t="s">
        <v>39</v>
      </c>
      <c r="U532" s="392" t="s">
        <v>1246</v>
      </c>
      <c r="AA532"/>
      <c r="AB532"/>
      <c r="AC532" s="380"/>
      <c r="AD532" s="68"/>
    </row>
    <row r="533" spans="3:30" ht="10.5" customHeight="1">
      <c r="C533" s="1463" t="s">
        <v>4325</v>
      </c>
      <c r="D533" s="1460">
        <v>0</v>
      </c>
      <c r="E533" s="1460">
        <v>0</v>
      </c>
      <c r="F533" s="1461">
        <v>0</v>
      </c>
      <c r="G533" s="1472" t="s">
        <v>4325</v>
      </c>
      <c r="H533" s="1458">
        <v>0</v>
      </c>
      <c r="I533" s="1458">
        <v>0</v>
      </c>
      <c r="J533" s="1473">
        <v>0</v>
      </c>
      <c r="K533" s="1462"/>
      <c r="L533" s="1456">
        <v>13051004208</v>
      </c>
      <c r="M533" s="1457">
        <v>0</v>
      </c>
      <c r="N533" s="1457">
        <v>0</v>
      </c>
      <c r="O533" s="1457">
        <v>0</v>
      </c>
      <c r="P533" s="241" t="s">
        <v>1700</v>
      </c>
      <c r="Q533" s="241"/>
      <c r="R533" s="147"/>
      <c r="S533" s="236"/>
      <c r="T533" s="392" t="s">
        <v>2078</v>
      </c>
      <c r="U533" s="392" t="s">
        <v>1240</v>
      </c>
      <c r="AA533"/>
      <c r="AB533"/>
      <c r="AC533" s="380"/>
      <c r="AD533" s="68"/>
    </row>
    <row r="534" spans="3:30" ht="10.5" customHeight="1">
      <c r="C534" s="1463" t="s">
        <v>4326</v>
      </c>
      <c r="D534" s="1460">
        <v>0</v>
      </c>
      <c r="E534" s="1460">
        <v>0</v>
      </c>
      <c r="F534" s="1461">
        <v>0</v>
      </c>
      <c r="G534" s="1472" t="s">
        <v>4326</v>
      </c>
      <c r="H534" s="1458">
        <v>0</v>
      </c>
      <c r="I534" s="1458">
        <v>0</v>
      </c>
      <c r="J534" s="1473">
        <v>0</v>
      </c>
      <c r="K534" s="1462"/>
      <c r="L534" s="1456">
        <v>13051004209</v>
      </c>
      <c r="M534" s="1457">
        <v>0</v>
      </c>
      <c r="N534" s="1457">
        <v>0</v>
      </c>
      <c r="O534" s="1457">
        <v>0</v>
      </c>
      <c r="P534" s="241" t="s">
        <v>1701</v>
      </c>
      <c r="Q534" s="241"/>
      <c r="R534" s="147"/>
      <c r="S534" s="236"/>
      <c r="T534" s="392" t="s">
        <v>773</v>
      </c>
      <c r="U534" s="392" t="s">
        <v>168</v>
      </c>
      <c r="AA534"/>
      <c r="AB534"/>
      <c r="AC534" s="380"/>
      <c r="AD534" s="68"/>
    </row>
    <row r="535" spans="3:30" ht="10.5" customHeight="1">
      <c r="C535" s="1463" t="s">
        <v>4327</v>
      </c>
      <c r="D535" s="1460">
        <v>0</v>
      </c>
      <c r="E535" s="1460">
        <v>0</v>
      </c>
      <c r="F535" s="1461">
        <v>0</v>
      </c>
      <c r="G535" s="1472" t="s">
        <v>4327</v>
      </c>
      <c r="H535" s="1458">
        <v>0</v>
      </c>
      <c r="I535" s="1458">
        <v>0</v>
      </c>
      <c r="J535" s="1473">
        <v>0</v>
      </c>
      <c r="K535" s="1462"/>
      <c r="L535" s="1456">
        <v>13051004210</v>
      </c>
      <c r="M535" s="1457">
        <v>0</v>
      </c>
      <c r="N535" s="1457">
        <v>0</v>
      </c>
      <c r="O535" s="1457">
        <v>0</v>
      </c>
      <c r="P535" s="241" t="s">
        <v>1703</v>
      </c>
      <c r="Q535" s="241"/>
      <c r="R535" s="147"/>
      <c r="S535" s="236"/>
      <c r="T535" s="392" t="s">
        <v>967</v>
      </c>
      <c r="U535" s="392" t="s">
        <v>1029</v>
      </c>
      <c r="AA535"/>
      <c r="AB535"/>
      <c r="AC535" s="380"/>
      <c r="AD535" s="68"/>
    </row>
    <row r="536" spans="3:30" ht="10.5" customHeight="1">
      <c r="C536" s="1463" t="s">
        <v>4328</v>
      </c>
      <c r="D536" s="1460">
        <v>0</v>
      </c>
      <c r="E536" s="1460">
        <v>0</v>
      </c>
      <c r="F536" s="1461">
        <v>0</v>
      </c>
      <c r="G536" s="1472" t="s">
        <v>4328</v>
      </c>
      <c r="H536" s="1458">
        <v>0</v>
      </c>
      <c r="I536" s="1458">
        <v>0</v>
      </c>
      <c r="J536" s="1473">
        <v>0</v>
      </c>
      <c r="K536" s="1462"/>
      <c r="L536" s="1456">
        <v>13051004211</v>
      </c>
      <c r="M536" s="1457">
        <v>0</v>
      </c>
      <c r="N536" s="1457">
        <v>0</v>
      </c>
      <c r="O536" s="1457">
        <v>0</v>
      </c>
      <c r="P536" s="241" t="s">
        <v>1705</v>
      </c>
      <c r="Q536" s="241"/>
      <c r="R536" s="147"/>
      <c r="S536" s="236"/>
      <c r="T536" s="392" t="s">
        <v>372</v>
      </c>
      <c r="U536" s="392" t="s">
        <v>2384</v>
      </c>
      <c r="AA536"/>
      <c r="AB536"/>
      <c r="AC536" s="380"/>
      <c r="AD536" s="68"/>
    </row>
    <row r="537" spans="3:30" ht="10.5" customHeight="1">
      <c r="C537" s="1463" t="s">
        <v>4329</v>
      </c>
      <c r="D537" s="1460">
        <v>0</v>
      </c>
      <c r="E537" s="1460">
        <v>1</v>
      </c>
      <c r="F537" s="1461">
        <v>1</v>
      </c>
      <c r="G537" s="1472" t="s">
        <v>4329</v>
      </c>
      <c r="H537" s="1458">
        <v>0</v>
      </c>
      <c r="I537" s="1458">
        <v>1</v>
      </c>
      <c r="J537" s="1473">
        <v>1</v>
      </c>
      <c r="K537" s="1462"/>
      <c r="L537" s="1456">
        <v>13051004212</v>
      </c>
      <c r="M537" s="1457">
        <v>0</v>
      </c>
      <c r="N537" s="1457">
        <v>1</v>
      </c>
      <c r="O537" s="1457">
        <v>1</v>
      </c>
      <c r="P537" s="241" t="s">
        <v>1707</v>
      </c>
      <c r="Q537" s="241"/>
      <c r="R537" s="147"/>
      <c r="S537" s="236"/>
      <c r="T537" s="392" t="s">
        <v>374</v>
      </c>
      <c r="U537" s="392" t="s">
        <v>2012</v>
      </c>
      <c r="AA537"/>
      <c r="AB537"/>
      <c r="AC537" s="380"/>
      <c r="AD537" s="68"/>
    </row>
    <row r="538" spans="3:30" ht="10.5" customHeight="1">
      <c r="C538" s="1463" t="s">
        <v>4330</v>
      </c>
      <c r="D538" s="1460">
        <v>0</v>
      </c>
      <c r="E538" s="1460">
        <v>1</v>
      </c>
      <c r="F538" s="1461">
        <v>1</v>
      </c>
      <c r="G538" s="1472" t="s">
        <v>4330</v>
      </c>
      <c r="H538" s="1458">
        <v>0</v>
      </c>
      <c r="I538" s="1458" t="s">
        <v>3911</v>
      </c>
      <c r="J538" s="1473">
        <v>0</v>
      </c>
      <c r="K538" s="1462"/>
      <c r="L538" s="1456">
        <v>13051004300</v>
      </c>
      <c r="M538" s="1457">
        <v>0</v>
      </c>
      <c r="N538" s="1457">
        <v>1</v>
      </c>
      <c r="O538" s="1457">
        <v>1</v>
      </c>
      <c r="P538" s="241" t="s">
        <v>1709</v>
      </c>
      <c r="Q538" s="241"/>
      <c r="R538" s="147"/>
      <c r="S538" s="236"/>
      <c r="T538" s="392" t="s">
        <v>376</v>
      </c>
      <c r="U538" s="392" t="s">
        <v>2330</v>
      </c>
      <c r="AA538"/>
      <c r="AB538"/>
      <c r="AC538" s="380"/>
      <c r="AD538" s="68"/>
    </row>
    <row r="539" spans="3:30" ht="10.5" customHeight="1">
      <c r="C539" s="1463" t="s">
        <v>4331</v>
      </c>
      <c r="D539" s="1460">
        <v>0</v>
      </c>
      <c r="E539" s="1460">
        <v>0</v>
      </c>
      <c r="F539" s="1461">
        <v>0</v>
      </c>
      <c r="G539" s="1472" t="s">
        <v>4331</v>
      </c>
      <c r="H539" s="1458">
        <v>0</v>
      </c>
      <c r="I539" s="1458">
        <v>0</v>
      </c>
      <c r="J539" s="1473">
        <v>0</v>
      </c>
      <c r="K539" s="1462"/>
      <c r="L539" s="1456">
        <v>13051004400</v>
      </c>
      <c r="M539" s="1457">
        <v>0</v>
      </c>
      <c r="N539" s="1457">
        <v>0</v>
      </c>
      <c r="O539" s="1457">
        <v>0</v>
      </c>
      <c r="P539" s="241" t="s">
        <v>1710</v>
      </c>
      <c r="Q539" s="241"/>
      <c r="R539" s="147"/>
      <c r="S539" s="236"/>
      <c r="T539" s="392" t="s">
        <v>2384</v>
      </c>
      <c r="U539" s="392" t="s">
        <v>1657</v>
      </c>
      <c r="AA539"/>
      <c r="AB539"/>
      <c r="AC539" s="380"/>
      <c r="AD539" s="68"/>
    </row>
    <row r="540" spans="3:30" ht="10.5" customHeight="1">
      <c r="C540" s="1463" t="s">
        <v>4332</v>
      </c>
      <c r="D540" s="1460">
        <v>0</v>
      </c>
      <c r="E540" s="1460">
        <v>0</v>
      </c>
      <c r="F540" s="1461">
        <v>0</v>
      </c>
      <c r="G540" s="1472" t="s">
        <v>4332</v>
      </c>
      <c r="H540" s="1458">
        <v>0</v>
      </c>
      <c r="I540" s="1458">
        <v>0</v>
      </c>
      <c r="J540" s="1473">
        <v>0</v>
      </c>
      <c r="K540" s="1462"/>
      <c r="L540" s="1456">
        <v>13051004500</v>
      </c>
      <c r="M540" s="1457">
        <v>0</v>
      </c>
      <c r="N540" s="1457">
        <v>0</v>
      </c>
      <c r="O540" s="1457">
        <v>0</v>
      </c>
      <c r="P540" s="241" t="s">
        <v>1679</v>
      </c>
      <c r="Q540" s="241"/>
      <c r="R540" s="147"/>
      <c r="S540" s="236"/>
      <c r="T540" s="392" t="s">
        <v>1482</v>
      </c>
      <c r="U540" s="392" t="s">
        <v>2292</v>
      </c>
      <c r="AA540"/>
      <c r="AB540"/>
      <c r="AC540" s="380"/>
      <c r="AD540" s="68"/>
    </row>
    <row r="541" spans="3:30" ht="10.5" customHeight="1">
      <c r="C541" s="1463" t="s">
        <v>4333</v>
      </c>
      <c r="D541" s="1460">
        <v>0</v>
      </c>
      <c r="E541" s="1460">
        <v>0</v>
      </c>
      <c r="F541" s="1461">
        <v>0</v>
      </c>
      <c r="G541" s="1472" t="s">
        <v>4333</v>
      </c>
      <c r="H541" s="1458" t="s">
        <v>3911</v>
      </c>
      <c r="I541" s="1458">
        <v>0</v>
      </c>
      <c r="J541" s="1473">
        <v>0</v>
      </c>
      <c r="K541" s="1462"/>
      <c r="L541" s="1456">
        <v>13051010101</v>
      </c>
      <c r="M541" s="1457">
        <v>0</v>
      </c>
      <c r="N541" s="1457">
        <v>0</v>
      </c>
      <c r="O541" s="1457">
        <v>0</v>
      </c>
      <c r="P541" s="241" t="s">
        <v>1530</v>
      </c>
      <c r="Q541" s="241"/>
      <c r="R541" s="147"/>
      <c r="S541" s="236"/>
      <c r="T541" s="392" t="s">
        <v>1484</v>
      </c>
      <c r="U541" s="392" t="s">
        <v>310</v>
      </c>
      <c r="AA541"/>
      <c r="AB541"/>
      <c r="AC541" s="380"/>
      <c r="AD541" s="68"/>
    </row>
    <row r="542" spans="3:30" ht="10.5" customHeight="1">
      <c r="C542" s="1463" t="s">
        <v>4334</v>
      </c>
      <c r="D542" s="1460">
        <v>0</v>
      </c>
      <c r="E542" s="1460">
        <v>0</v>
      </c>
      <c r="F542" s="1461">
        <v>0</v>
      </c>
      <c r="G542" s="1472" t="s">
        <v>4334</v>
      </c>
      <c r="H542" s="1458">
        <v>0</v>
      </c>
      <c r="I542" s="1458">
        <v>0</v>
      </c>
      <c r="J542" s="1473">
        <v>0</v>
      </c>
      <c r="K542" s="1462"/>
      <c r="L542" s="1456">
        <v>13051010102</v>
      </c>
      <c r="M542" s="1457">
        <v>0</v>
      </c>
      <c r="N542" s="1457">
        <v>0</v>
      </c>
      <c r="O542" s="1457">
        <v>0</v>
      </c>
      <c r="P542" s="241" t="s">
        <v>1531</v>
      </c>
      <c r="Q542" s="241"/>
      <c r="R542" s="147"/>
      <c r="S542" s="236"/>
      <c r="T542" s="392" t="s">
        <v>1350</v>
      </c>
      <c r="U542" s="392" t="s">
        <v>115</v>
      </c>
      <c r="AA542"/>
      <c r="AB542"/>
      <c r="AC542" s="380"/>
      <c r="AD542" s="68"/>
    </row>
    <row r="543" spans="3:30" ht="10.5" customHeight="1">
      <c r="C543" s="1463" t="s">
        <v>4335</v>
      </c>
      <c r="D543" s="1460">
        <v>0</v>
      </c>
      <c r="E543" s="1460">
        <v>0</v>
      </c>
      <c r="F543" s="1461">
        <v>0</v>
      </c>
      <c r="G543" s="1472" t="s">
        <v>4335</v>
      </c>
      <c r="H543" s="1458">
        <v>1</v>
      </c>
      <c r="I543" s="1458">
        <v>0</v>
      </c>
      <c r="J543" s="1473">
        <v>1</v>
      </c>
      <c r="K543" s="1462"/>
      <c r="L543" s="1456">
        <v>13051010200</v>
      </c>
      <c r="M543" s="1457">
        <v>1</v>
      </c>
      <c r="N543" s="1457">
        <v>0</v>
      </c>
      <c r="O543" s="1457">
        <v>1</v>
      </c>
      <c r="P543" s="241" t="s">
        <v>1533</v>
      </c>
      <c r="Q543" s="241"/>
      <c r="R543" s="147"/>
      <c r="S543" s="236"/>
      <c r="T543" s="392" t="s">
        <v>2259</v>
      </c>
      <c r="U543" s="392" t="s">
        <v>2294</v>
      </c>
      <c r="AA543"/>
      <c r="AB543"/>
      <c r="AC543" s="380"/>
      <c r="AD543" s="68"/>
    </row>
    <row r="544" spans="3:30" ht="10.5" customHeight="1">
      <c r="C544" s="1463" t="s">
        <v>4336</v>
      </c>
      <c r="D544" s="1460">
        <v>0</v>
      </c>
      <c r="E544" s="1460">
        <v>0</v>
      </c>
      <c r="F544" s="1461">
        <v>0</v>
      </c>
      <c r="G544" s="1472" t="s">
        <v>4336</v>
      </c>
      <c r="H544" s="1458">
        <v>0</v>
      </c>
      <c r="I544" s="1458" t="s">
        <v>3911</v>
      </c>
      <c r="J544" s="1473">
        <v>0</v>
      </c>
      <c r="K544" s="1462"/>
      <c r="L544" s="1456">
        <v>13051010501</v>
      </c>
      <c r="M544" s="1457">
        <v>0</v>
      </c>
      <c r="N544" s="1457">
        <v>0</v>
      </c>
      <c r="O544" s="1457">
        <v>0</v>
      </c>
      <c r="P544" s="241" t="s">
        <v>2102</v>
      </c>
      <c r="Q544" s="241"/>
      <c r="R544" s="147"/>
      <c r="S544" s="236"/>
      <c r="T544" s="236" t="s">
        <v>1689</v>
      </c>
      <c r="U544" s="236" t="s">
        <v>2385</v>
      </c>
      <c r="AA544"/>
      <c r="AB544"/>
      <c r="AC544" s="68"/>
      <c r="AD544" s="68"/>
    </row>
    <row r="545" spans="3:30" ht="10.5" customHeight="1">
      <c r="C545" s="1463" t="s">
        <v>4337</v>
      </c>
      <c r="D545" s="1460">
        <v>0</v>
      </c>
      <c r="E545" s="1460">
        <v>0</v>
      </c>
      <c r="F545" s="1461">
        <v>0</v>
      </c>
      <c r="G545" s="1472" t="s">
        <v>4337</v>
      </c>
      <c r="H545" s="1458">
        <v>0</v>
      </c>
      <c r="I545" s="1458">
        <v>0</v>
      </c>
      <c r="J545" s="1473">
        <v>0</v>
      </c>
      <c r="K545" s="1462"/>
      <c r="L545" s="1456">
        <v>13051010502</v>
      </c>
      <c r="M545" s="1457">
        <v>0</v>
      </c>
      <c r="N545" s="1457">
        <v>0</v>
      </c>
      <c r="O545" s="1457">
        <v>0</v>
      </c>
      <c r="P545" s="241" t="s">
        <v>519</v>
      </c>
      <c r="Q545" s="241"/>
      <c r="R545" s="147"/>
      <c r="S545" s="236"/>
      <c r="T545" s="392" t="s">
        <v>1697</v>
      </c>
      <c r="U545" s="392" t="s">
        <v>98</v>
      </c>
      <c r="AA545"/>
      <c r="AB545"/>
      <c r="AC545" s="380"/>
      <c r="AD545" s="68"/>
    </row>
    <row r="546" spans="3:30" ht="10.5" customHeight="1">
      <c r="C546" s="1463" t="s">
        <v>4338</v>
      </c>
      <c r="D546" s="1460">
        <v>0</v>
      </c>
      <c r="E546" s="1460">
        <v>0</v>
      </c>
      <c r="F546" s="1461">
        <v>0</v>
      </c>
      <c r="G546" s="1472" t="s">
        <v>4338</v>
      </c>
      <c r="H546" s="1458">
        <v>0</v>
      </c>
      <c r="I546" s="1458">
        <v>0</v>
      </c>
      <c r="J546" s="1473">
        <v>0</v>
      </c>
      <c r="K546" s="1462"/>
      <c r="L546" s="1456">
        <v>13051010601</v>
      </c>
      <c r="M546" s="1457">
        <v>0</v>
      </c>
      <c r="N546" s="1457">
        <v>0</v>
      </c>
      <c r="O546" s="1457">
        <v>0</v>
      </c>
      <c r="P546" s="241" t="s">
        <v>521</v>
      </c>
      <c r="Q546" s="241"/>
      <c r="R546" s="147"/>
      <c r="S546" s="236"/>
      <c r="T546" s="392" t="s">
        <v>1699</v>
      </c>
      <c r="U546" s="392" t="s">
        <v>2074</v>
      </c>
      <c r="AA546"/>
      <c r="AB546"/>
      <c r="AC546" s="380"/>
      <c r="AD546" s="68"/>
    </row>
    <row r="547" spans="3:30" ht="10.5" customHeight="1">
      <c r="C547" s="1463" t="s">
        <v>4339</v>
      </c>
      <c r="D547" s="1460">
        <v>1</v>
      </c>
      <c r="E547" s="1460">
        <v>0</v>
      </c>
      <c r="F547" s="1461">
        <v>1</v>
      </c>
      <c r="G547" s="1472" t="s">
        <v>4339</v>
      </c>
      <c r="H547" s="1458">
        <v>1</v>
      </c>
      <c r="I547" s="1458">
        <v>0</v>
      </c>
      <c r="J547" s="1473">
        <v>1</v>
      </c>
      <c r="K547" s="1462"/>
      <c r="L547" s="1456">
        <v>13051010603</v>
      </c>
      <c r="M547" s="1457">
        <v>1</v>
      </c>
      <c r="N547" s="1457">
        <v>0</v>
      </c>
      <c r="O547" s="1457">
        <v>1</v>
      </c>
      <c r="P547" s="241" t="s">
        <v>523</v>
      </c>
      <c r="Q547" s="241"/>
      <c r="R547" s="147"/>
      <c r="S547" s="236"/>
      <c r="T547" s="392" t="s">
        <v>1702</v>
      </c>
      <c r="U547" s="392" t="s">
        <v>2074</v>
      </c>
      <c r="AA547"/>
      <c r="AB547"/>
      <c r="AC547" s="380"/>
      <c r="AD547" s="68"/>
    </row>
    <row r="548" spans="3:30" ht="10.5" customHeight="1">
      <c r="C548" s="1463" t="s">
        <v>4340</v>
      </c>
      <c r="D548" s="1460" t="s">
        <v>3911</v>
      </c>
      <c r="E548" s="1460" t="s">
        <v>3911</v>
      </c>
      <c r="F548" s="1461">
        <v>0</v>
      </c>
      <c r="G548" s="1472" t="s">
        <v>4340</v>
      </c>
      <c r="H548" s="1458" t="s">
        <v>3911</v>
      </c>
      <c r="I548" s="1458" t="s">
        <v>3911</v>
      </c>
      <c r="J548" s="1473">
        <v>0</v>
      </c>
      <c r="K548" s="1462"/>
      <c r="L548" s="1456">
        <v>13051010605</v>
      </c>
      <c r="M548" s="1457">
        <v>0</v>
      </c>
      <c r="N548" s="1457">
        <v>0</v>
      </c>
      <c r="O548" s="1457">
        <v>0</v>
      </c>
      <c r="P548" s="241" t="s">
        <v>1903</v>
      </c>
      <c r="Q548" s="241"/>
      <c r="R548" s="147"/>
      <c r="S548" s="236"/>
      <c r="T548" s="392" t="s">
        <v>1704</v>
      </c>
      <c r="U548" s="392" t="s">
        <v>298</v>
      </c>
      <c r="AA548"/>
      <c r="AB548"/>
      <c r="AC548" s="380"/>
      <c r="AD548" s="68"/>
    </row>
    <row r="549" spans="3:30" ht="10.5" customHeight="1">
      <c r="C549" s="1463" t="s">
        <v>4341</v>
      </c>
      <c r="D549" s="1460">
        <v>1</v>
      </c>
      <c r="E549" s="1460">
        <v>1</v>
      </c>
      <c r="F549" s="1461">
        <v>2</v>
      </c>
      <c r="G549" s="1472" t="s">
        <v>4341</v>
      </c>
      <c r="H549" s="1458">
        <v>1</v>
      </c>
      <c r="I549" s="1458">
        <v>1</v>
      </c>
      <c r="J549" s="1473">
        <v>2</v>
      </c>
      <c r="K549" s="1462"/>
      <c r="L549" s="1456">
        <v>13051010700</v>
      </c>
      <c r="M549" s="1457">
        <v>1</v>
      </c>
      <c r="N549" s="1457">
        <v>1</v>
      </c>
      <c r="O549" s="1457">
        <v>2</v>
      </c>
      <c r="P549" s="241" t="s">
        <v>1358</v>
      </c>
      <c r="Q549" s="241"/>
      <c r="R549" s="147"/>
      <c r="S549" s="236"/>
      <c r="T549" s="392" t="s">
        <v>1706</v>
      </c>
      <c r="U549" s="392" t="s">
        <v>1553</v>
      </c>
      <c r="AA549"/>
      <c r="AB549"/>
      <c r="AC549" s="380"/>
      <c r="AD549" s="68"/>
    </row>
    <row r="550" spans="3:30" ht="10.5" customHeight="1">
      <c r="C550" s="1463" t="s">
        <v>4342</v>
      </c>
      <c r="D550" s="1460">
        <v>1</v>
      </c>
      <c r="E550" s="1460">
        <v>0</v>
      </c>
      <c r="F550" s="1461">
        <v>1</v>
      </c>
      <c r="G550" s="1472" t="s">
        <v>4342</v>
      </c>
      <c r="H550" s="1458">
        <v>1</v>
      </c>
      <c r="I550" s="1458">
        <v>0</v>
      </c>
      <c r="J550" s="1473">
        <v>1</v>
      </c>
      <c r="K550" s="1462"/>
      <c r="L550" s="1456">
        <v>13051010801</v>
      </c>
      <c r="M550" s="1457">
        <v>1</v>
      </c>
      <c r="N550" s="1457">
        <v>0</v>
      </c>
      <c r="O550" s="1457">
        <v>1</v>
      </c>
      <c r="P550" s="241" t="s">
        <v>1360</v>
      </c>
      <c r="Q550" s="241"/>
      <c r="R550" s="147"/>
      <c r="S550" s="236"/>
      <c r="T550" s="392" t="s">
        <v>1708</v>
      </c>
      <c r="U550" s="392" t="s">
        <v>308</v>
      </c>
      <c r="AA550"/>
      <c r="AB550"/>
      <c r="AC550" s="380"/>
      <c r="AD550" s="68"/>
    </row>
    <row r="551" spans="3:30" ht="10.5" customHeight="1">
      <c r="C551" s="1463" t="s">
        <v>4343</v>
      </c>
      <c r="D551" s="1460">
        <v>1</v>
      </c>
      <c r="E551" s="1460">
        <v>1</v>
      </c>
      <c r="F551" s="1461">
        <v>2</v>
      </c>
      <c r="G551" s="1472" t="s">
        <v>4343</v>
      </c>
      <c r="H551" s="1458">
        <v>1</v>
      </c>
      <c r="I551" s="1458">
        <v>1</v>
      </c>
      <c r="J551" s="1473">
        <v>2</v>
      </c>
      <c r="K551" s="1462"/>
      <c r="L551" s="1456">
        <v>13051010802</v>
      </c>
      <c r="M551" s="1457">
        <v>1</v>
      </c>
      <c r="N551" s="1457">
        <v>1</v>
      </c>
      <c r="O551" s="1457">
        <v>2</v>
      </c>
      <c r="P551" s="241" t="s">
        <v>1361</v>
      </c>
      <c r="Q551" s="241"/>
      <c r="R551" s="147"/>
      <c r="S551" s="236"/>
      <c r="T551" s="392" t="s">
        <v>2385</v>
      </c>
      <c r="U551" s="392" t="s">
        <v>100</v>
      </c>
      <c r="AA551"/>
      <c r="AB551"/>
      <c r="AC551" s="380"/>
      <c r="AD551" s="68"/>
    </row>
    <row r="552" spans="3:30" ht="10.5" customHeight="1">
      <c r="C552" s="1463" t="s">
        <v>4344</v>
      </c>
      <c r="D552" s="1460">
        <v>1</v>
      </c>
      <c r="E552" s="1460">
        <v>1</v>
      </c>
      <c r="F552" s="1461">
        <v>2</v>
      </c>
      <c r="G552" s="1472" t="s">
        <v>4344</v>
      </c>
      <c r="H552" s="1458">
        <v>0</v>
      </c>
      <c r="I552" s="1458">
        <v>1</v>
      </c>
      <c r="J552" s="1473">
        <v>1</v>
      </c>
      <c r="K552" s="1462"/>
      <c r="L552" s="1456">
        <v>13051010803</v>
      </c>
      <c r="M552" s="1457">
        <v>1</v>
      </c>
      <c r="N552" s="1457">
        <v>1</v>
      </c>
      <c r="O552" s="1457">
        <v>2</v>
      </c>
      <c r="P552" s="241" t="s">
        <v>1479</v>
      </c>
      <c r="Q552" s="241"/>
      <c r="R552" s="147"/>
      <c r="S552" s="236"/>
      <c r="T552" s="392" t="s">
        <v>1807</v>
      </c>
      <c r="U552" s="392" t="s">
        <v>102</v>
      </c>
      <c r="AA552"/>
      <c r="AB552"/>
      <c r="AC552" s="380"/>
      <c r="AD552" s="68"/>
    </row>
    <row r="553" spans="3:30" ht="10.5" customHeight="1">
      <c r="C553" s="1463" t="s">
        <v>4345</v>
      </c>
      <c r="D553" s="1460">
        <v>1</v>
      </c>
      <c r="E553" s="1460">
        <v>1</v>
      </c>
      <c r="F553" s="1461">
        <v>2</v>
      </c>
      <c r="G553" s="1472" t="s">
        <v>4345</v>
      </c>
      <c r="H553" s="1458">
        <v>0</v>
      </c>
      <c r="I553" s="1458" t="s">
        <v>3911</v>
      </c>
      <c r="J553" s="1473">
        <v>0</v>
      </c>
      <c r="K553" s="1462"/>
      <c r="L553" s="1456">
        <v>13051010806</v>
      </c>
      <c r="M553" s="1457">
        <v>1</v>
      </c>
      <c r="N553" s="1457">
        <v>1</v>
      </c>
      <c r="O553" s="1457">
        <v>2</v>
      </c>
      <c r="P553" s="241" t="s">
        <v>1967</v>
      </c>
      <c r="Q553" s="241"/>
      <c r="R553" s="147"/>
      <c r="S553" s="236"/>
      <c r="T553" s="392" t="s">
        <v>1680</v>
      </c>
      <c r="U553" s="392" t="s">
        <v>1030</v>
      </c>
      <c r="AA553"/>
      <c r="AB553"/>
      <c r="AC553" s="380"/>
      <c r="AD553" s="68"/>
    </row>
    <row r="554" spans="3:30" ht="10.5" customHeight="1">
      <c r="C554" s="1463" t="s">
        <v>4346</v>
      </c>
      <c r="D554" s="1460">
        <v>1</v>
      </c>
      <c r="E554" s="1460">
        <v>1</v>
      </c>
      <c r="F554" s="1461">
        <v>2</v>
      </c>
      <c r="G554" s="1472" t="s">
        <v>4346</v>
      </c>
      <c r="H554" s="1458">
        <v>1</v>
      </c>
      <c r="I554" s="1458">
        <v>1</v>
      </c>
      <c r="J554" s="1473">
        <v>2</v>
      </c>
      <c r="K554" s="1462"/>
      <c r="L554" s="1456">
        <v>13051010807</v>
      </c>
      <c r="M554" s="1457">
        <v>1</v>
      </c>
      <c r="N554" s="1457">
        <v>1</v>
      </c>
      <c r="O554" s="1457">
        <v>2</v>
      </c>
      <c r="P554" s="241" t="s">
        <v>1969</v>
      </c>
      <c r="Q554" s="241"/>
      <c r="R554" s="147"/>
      <c r="S554" s="236"/>
      <c r="T554" s="392" t="s">
        <v>2386</v>
      </c>
      <c r="U554" s="392" t="s">
        <v>1243</v>
      </c>
      <c r="AA554"/>
      <c r="AB554"/>
      <c r="AC554" s="380"/>
      <c r="AD554" s="68"/>
    </row>
    <row r="555" spans="3:30" ht="10.5" customHeight="1">
      <c r="C555" s="1463" t="s">
        <v>4347</v>
      </c>
      <c r="D555" s="1460">
        <v>1</v>
      </c>
      <c r="E555" s="1460">
        <v>0</v>
      </c>
      <c r="F555" s="1461">
        <v>1</v>
      </c>
      <c r="G555" s="1472" t="s">
        <v>4347</v>
      </c>
      <c r="H555" s="1458">
        <v>1</v>
      </c>
      <c r="I555" s="1458">
        <v>0</v>
      </c>
      <c r="J555" s="1473">
        <v>1</v>
      </c>
      <c r="K555" s="1462"/>
      <c r="L555" s="1456">
        <v>13051010808</v>
      </c>
      <c r="M555" s="1457">
        <v>1</v>
      </c>
      <c r="N555" s="1457">
        <v>0</v>
      </c>
      <c r="O555" s="1457">
        <v>1</v>
      </c>
      <c r="P555" s="241" t="s">
        <v>1971</v>
      </c>
      <c r="Q555" s="241"/>
      <c r="R555" s="147"/>
      <c r="S555" s="236"/>
      <c r="T555" s="236" t="s">
        <v>1532</v>
      </c>
      <c r="U555" s="236" t="s">
        <v>2012</v>
      </c>
      <c r="AA555"/>
      <c r="AB555"/>
      <c r="AC555" s="68"/>
      <c r="AD555" s="68"/>
    </row>
    <row r="556" spans="3:30" ht="10.5" customHeight="1">
      <c r="C556" s="1463" t="s">
        <v>4348</v>
      </c>
      <c r="D556" s="1460">
        <v>1</v>
      </c>
      <c r="E556" s="1460">
        <v>1</v>
      </c>
      <c r="F556" s="1461">
        <v>2</v>
      </c>
      <c r="G556" s="1472" t="s">
        <v>4348</v>
      </c>
      <c r="H556" s="1458">
        <v>1</v>
      </c>
      <c r="I556" s="1458">
        <v>1</v>
      </c>
      <c r="J556" s="1473">
        <v>2</v>
      </c>
      <c r="K556" s="1462"/>
      <c r="L556" s="1456">
        <v>13051010809</v>
      </c>
      <c r="M556" s="1457">
        <v>1</v>
      </c>
      <c r="N556" s="1457">
        <v>1</v>
      </c>
      <c r="O556" s="1457">
        <v>2</v>
      </c>
      <c r="P556" s="241" t="s">
        <v>1352</v>
      </c>
      <c r="Q556" s="241"/>
      <c r="R556" s="147"/>
      <c r="S556" s="236"/>
      <c r="T556" s="392" t="s">
        <v>774</v>
      </c>
      <c r="U556" s="392" t="s">
        <v>2019</v>
      </c>
      <c r="AA556"/>
      <c r="AB556"/>
      <c r="AC556" s="380"/>
      <c r="AD556" s="68"/>
    </row>
    <row r="557" spans="3:30" ht="10.5" customHeight="1">
      <c r="C557" s="1463" t="s">
        <v>4349</v>
      </c>
      <c r="D557" s="1460">
        <v>0</v>
      </c>
      <c r="E557" s="1460">
        <v>0</v>
      </c>
      <c r="F557" s="1461">
        <v>0</v>
      </c>
      <c r="G557" s="1472" t="s">
        <v>4349</v>
      </c>
      <c r="H557" s="1458">
        <v>0</v>
      </c>
      <c r="I557" s="1458">
        <v>0</v>
      </c>
      <c r="J557" s="1473">
        <v>0</v>
      </c>
      <c r="K557" s="1462"/>
      <c r="L557" s="1456">
        <v>13051010901</v>
      </c>
      <c r="M557" s="1457">
        <v>0</v>
      </c>
      <c r="N557" s="1457">
        <v>0</v>
      </c>
      <c r="O557" s="1457">
        <v>0</v>
      </c>
      <c r="P557" s="241" t="s">
        <v>1354</v>
      </c>
      <c r="Q557" s="241"/>
      <c r="R557" s="147"/>
      <c r="S557" s="236"/>
      <c r="T557" s="392" t="s">
        <v>2101</v>
      </c>
      <c r="U557" s="392" t="s">
        <v>1555</v>
      </c>
      <c r="AA557"/>
      <c r="AB557"/>
      <c r="AC557" s="380"/>
      <c r="AD557" s="68"/>
    </row>
    <row r="558" spans="3:30" ht="10.5" customHeight="1">
      <c r="C558" s="1463" t="s">
        <v>4350</v>
      </c>
      <c r="D558" s="1460">
        <v>1</v>
      </c>
      <c r="E558" s="1460">
        <v>1</v>
      </c>
      <c r="F558" s="1461">
        <v>2</v>
      </c>
      <c r="G558" s="1472" t="s">
        <v>4350</v>
      </c>
      <c r="H558" s="1458">
        <v>1</v>
      </c>
      <c r="I558" s="1458">
        <v>0</v>
      </c>
      <c r="J558" s="1473">
        <v>1</v>
      </c>
      <c r="K558" s="1462"/>
      <c r="L558" s="1456">
        <v>13051011003</v>
      </c>
      <c r="M558" s="1457">
        <v>1</v>
      </c>
      <c r="N558" s="1457">
        <v>1</v>
      </c>
      <c r="O558" s="1457">
        <v>2</v>
      </c>
      <c r="P558" s="241" t="s">
        <v>1453</v>
      </c>
      <c r="Q558" s="241"/>
      <c r="R558" s="147"/>
      <c r="S558" s="236"/>
      <c r="T558" s="392" t="s">
        <v>2103</v>
      </c>
      <c r="U558" s="392" t="s">
        <v>2016</v>
      </c>
      <c r="AA558"/>
      <c r="AB558"/>
      <c r="AC558" s="380"/>
      <c r="AD558" s="68"/>
    </row>
    <row r="559" spans="3:30" ht="10.5" customHeight="1">
      <c r="C559" s="1463" t="s">
        <v>4351</v>
      </c>
      <c r="D559" s="1460">
        <v>1</v>
      </c>
      <c r="E559" s="1460">
        <v>1</v>
      </c>
      <c r="F559" s="1461">
        <v>2</v>
      </c>
      <c r="G559" s="1472" t="s">
        <v>4351</v>
      </c>
      <c r="H559" s="1458">
        <v>1</v>
      </c>
      <c r="I559" s="1458">
        <v>1</v>
      </c>
      <c r="J559" s="1473">
        <v>2</v>
      </c>
      <c r="K559" s="1462"/>
      <c r="L559" s="1456">
        <v>13051011004</v>
      </c>
      <c r="M559" s="1457">
        <v>1</v>
      </c>
      <c r="N559" s="1457">
        <v>1</v>
      </c>
      <c r="O559" s="1457">
        <v>2</v>
      </c>
      <c r="P559" s="241" t="s">
        <v>1455</v>
      </c>
      <c r="Q559" s="241"/>
      <c r="R559" s="147"/>
      <c r="S559" s="236"/>
      <c r="T559" s="392" t="s">
        <v>520</v>
      </c>
      <c r="U559" s="392" t="s">
        <v>2384</v>
      </c>
      <c r="AA559"/>
      <c r="AB559"/>
      <c r="AC559" s="380"/>
      <c r="AD559" s="68"/>
    </row>
    <row r="560" spans="3:30" ht="10.5" customHeight="1">
      <c r="C560" s="1463" t="s">
        <v>4352</v>
      </c>
      <c r="D560" s="1460">
        <v>1</v>
      </c>
      <c r="E560" s="1460">
        <v>1</v>
      </c>
      <c r="F560" s="1461">
        <v>2</v>
      </c>
      <c r="G560" s="1472" t="s">
        <v>4352</v>
      </c>
      <c r="H560" s="1458">
        <v>0</v>
      </c>
      <c r="I560" s="1458">
        <v>1</v>
      </c>
      <c r="J560" s="1473">
        <v>1</v>
      </c>
      <c r="K560" s="1462"/>
      <c r="L560" s="1456">
        <v>13051011005</v>
      </c>
      <c r="M560" s="1457">
        <v>1</v>
      </c>
      <c r="N560" s="1457">
        <v>1</v>
      </c>
      <c r="O560" s="1457">
        <v>2</v>
      </c>
      <c r="P560" s="241" t="s">
        <v>1901</v>
      </c>
      <c r="Q560" s="241"/>
      <c r="R560" s="147"/>
      <c r="S560" s="236"/>
      <c r="T560" s="392" t="s">
        <v>522</v>
      </c>
      <c r="U560" s="392" t="s">
        <v>1133</v>
      </c>
      <c r="AA560"/>
      <c r="AB560"/>
      <c r="AC560" s="380"/>
      <c r="AD560" s="68"/>
    </row>
    <row r="561" spans="3:30" ht="10.5" customHeight="1">
      <c r="C561" s="1463" t="s">
        <v>4353</v>
      </c>
      <c r="D561" s="1460">
        <v>1</v>
      </c>
      <c r="E561" s="1460">
        <v>1</v>
      </c>
      <c r="F561" s="1461">
        <v>2</v>
      </c>
      <c r="G561" s="1472" t="s">
        <v>4353</v>
      </c>
      <c r="H561" s="1458">
        <v>1</v>
      </c>
      <c r="I561" s="1458">
        <v>1</v>
      </c>
      <c r="J561" s="1473">
        <v>2</v>
      </c>
      <c r="K561" s="1462"/>
      <c r="L561" s="1456">
        <v>13051011006</v>
      </c>
      <c r="M561" s="1457">
        <v>1</v>
      </c>
      <c r="N561" s="1457">
        <v>1</v>
      </c>
      <c r="O561" s="1457">
        <v>2</v>
      </c>
      <c r="P561" s="241" t="s">
        <v>1735</v>
      </c>
      <c r="Q561" s="241"/>
      <c r="R561" s="147"/>
      <c r="S561" s="236"/>
      <c r="T561" s="392" t="s">
        <v>999</v>
      </c>
      <c r="U561" s="392" t="s">
        <v>585</v>
      </c>
      <c r="AA561"/>
      <c r="AB561"/>
      <c r="AC561" s="380"/>
      <c r="AD561" s="68"/>
    </row>
    <row r="562" spans="3:30" ht="10.5" customHeight="1">
      <c r="C562" s="1463" t="s">
        <v>4354</v>
      </c>
      <c r="D562" s="1460">
        <v>1</v>
      </c>
      <c r="E562" s="1460">
        <v>1</v>
      </c>
      <c r="F562" s="1461">
        <v>2</v>
      </c>
      <c r="G562" s="1472" t="s">
        <v>4354</v>
      </c>
      <c r="H562" s="1458">
        <v>1</v>
      </c>
      <c r="I562" s="1458">
        <v>0</v>
      </c>
      <c r="J562" s="1473">
        <v>1</v>
      </c>
      <c r="K562" s="1462"/>
      <c r="L562" s="1456">
        <v>13051011103</v>
      </c>
      <c r="M562" s="1457">
        <v>1</v>
      </c>
      <c r="N562" s="1457">
        <v>1</v>
      </c>
      <c r="O562" s="1457">
        <v>2</v>
      </c>
      <c r="P562" s="241" t="s">
        <v>265</v>
      </c>
      <c r="Q562" s="241"/>
      <c r="R562" s="147"/>
      <c r="S562" s="236"/>
      <c r="T562" s="392" t="s">
        <v>524</v>
      </c>
      <c r="U562" s="392" t="s">
        <v>1552</v>
      </c>
      <c r="AA562"/>
      <c r="AB562"/>
      <c r="AC562" s="380"/>
      <c r="AD562" s="68"/>
    </row>
    <row r="563" spans="3:30" ht="10.5" customHeight="1">
      <c r="C563" s="1463" t="s">
        <v>4355</v>
      </c>
      <c r="D563" s="1460">
        <v>1</v>
      </c>
      <c r="E563" s="1460">
        <v>1</v>
      </c>
      <c r="F563" s="1461">
        <v>2</v>
      </c>
      <c r="G563" s="1472" t="s">
        <v>4355</v>
      </c>
      <c r="H563" s="1458">
        <v>1</v>
      </c>
      <c r="I563" s="1458">
        <v>1</v>
      </c>
      <c r="J563" s="1473">
        <v>2</v>
      </c>
      <c r="K563" s="1462"/>
      <c r="L563" s="1456">
        <v>13051011104</v>
      </c>
      <c r="M563" s="1457">
        <v>1</v>
      </c>
      <c r="N563" s="1457">
        <v>1</v>
      </c>
      <c r="O563" s="1457">
        <v>2</v>
      </c>
      <c r="P563" s="241" t="s">
        <v>1566</v>
      </c>
      <c r="Q563" s="241"/>
      <c r="R563" s="147"/>
      <c r="S563" s="236"/>
      <c r="T563" s="392" t="s">
        <v>1111</v>
      </c>
      <c r="U563" s="392" t="s">
        <v>1030</v>
      </c>
      <c r="AA563"/>
      <c r="AB563"/>
      <c r="AC563" s="380"/>
      <c r="AD563" s="68"/>
    </row>
    <row r="564" spans="3:30" ht="10.5" customHeight="1">
      <c r="C564" s="1463" t="s">
        <v>4356</v>
      </c>
      <c r="D564" s="1460">
        <v>1</v>
      </c>
      <c r="E564" s="1460">
        <v>1</v>
      </c>
      <c r="F564" s="1461">
        <v>2</v>
      </c>
      <c r="G564" s="1472" t="s">
        <v>4356</v>
      </c>
      <c r="H564" s="1458">
        <v>1</v>
      </c>
      <c r="I564" s="1458">
        <v>1</v>
      </c>
      <c r="J564" s="1473">
        <v>2</v>
      </c>
      <c r="K564" s="1462"/>
      <c r="L564" s="1456">
        <v>13051011106</v>
      </c>
      <c r="M564" s="1457">
        <v>1</v>
      </c>
      <c r="N564" s="1457">
        <v>1</v>
      </c>
      <c r="O564" s="1457">
        <v>2</v>
      </c>
      <c r="P564" s="241" t="s">
        <v>250</v>
      </c>
      <c r="Q564" s="241"/>
      <c r="R564" s="147"/>
      <c r="S564" s="236"/>
      <c r="T564" s="392" t="s">
        <v>1359</v>
      </c>
      <c r="U564" s="392" t="s">
        <v>1553</v>
      </c>
      <c r="AA564"/>
      <c r="AB564"/>
      <c r="AC564" s="380"/>
      <c r="AD564" s="68"/>
    </row>
    <row r="565" spans="3:30" ht="10.5" customHeight="1">
      <c r="C565" s="1463" t="s">
        <v>4357</v>
      </c>
      <c r="D565" s="1460">
        <v>1</v>
      </c>
      <c r="E565" s="1460">
        <v>1</v>
      </c>
      <c r="F565" s="1461">
        <v>2</v>
      </c>
      <c r="G565" s="1472" t="s">
        <v>4357</v>
      </c>
      <c r="H565" s="1458">
        <v>1</v>
      </c>
      <c r="I565" s="1458">
        <v>0</v>
      </c>
      <c r="J565" s="1473">
        <v>1</v>
      </c>
      <c r="K565" s="1462"/>
      <c r="L565" s="1456">
        <v>13051011107</v>
      </c>
      <c r="M565" s="1457">
        <v>1</v>
      </c>
      <c r="N565" s="1457">
        <v>1</v>
      </c>
      <c r="O565" s="1457">
        <v>2</v>
      </c>
      <c r="P565" s="241" t="s">
        <v>263</v>
      </c>
      <c r="Q565" s="241"/>
      <c r="R565" s="147"/>
      <c r="S565" s="236"/>
      <c r="T565" s="392" t="s">
        <v>2548</v>
      </c>
      <c r="U565" s="392" t="s">
        <v>1242</v>
      </c>
      <c r="AA565"/>
      <c r="AB565"/>
      <c r="AC565" s="380"/>
      <c r="AD565" s="68"/>
    </row>
    <row r="566" spans="3:30" ht="10.5" customHeight="1">
      <c r="C566" s="1463" t="s">
        <v>4358</v>
      </c>
      <c r="D566" s="1460">
        <v>1</v>
      </c>
      <c r="E566" s="1460">
        <v>1</v>
      </c>
      <c r="F566" s="1461">
        <v>2</v>
      </c>
      <c r="G566" s="1472" t="s">
        <v>4358</v>
      </c>
      <c r="H566" s="1458">
        <v>1</v>
      </c>
      <c r="I566" s="1458">
        <v>1</v>
      </c>
      <c r="J566" s="1473">
        <v>2</v>
      </c>
      <c r="K566" s="1462"/>
      <c r="L566" s="1456">
        <v>13051011108</v>
      </c>
      <c r="M566" s="1457">
        <v>1</v>
      </c>
      <c r="N566" s="1457">
        <v>1</v>
      </c>
      <c r="O566" s="1457">
        <v>2</v>
      </c>
      <c r="P566" s="241" t="s">
        <v>1115</v>
      </c>
      <c r="Q566" s="241"/>
      <c r="R566" s="147"/>
      <c r="S566" s="236"/>
      <c r="T566" s="392" t="s">
        <v>1362</v>
      </c>
      <c r="U566" s="392" t="s">
        <v>611</v>
      </c>
      <c r="AA566"/>
      <c r="AB566"/>
      <c r="AC566" s="380"/>
      <c r="AD566" s="68"/>
    </row>
    <row r="567" spans="3:30" ht="10.5" customHeight="1">
      <c r="C567" s="1463" t="s">
        <v>4359</v>
      </c>
      <c r="D567" s="1460">
        <v>1</v>
      </c>
      <c r="E567" s="1460">
        <v>1</v>
      </c>
      <c r="F567" s="1461">
        <v>2</v>
      </c>
      <c r="G567" s="1472" t="s">
        <v>4359</v>
      </c>
      <c r="H567" s="1458">
        <v>1</v>
      </c>
      <c r="I567" s="1458">
        <v>1</v>
      </c>
      <c r="J567" s="1473">
        <v>2</v>
      </c>
      <c r="K567" s="1462"/>
      <c r="L567" s="1456">
        <v>13051011109</v>
      </c>
      <c r="M567" s="1457">
        <v>1</v>
      </c>
      <c r="N567" s="1457">
        <v>1</v>
      </c>
      <c r="O567" s="1457">
        <v>2</v>
      </c>
      <c r="P567" s="241" t="s">
        <v>692</v>
      </c>
      <c r="Q567" s="241"/>
      <c r="R567" s="147"/>
      <c r="S567" s="236"/>
      <c r="T567" s="392" t="s">
        <v>2549</v>
      </c>
      <c r="U567" s="392" t="s">
        <v>115</v>
      </c>
      <c r="AA567"/>
      <c r="AB567"/>
      <c r="AC567" s="380"/>
      <c r="AD567" s="68"/>
    </row>
    <row r="568" spans="3:30" ht="10.5" customHeight="1">
      <c r="C568" s="1463" t="s">
        <v>4360</v>
      </c>
      <c r="D568" s="1460">
        <v>0</v>
      </c>
      <c r="E568" s="1460">
        <v>1</v>
      </c>
      <c r="F568" s="1461">
        <v>1</v>
      </c>
      <c r="G568" s="1472" t="s">
        <v>4360</v>
      </c>
      <c r="H568" s="1458">
        <v>0</v>
      </c>
      <c r="I568" s="1458">
        <v>1</v>
      </c>
      <c r="J568" s="1473">
        <v>1</v>
      </c>
      <c r="K568" s="1462"/>
      <c r="L568" s="1456">
        <v>13051011200</v>
      </c>
      <c r="M568" s="1457">
        <v>0</v>
      </c>
      <c r="N568" s="1457">
        <v>1</v>
      </c>
      <c r="O568" s="1457">
        <v>1</v>
      </c>
      <c r="P568" s="241" t="s">
        <v>694</v>
      </c>
      <c r="Q568" s="241"/>
      <c r="R568" s="147"/>
      <c r="S568" s="236"/>
      <c r="T568" s="392" t="s">
        <v>1480</v>
      </c>
      <c r="U568" s="392" t="s">
        <v>1653</v>
      </c>
      <c r="AA568"/>
      <c r="AB568"/>
      <c r="AC568" s="380"/>
      <c r="AD568" s="68"/>
    </row>
    <row r="569" spans="3:30" ht="10.5" customHeight="1">
      <c r="C569" s="1463" t="s">
        <v>4361</v>
      </c>
      <c r="D569" s="1460">
        <v>0</v>
      </c>
      <c r="E569" s="1460">
        <v>0</v>
      </c>
      <c r="F569" s="1461">
        <v>0</v>
      </c>
      <c r="G569" s="1472" t="s">
        <v>4361</v>
      </c>
      <c r="H569" s="1458">
        <v>0</v>
      </c>
      <c r="I569" s="1458">
        <v>0</v>
      </c>
      <c r="J569" s="1473">
        <v>0</v>
      </c>
      <c r="K569" s="1462"/>
      <c r="L569" s="1456">
        <v>13051011300</v>
      </c>
      <c r="M569" s="1457">
        <v>0</v>
      </c>
      <c r="N569" s="1457">
        <v>0</v>
      </c>
      <c r="O569" s="1457">
        <v>0</v>
      </c>
      <c r="P569" s="241" t="s">
        <v>964</v>
      </c>
      <c r="Q569" s="241"/>
      <c r="R569" s="147"/>
      <c r="S569" s="236"/>
      <c r="T569" s="392" t="s">
        <v>1968</v>
      </c>
      <c r="U569" s="392" t="s">
        <v>1527</v>
      </c>
      <c r="AA569"/>
      <c r="AB569"/>
      <c r="AC569" s="380"/>
      <c r="AD569" s="68"/>
    </row>
    <row r="570" spans="3:30" ht="10.5" customHeight="1">
      <c r="C570" s="1463" t="s">
        <v>4362</v>
      </c>
      <c r="D570" s="1460">
        <v>0</v>
      </c>
      <c r="E570" s="1460">
        <v>0</v>
      </c>
      <c r="F570" s="1461">
        <v>0</v>
      </c>
      <c r="G570" s="1472" t="s">
        <v>4362</v>
      </c>
      <c r="H570" s="1458">
        <v>0</v>
      </c>
      <c r="I570" s="1458" t="s">
        <v>3911</v>
      </c>
      <c r="J570" s="1473">
        <v>0</v>
      </c>
      <c r="K570" s="1462"/>
      <c r="L570" s="1456">
        <v>13051011400</v>
      </c>
      <c r="M570" s="1457">
        <v>0</v>
      </c>
      <c r="N570" s="1457">
        <v>0</v>
      </c>
      <c r="O570" s="1457">
        <v>0</v>
      </c>
      <c r="P570" s="241" t="s">
        <v>966</v>
      </c>
      <c r="Q570" s="241"/>
      <c r="R570" s="147"/>
      <c r="S570" s="236"/>
      <c r="T570" s="392" t="s">
        <v>1970</v>
      </c>
      <c r="U570" s="392" t="s">
        <v>1248</v>
      </c>
      <c r="AA570"/>
      <c r="AB570"/>
      <c r="AC570" s="380"/>
      <c r="AD570" s="68"/>
    </row>
    <row r="571" spans="3:30" ht="10.5" customHeight="1">
      <c r="C571" s="1463" t="s">
        <v>4363</v>
      </c>
      <c r="D571" s="1460">
        <v>1</v>
      </c>
      <c r="E571" s="1460">
        <v>1</v>
      </c>
      <c r="F571" s="1461">
        <v>2</v>
      </c>
      <c r="G571" s="1472" t="s">
        <v>4363</v>
      </c>
      <c r="H571" s="1458">
        <v>1</v>
      </c>
      <c r="I571" s="1458">
        <v>1</v>
      </c>
      <c r="J571" s="1473">
        <v>1</v>
      </c>
      <c r="K571" s="1462"/>
      <c r="L571" s="1456">
        <v>13051011500</v>
      </c>
      <c r="M571" s="1457">
        <v>1</v>
      </c>
      <c r="N571" s="1457">
        <v>1</v>
      </c>
      <c r="O571" s="1457">
        <v>2</v>
      </c>
      <c r="P571" s="241" t="s">
        <v>1684</v>
      </c>
      <c r="Q571" s="241"/>
      <c r="R571" s="147"/>
      <c r="S571" s="236"/>
      <c r="T571" s="236" t="s">
        <v>1351</v>
      </c>
      <c r="U571" s="236" t="s">
        <v>310</v>
      </c>
      <c r="AA571"/>
      <c r="AB571"/>
      <c r="AC571" s="68"/>
      <c r="AD571" s="68"/>
    </row>
    <row r="572" spans="3:30" ht="10.5" customHeight="1">
      <c r="C572" s="1463" t="s">
        <v>4364</v>
      </c>
      <c r="D572" s="1460">
        <v>0</v>
      </c>
      <c r="E572" s="1460">
        <v>0</v>
      </c>
      <c r="F572" s="1461">
        <v>0</v>
      </c>
      <c r="G572" s="1472" t="s">
        <v>4364</v>
      </c>
      <c r="H572" s="1458">
        <v>0</v>
      </c>
      <c r="I572" s="1458">
        <v>0</v>
      </c>
      <c r="J572" s="1473">
        <v>0</v>
      </c>
      <c r="K572" s="1462"/>
      <c r="L572" s="1456">
        <v>13051011600</v>
      </c>
      <c r="M572" s="1457">
        <v>0</v>
      </c>
      <c r="N572" s="1457">
        <v>0</v>
      </c>
      <c r="O572" s="1457">
        <v>0</v>
      </c>
      <c r="P572" s="241" t="s">
        <v>1686</v>
      </c>
      <c r="Q572" s="241"/>
      <c r="R572" s="147"/>
      <c r="S572" s="236"/>
      <c r="T572" s="392" t="s">
        <v>2550</v>
      </c>
      <c r="U572" s="392" t="s">
        <v>317</v>
      </c>
      <c r="AA572"/>
      <c r="AB572"/>
      <c r="AC572" s="380"/>
      <c r="AD572" s="68"/>
    </row>
    <row r="573" spans="3:30" ht="10.5" customHeight="1">
      <c r="C573" s="1463" t="s">
        <v>4365</v>
      </c>
      <c r="D573" s="1460" t="s">
        <v>3911</v>
      </c>
      <c r="E573" s="1460" t="s">
        <v>3911</v>
      </c>
      <c r="F573" s="1461">
        <v>0</v>
      </c>
      <c r="G573" s="1472" t="s">
        <v>4365</v>
      </c>
      <c r="H573" s="1458" t="s">
        <v>3911</v>
      </c>
      <c r="I573" s="1458" t="s">
        <v>3911</v>
      </c>
      <c r="J573" s="1473">
        <v>0</v>
      </c>
      <c r="K573" s="1462"/>
      <c r="L573" s="1456">
        <v>13051980000</v>
      </c>
      <c r="M573" s="1457">
        <v>0</v>
      </c>
      <c r="N573" s="1457">
        <v>0</v>
      </c>
      <c r="O573" s="1457">
        <v>0</v>
      </c>
      <c r="P573" s="241" t="s">
        <v>1687</v>
      </c>
      <c r="Q573" s="241"/>
      <c r="R573" s="147"/>
      <c r="S573" s="236"/>
      <c r="T573" s="392" t="s">
        <v>1353</v>
      </c>
      <c r="U573" s="392" t="s">
        <v>307</v>
      </c>
      <c r="AA573"/>
      <c r="AB573"/>
      <c r="AC573" s="380"/>
      <c r="AD573" s="68"/>
    </row>
    <row r="574" spans="3:30" ht="10.5" customHeight="1">
      <c r="C574" s="1463" t="s">
        <v>4366</v>
      </c>
      <c r="D574" s="1460" t="s">
        <v>3911</v>
      </c>
      <c r="E574" s="1460" t="s">
        <v>3911</v>
      </c>
      <c r="F574" s="1461">
        <v>0</v>
      </c>
      <c r="G574" s="1472" t="s">
        <v>4366</v>
      </c>
      <c r="H574" s="1458" t="s">
        <v>3911</v>
      </c>
      <c r="I574" s="1458" t="s">
        <v>3911</v>
      </c>
      <c r="J574" s="1473">
        <v>0</v>
      </c>
      <c r="K574" s="1462"/>
      <c r="L574" s="1456">
        <v>13051990000</v>
      </c>
      <c r="M574" s="1457">
        <v>0</v>
      </c>
      <c r="N574" s="1457">
        <v>0</v>
      </c>
      <c r="O574" s="1457">
        <v>0</v>
      </c>
      <c r="P574" s="241" t="s">
        <v>1069</v>
      </c>
      <c r="Q574" s="241"/>
      <c r="R574" s="147"/>
      <c r="S574" s="236"/>
      <c r="T574" s="236" t="s">
        <v>1000</v>
      </c>
      <c r="U574" s="236" t="s">
        <v>1555</v>
      </c>
      <c r="AA574"/>
      <c r="AB574"/>
      <c r="AC574" s="68"/>
      <c r="AD574" s="68"/>
    </row>
    <row r="575" spans="3:30" ht="10.5" customHeight="1">
      <c r="C575" s="1463" t="s">
        <v>4367</v>
      </c>
      <c r="D575" s="1460">
        <v>0</v>
      </c>
      <c r="E575" s="1460">
        <v>0</v>
      </c>
      <c r="F575" s="1461">
        <v>0</v>
      </c>
      <c r="G575" s="1472" t="s">
        <v>4367</v>
      </c>
      <c r="H575" s="1458">
        <v>0</v>
      </c>
      <c r="I575" s="1458">
        <v>0</v>
      </c>
      <c r="J575" s="1473">
        <v>0</v>
      </c>
      <c r="K575" s="1462"/>
      <c r="L575" s="1456">
        <v>13053020100</v>
      </c>
      <c r="M575" s="1457">
        <v>0</v>
      </c>
      <c r="N575" s="1457">
        <v>0</v>
      </c>
      <c r="O575" s="1457">
        <v>0</v>
      </c>
      <c r="P575" s="241" t="s">
        <v>378</v>
      </c>
      <c r="Q575" s="241"/>
      <c r="R575" s="147"/>
      <c r="S575" s="236"/>
      <c r="T575" s="392" t="s">
        <v>1355</v>
      </c>
      <c r="U575" s="392" t="s">
        <v>585</v>
      </c>
      <c r="AA575"/>
      <c r="AB575"/>
      <c r="AC575" s="380"/>
      <c r="AD575" s="68"/>
    </row>
    <row r="576" spans="3:30" ht="10.5" customHeight="1">
      <c r="C576" s="1463" t="s">
        <v>4368</v>
      </c>
      <c r="D576" s="1460">
        <v>0</v>
      </c>
      <c r="E576" s="1460">
        <v>1</v>
      </c>
      <c r="F576" s="1461">
        <v>1</v>
      </c>
      <c r="G576" s="1472" t="s">
        <v>4368</v>
      </c>
      <c r="H576" s="1458">
        <v>0</v>
      </c>
      <c r="I576" s="1458" t="s">
        <v>3911</v>
      </c>
      <c r="J576" s="1473">
        <v>0</v>
      </c>
      <c r="K576" s="1462"/>
      <c r="L576" s="1456">
        <v>13053020201</v>
      </c>
      <c r="M576" s="1457">
        <v>0</v>
      </c>
      <c r="N576" s="1457">
        <v>1</v>
      </c>
      <c r="O576" s="1457">
        <v>1</v>
      </c>
      <c r="P576" s="241" t="s">
        <v>0</v>
      </c>
      <c r="Q576" s="241"/>
      <c r="R576" s="147"/>
      <c r="S576" s="236"/>
      <c r="T576" s="392" t="s">
        <v>1454</v>
      </c>
      <c r="U576" s="392" t="s">
        <v>302</v>
      </c>
      <c r="AA576"/>
      <c r="AB576"/>
      <c r="AC576" s="380"/>
      <c r="AD576" s="68"/>
    </row>
    <row r="577" spans="3:30" ht="10.5" customHeight="1">
      <c r="C577" s="1463" t="s">
        <v>4369</v>
      </c>
      <c r="D577" s="1460">
        <v>0</v>
      </c>
      <c r="E577" s="1460">
        <v>1</v>
      </c>
      <c r="F577" s="1461">
        <v>1</v>
      </c>
      <c r="G577" s="1472" t="s">
        <v>4369</v>
      </c>
      <c r="H577" s="1458">
        <v>0</v>
      </c>
      <c r="I577" s="1458" t="s">
        <v>3911</v>
      </c>
      <c r="J577" s="1473">
        <v>0</v>
      </c>
      <c r="K577" s="1462"/>
      <c r="L577" s="1456">
        <v>13053020203</v>
      </c>
      <c r="M577" s="1457">
        <v>0</v>
      </c>
      <c r="N577" s="1457">
        <v>1</v>
      </c>
      <c r="O577" s="1457">
        <v>1</v>
      </c>
      <c r="P577" s="241" t="s">
        <v>2</v>
      </c>
      <c r="Q577" s="241"/>
      <c r="R577" s="147"/>
      <c r="S577" s="236"/>
      <c r="T577" s="392" t="s">
        <v>1902</v>
      </c>
      <c r="U577" s="392" t="s">
        <v>893</v>
      </c>
      <c r="AA577"/>
      <c r="AB577"/>
      <c r="AC577" s="380"/>
      <c r="AD577" s="68"/>
    </row>
    <row r="578" spans="3:30" ht="10.5" customHeight="1">
      <c r="C578" s="1463" t="s">
        <v>4370</v>
      </c>
      <c r="D578" s="1460">
        <v>0</v>
      </c>
      <c r="E578" s="1460">
        <v>1</v>
      </c>
      <c r="F578" s="1461">
        <v>1</v>
      </c>
      <c r="G578" s="1472" t="s">
        <v>4370</v>
      </c>
      <c r="H578" s="1458">
        <v>0</v>
      </c>
      <c r="I578" s="1458" t="s">
        <v>3911</v>
      </c>
      <c r="J578" s="1473">
        <v>0</v>
      </c>
      <c r="K578" s="1462"/>
      <c r="L578" s="1456">
        <v>13053020205</v>
      </c>
      <c r="M578" s="1457">
        <v>0</v>
      </c>
      <c r="N578" s="1457">
        <v>1</v>
      </c>
      <c r="O578" s="1457">
        <v>1</v>
      </c>
      <c r="P578" s="241" t="s">
        <v>4</v>
      </c>
      <c r="Q578" s="241"/>
      <c r="R578" s="147"/>
      <c r="S578" s="236"/>
      <c r="T578" s="236" t="s">
        <v>1736</v>
      </c>
      <c r="U578" s="236" t="s">
        <v>1812</v>
      </c>
      <c r="AA578"/>
      <c r="AB578"/>
      <c r="AC578" s="68"/>
      <c r="AD578" s="68"/>
    </row>
    <row r="579" spans="3:30" ht="10.5" customHeight="1">
      <c r="C579" s="1463" t="s">
        <v>4371</v>
      </c>
      <c r="D579" s="1460" t="s">
        <v>3911</v>
      </c>
      <c r="E579" s="1460" t="s">
        <v>3911</v>
      </c>
      <c r="F579" s="1461">
        <v>0</v>
      </c>
      <c r="G579" s="1472" t="s">
        <v>4371</v>
      </c>
      <c r="H579" s="1458" t="s">
        <v>3911</v>
      </c>
      <c r="I579" s="1458" t="s">
        <v>3911</v>
      </c>
      <c r="J579" s="1473">
        <v>0</v>
      </c>
      <c r="K579" s="1462"/>
      <c r="L579" s="1456">
        <v>13053020206</v>
      </c>
      <c r="M579" s="1457">
        <v>0</v>
      </c>
      <c r="N579" s="1457">
        <v>0</v>
      </c>
      <c r="O579" s="1457">
        <v>0</v>
      </c>
      <c r="P579" s="241" t="s">
        <v>6</v>
      </c>
      <c r="Q579" s="241"/>
      <c r="R579" s="147"/>
      <c r="S579" s="236"/>
      <c r="T579" s="236" t="s">
        <v>266</v>
      </c>
      <c r="U579" s="236" t="s">
        <v>1812</v>
      </c>
      <c r="AA579"/>
      <c r="AB579"/>
      <c r="AC579" s="68"/>
      <c r="AD579" s="68"/>
    </row>
    <row r="580" spans="3:30" ht="10.5" customHeight="1">
      <c r="C580" s="1463" t="s">
        <v>4372</v>
      </c>
      <c r="D580" s="1460">
        <v>0</v>
      </c>
      <c r="E580" s="1460">
        <v>0</v>
      </c>
      <c r="F580" s="1461">
        <v>0</v>
      </c>
      <c r="G580" s="1472" t="s">
        <v>4372</v>
      </c>
      <c r="H580" s="1458">
        <v>0</v>
      </c>
      <c r="I580" s="1458">
        <v>0</v>
      </c>
      <c r="J580" s="1473">
        <v>0</v>
      </c>
      <c r="K580" s="1462"/>
      <c r="L580" s="1456">
        <v>13055010100</v>
      </c>
      <c r="M580" s="1457">
        <v>0</v>
      </c>
      <c r="N580" s="1457">
        <v>0</v>
      </c>
      <c r="O580" s="1457">
        <v>0</v>
      </c>
      <c r="P580" s="241" t="s">
        <v>1990</v>
      </c>
      <c r="Q580" s="241"/>
      <c r="R580" s="147"/>
      <c r="S580" s="236"/>
      <c r="T580" s="392" t="s">
        <v>1567</v>
      </c>
      <c r="U580" s="392" t="s">
        <v>2021</v>
      </c>
      <c r="AA580"/>
      <c r="AB580"/>
      <c r="AC580" s="380"/>
      <c r="AD580" s="68"/>
    </row>
    <row r="581" spans="3:30" ht="10.5" customHeight="1">
      <c r="C581" s="1463" t="s">
        <v>4373</v>
      </c>
      <c r="D581" s="1460">
        <v>0</v>
      </c>
      <c r="E581" s="1460">
        <v>0</v>
      </c>
      <c r="F581" s="1461">
        <v>0</v>
      </c>
      <c r="G581" s="1472" t="s">
        <v>4373</v>
      </c>
      <c r="H581" s="1458">
        <v>0</v>
      </c>
      <c r="I581" s="1458">
        <v>0</v>
      </c>
      <c r="J581" s="1473">
        <v>0</v>
      </c>
      <c r="K581" s="1462"/>
      <c r="L581" s="1456">
        <v>13055010200</v>
      </c>
      <c r="M581" s="1457">
        <v>0</v>
      </c>
      <c r="N581" s="1457">
        <v>0</v>
      </c>
      <c r="O581" s="1457">
        <v>0</v>
      </c>
      <c r="P581" s="241" t="s">
        <v>1992</v>
      </c>
      <c r="Q581" s="241"/>
      <c r="R581" s="147"/>
      <c r="S581" s="236"/>
      <c r="T581" s="392" t="s">
        <v>251</v>
      </c>
      <c r="U581" s="392" t="s">
        <v>621</v>
      </c>
      <c r="AA581"/>
      <c r="AB581"/>
      <c r="AC581" s="380"/>
      <c r="AD581" s="68"/>
    </row>
    <row r="582" spans="3:30" ht="10.5" customHeight="1">
      <c r="C582" s="1463" t="s">
        <v>4374</v>
      </c>
      <c r="D582" s="1460">
        <v>0</v>
      </c>
      <c r="E582" s="1460">
        <v>0</v>
      </c>
      <c r="F582" s="1461">
        <v>0</v>
      </c>
      <c r="G582" s="1472" t="s">
        <v>4374</v>
      </c>
      <c r="H582" s="1458">
        <v>0</v>
      </c>
      <c r="I582" s="1458" t="s">
        <v>3911</v>
      </c>
      <c r="J582" s="1473">
        <v>0</v>
      </c>
      <c r="K582" s="1462"/>
      <c r="L582" s="1456">
        <v>13055010300</v>
      </c>
      <c r="M582" s="1457">
        <v>0</v>
      </c>
      <c r="N582" s="1457">
        <v>0</v>
      </c>
      <c r="O582" s="1457">
        <v>0</v>
      </c>
      <c r="P582" s="241" t="s">
        <v>1994</v>
      </c>
      <c r="Q582" s="241"/>
      <c r="R582" s="147"/>
      <c r="S582" s="236"/>
      <c r="T582" s="392" t="s">
        <v>1114</v>
      </c>
      <c r="U582" s="392" t="s">
        <v>152</v>
      </c>
      <c r="AA582"/>
      <c r="AB582"/>
      <c r="AC582" s="380"/>
      <c r="AD582" s="68"/>
    </row>
    <row r="583" spans="3:30" ht="10.5" customHeight="1">
      <c r="C583" s="1463" t="s">
        <v>4375</v>
      </c>
      <c r="D583" s="1460">
        <v>0</v>
      </c>
      <c r="E583" s="1460">
        <v>0</v>
      </c>
      <c r="F583" s="1461">
        <v>0</v>
      </c>
      <c r="G583" s="1472" t="s">
        <v>4375</v>
      </c>
      <c r="H583" s="1458">
        <v>0</v>
      </c>
      <c r="I583" s="1458">
        <v>0</v>
      </c>
      <c r="J583" s="1473">
        <v>0</v>
      </c>
      <c r="K583" s="1462"/>
      <c r="L583" s="1456">
        <v>13055010400</v>
      </c>
      <c r="M583" s="1457">
        <v>0</v>
      </c>
      <c r="N583" s="1457">
        <v>0</v>
      </c>
      <c r="O583" s="1457">
        <v>0</v>
      </c>
      <c r="P583" s="241" t="s">
        <v>1996</v>
      </c>
      <c r="Q583" s="241"/>
      <c r="R583" s="147"/>
      <c r="S583" s="236"/>
      <c r="T583" s="392" t="s">
        <v>1116</v>
      </c>
      <c r="U583" s="392" t="s">
        <v>152</v>
      </c>
      <c r="AA583"/>
      <c r="AB583"/>
      <c r="AC583" s="380"/>
      <c r="AD583" s="68"/>
    </row>
    <row r="584" spans="3:30" ht="10.5" customHeight="1">
      <c r="C584" s="1463" t="s">
        <v>4376</v>
      </c>
      <c r="D584" s="1460">
        <v>0</v>
      </c>
      <c r="E584" s="1460">
        <v>0</v>
      </c>
      <c r="F584" s="1461">
        <v>0</v>
      </c>
      <c r="G584" s="1472" t="s">
        <v>4376</v>
      </c>
      <c r="H584" s="1458">
        <v>0</v>
      </c>
      <c r="I584" s="1458">
        <v>0</v>
      </c>
      <c r="J584" s="1473">
        <v>0</v>
      </c>
      <c r="K584" s="1462"/>
      <c r="L584" s="1456">
        <v>13055010500</v>
      </c>
      <c r="M584" s="1457">
        <v>0</v>
      </c>
      <c r="N584" s="1457">
        <v>0</v>
      </c>
      <c r="O584" s="1457">
        <v>0</v>
      </c>
      <c r="P584" s="241" t="s">
        <v>1998</v>
      </c>
      <c r="Q584" s="241"/>
      <c r="R584" s="147"/>
      <c r="S584" s="236"/>
      <c r="T584" s="392" t="s">
        <v>693</v>
      </c>
      <c r="U584" s="392" t="s">
        <v>1250</v>
      </c>
      <c r="AA584"/>
      <c r="AB584"/>
      <c r="AC584" s="380"/>
      <c r="AD584" s="68"/>
    </row>
    <row r="585" spans="3:30" ht="10.5" customHeight="1">
      <c r="C585" s="1463" t="s">
        <v>4377</v>
      </c>
      <c r="D585" s="1460">
        <v>0</v>
      </c>
      <c r="E585" s="1460">
        <v>0</v>
      </c>
      <c r="F585" s="1461">
        <v>0</v>
      </c>
      <c r="G585" s="1472" t="s">
        <v>4377</v>
      </c>
      <c r="H585" s="1458">
        <v>0</v>
      </c>
      <c r="I585" s="1458">
        <v>0</v>
      </c>
      <c r="J585" s="1473">
        <v>0</v>
      </c>
      <c r="K585" s="1462"/>
      <c r="L585" s="1456">
        <v>13055010600</v>
      </c>
      <c r="M585" s="1457">
        <v>0</v>
      </c>
      <c r="N585" s="1457">
        <v>0</v>
      </c>
      <c r="O585" s="1457">
        <v>0</v>
      </c>
      <c r="P585" s="241" t="s">
        <v>83</v>
      </c>
      <c r="Q585" s="241"/>
      <c r="R585" s="147"/>
      <c r="S585" s="236"/>
      <c r="T585" s="392" t="s">
        <v>235</v>
      </c>
      <c r="U585" s="392" t="s">
        <v>2384</v>
      </c>
      <c r="AA585"/>
      <c r="AB585"/>
      <c r="AC585" s="380"/>
      <c r="AD585" s="68"/>
    </row>
    <row r="586" spans="3:30" ht="10.5" customHeight="1">
      <c r="C586" s="1463" t="s">
        <v>4378</v>
      </c>
      <c r="D586" s="1460">
        <v>1</v>
      </c>
      <c r="E586" s="1460">
        <v>1</v>
      </c>
      <c r="F586" s="1461">
        <v>2</v>
      </c>
      <c r="G586" s="1472" t="s">
        <v>4378</v>
      </c>
      <c r="H586" s="1458">
        <v>1</v>
      </c>
      <c r="I586" s="1458">
        <v>1</v>
      </c>
      <c r="J586" s="1473">
        <v>2</v>
      </c>
      <c r="K586" s="1462"/>
      <c r="L586" s="1456">
        <v>13057090100</v>
      </c>
      <c r="M586" s="1457">
        <v>1</v>
      </c>
      <c r="N586" s="1457">
        <v>1</v>
      </c>
      <c r="O586" s="1457">
        <v>2</v>
      </c>
      <c r="P586" s="241" t="s">
        <v>1872</v>
      </c>
      <c r="Q586" s="241"/>
      <c r="R586" s="147"/>
      <c r="S586" s="236"/>
      <c r="T586" s="392" t="s">
        <v>965</v>
      </c>
      <c r="U586" s="392" t="s">
        <v>2213</v>
      </c>
      <c r="AA586"/>
      <c r="AB586"/>
      <c r="AC586" s="380"/>
      <c r="AD586" s="68"/>
    </row>
    <row r="587" spans="3:30" ht="10.5" customHeight="1">
      <c r="C587" s="1463" t="s">
        <v>4379</v>
      </c>
      <c r="D587" s="1460">
        <v>1</v>
      </c>
      <c r="E587" s="1460">
        <v>1</v>
      </c>
      <c r="F587" s="1461">
        <v>2</v>
      </c>
      <c r="G587" s="1472" t="s">
        <v>4379</v>
      </c>
      <c r="H587" s="1458">
        <v>1</v>
      </c>
      <c r="I587" s="1458">
        <v>1</v>
      </c>
      <c r="J587" s="1473">
        <v>2</v>
      </c>
      <c r="K587" s="1462"/>
      <c r="L587" s="1456">
        <v>13057090200</v>
      </c>
      <c r="M587" s="1457">
        <v>1</v>
      </c>
      <c r="N587" s="1457">
        <v>1</v>
      </c>
      <c r="O587" s="1457">
        <v>2</v>
      </c>
      <c r="P587" s="241" t="s">
        <v>1418</v>
      </c>
      <c r="Q587" s="241"/>
      <c r="R587" s="147"/>
      <c r="S587" s="236"/>
      <c r="T587" s="392" t="s">
        <v>1628</v>
      </c>
      <c r="U587" s="392" t="s">
        <v>2291</v>
      </c>
      <c r="AA587"/>
      <c r="AB587"/>
      <c r="AC587" s="380"/>
      <c r="AD587" s="68"/>
    </row>
    <row r="588" spans="3:30" ht="10.5" customHeight="1">
      <c r="C588" s="1463" t="s">
        <v>4380</v>
      </c>
      <c r="D588" s="1460">
        <v>1</v>
      </c>
      <c r="E588" s="1460">
        <v>1</v>
      </c>
      <c r="F588" s="1461">
        <v>2</v>
      </c>
      <c r="G588" s="1472" t="s">
        <v>4380</v>
      </c>
      <c r="H588" s="1458">
        <v>1</v>
      </c>
      <c r="I588" s="1458">
        <v>1</v>
      </c>
      <c r="J588" s="1473">
        <v>2</v>
      </c>
      <c r="K588" s="1462"/>
      <c r="L588" s="1456">
        <v>13057090300</v>
      </c>
      <c r="M588" s="1457">
        <v>1</v>
      </c>
      <c r="N588" s="1457">
        <v>1</v>
      </c>
      <c r="O588" s="1457">
        <v>2</v>
      </c>
      <c r="P588" s="241" t="s">
        <v>1420</v>
      </c>
      <c r="Q588" s="241"/>
      <c r="R588" s="147"/>
      <c r="S588" s="236"/>
      <c r="T588" s="392" t="s">
        <v>1685</v>
      </c>
      <c r="U588" s="392" t="s">
        <v>104</v>
      </c>
      <c r="AA588"/>
      <c r="AB588"/>
      <c r="AC588" s="380"/>
      <c r="AD588" s="68"/>
    </row>
    <row r="589" spans="3:30" ht="10.5" customHeight="1">
      <c r="C589" s="1463" t="s">
        <v>4381</v>
      </c>
      <c r="D589" s="1460">
        <v>0</v>
      </c>
      <c r="E589" s="1460">
        <v>0</v>
      </c>
      <c r="F589" s="1461">
        <v>0</v>
      </c>
      <c r="G589" s="1472" t="s">
        <v>4381</v>
      </c>
      <c r="H589" s="1458">
        <v>0</v>
      </c>
      <c r="I589" s="1458">
        <v>0</v>
      </c>
      <c r="J589" s="1473">
        <v>0</v>
      </c>
      <c r="K589" s="1462"/>
      <c r="L589" s="1456">
        <v>13057090400</v>
      </c>
      <c r="M589" s="1457">
        <v>0</v>
      </c>
      <c r="N589" s="1457">
        <v>0</v>
      </c>
      <c r="O589" s="1457">
        <v>0</v>
      </c>
      <c r="P589" s="241" t="s">
        <v>1422</v>
      </c>
      <c r="Q589" s="241"/>
      <c r="R589" s="147"/>
      <c r="S589" s="236"/>
      <c r="T589" s="392" t="s">
        <v>1035</v>
      </c>
      <c r="U589" s="392" t="s">
        <v>684</v>
      </c>
      <c r="AA589"/>
      <c r="AB589"/>
      <c r="AC589" s="380"/>
      <c r="AD589" s="68"/>
    </row>
    <row r="590" spans="3:30" ht="10.5" customHeight="1">
      <c r="C590" s="1463" t="s">
        <v>4382</v>
      </c>
      <c r="D590" s="1460">
        <v>1</v>
      </c>
      <c r="E590" s="1460">
        <v>1</v>
      </c>
      <c r="F590" s="1461">
        <v>2</v>
      </c>
      <c r="G590" s="1472" t="s">
        <v>4382</v>
      </c>
      <c r="H590" s="1458">
        <v>1</v>
      </c>
      <c r="I590" s="1458">
        <v>1</v>
      </c>
      <c r="J590" s="1473">
        <v>2</v>
      </c>
      <c r="K590" s="1462"/>
      <c r="L590" s="1456">
        <v>13057090501</v>
      </c>
      <c r="M590" s="1457">
        <v>1</v>
      </c>
      <c r="N590" s="1457">
        <v>1</v>
      </c>
      <c r="O590" s="1457">
        <v>2</v>
      </c>
      <c r="P590" s="241" t="s">
        <v>57</v>
      </c>
      <c r="Q590" s="241"/>
      <c r="R590" s="147"/>
      <c r="S590" s="236"/>
      <c r="T590" s="392" t="s">
        <v>1001</v>
      </c>
      <c r="U590" s="392" t="s">
        <v>895</v>
      </c>
      <c r="AA590"/>
      <c r="AB590"/>
      <c r="AC590" s="380"/>
      <c r="AD590" s="68"/>
    </row>
    <row r="591" spans="3:30" ht="10.5" customHeight="1">
      <c r="C591" s="1463" t="s">
        <v>4383</v>
      </c>
      <c r="D591" s="1460">
        <v>1</v>
      </c>
      <c r="E591" s="1460">
        <v>1</v>
      </c>
      <c r="F591" s="1461">
        <v>2</v>
      </c>
      <c r="G591" s="1472" t="s">
        <v>4383</v>
      </c>
      <c r="H591" s="1458">
        <v>1</v>
      </c>
      <c r="I591" s="1458">
        <v>1</v>
      </c>
      <c r="J591" s="1473">
        <v>2</v>
      </c>
      <c r="K591" s="1462"/>
      <c r="L591" s="1456">
        <v>13057090502</v>
      </c>
      <c r="M591" s="1457">
        <v>1</v>
      </c>
      <c r="N591" s="1457">
        <v>1</v>
      </c>
      <c r="O591" s="1457">
        <v>2</v>
      </c>
      <c r="P591" s="241" t="s">
        <v>59</v>
      </c>
      <c r="Q591" s="241"/>
      <c r="R591" s="147"/>
      <c r="S591" s="236"/>
      <c r="T591" s="392" t="s">
        <v>1039</v>
      </c>
      <c r="U591" s="392" t="s">
        <v>1247</v>
      </c>
      <c r="AA591"/>
      <c r="AB591"/>
      <c r="AC591" s="380"/>
      <c r="AD591" s="68"/>
    </row>
    <row r="592" spans="3:30" ht="10.5" customHeight="1">
      <c r="C592" s="1463" t="s">
        <v>4384</v>
      </c>
      <c r="D592" s="1460">
        <v>0</v>
      </c>
      <c r="E592" s="1460">
        <v>0</v>
      </c>
      <c r="F592" s="1461">
        <v>0</v>
      </c>
      <c r="G592" s="1472" t="s">
        <v>4384</v>
      </c>
      <c r="H592" s="1458">
        <v>0</v>
      </c>
      <c r="I592" s="1458">
        <v>0</v>
      </c>
      <c r="J592" s="1473">
        <v>0</v>
      </c>
      <c r="K592" s="1462"/>
      <c r="L592" s="1456">
        <v>13057090601</v>
      </c>
      <c r="M592" s="1457">
        <v>0</v>
      </c>
      <c r="N592" s="1457">
        <v>0</v>
      </c>
      <c r="O592" s="1457">
        <v>0</v>
      </c>
      <c r="P592" s="241" t="s">
        <v>61</v>
      </c>
      <c r="Q592" s="241"/>
      <c r="R592" s="147"/>
      <c r="S592" s="236"/>
      <c r="T592" s="392" t="s">
        <v>379</v>
      </c>
      <c r="U592" s="392" t="s">
        <v>621</v>
      </c>
      <c r="AA592"/>
      <c r="AB592"/>
      <c r="AC592" s="380"/>
      <c r="AD592" s="68"/>
    </row>
    <row r="593" spans="3:30" ht="10.5" customHeight="1">
      <c r="C593" s="1463" t="s">
        <v>4385</v>
      </c>
      <c r="D593" s="1460">
        <v>1</v>
      </c>
      <c r="E593" s="1460">
        <v>1</v>
      </c>
      <c r="F593" s="1461">
        <v>2</v>
      </c>
      <c r="G593" s="1472" t="s">
        <v>4385</v>
      </c>
      <c r="H593" s="1458">
        <v>1</v>
      </c>
      <c r="I593" s="1458">
        <v>0</v>
      </c>
      <c r="J593" s="1473">
        <v>1</v>
      </c>
      <c r="K593" s="1462"/>
      <c r="L593" s="1456">
        <v>13057090602</v>
      </c>
      <c r="M593" s="1457">
        <v>1</v>
      </c>
      <c r="N593" s="1457">
        <v>1</v>
      </c>
      <c r="O593" s="1457">
        <v>2</v>
      </c>
      <c r="P593" s="241" t="s">
        <v>63</v>
      </c>
      <c r="Q593" s="241"/>
      <c r="R593" s="147"/>
      <c r="S593" s="236"/>
      <c r="T593" s="392" t="s">
        <v>1002</v>
      </c>
      <c r="U593" s="392" t="s">
        <v>116</v>
      </c>
      <c r="AA593"/>
      <c r="AB593"/>
      <c r="AC593" s="380"/>
      <c r="AD593" s="68"/>
    </row>
    <row r="594" spans="3:30" ht="10.5" customHeight="1">
      <c r="C594" s="1463" t="s">
        <v>4386</v>
      </c>
      <c r="D594" s="1460">
        <v>1</v>
      </c>
      <c r="E594" s="1460">
        <v>1</v>
      </c>
      <c r="F594" s="1461">
        <v>2</v>
      </c>
      <c r="G594" s="1472" t="s">
        <v>4386</v>
      </c>
      <c r="H594" s="1458">
        <v>1</v>
      </c>
      <c r="I594" s="1458">
        <v>1</v>
      </c>
      <c r="J594" s="1473">
        <v>2</v>
      </c>
      <c r="K594" s="1462"/>
      <c r="L594" s="1456">
        <v>13057090701</v>
      </c>
      <c r="M594" s="1457">
        <v>1</v>
      </c>
      <c r="N594" s="1457">
        <v>1</v>
      </c>
      <c r="O594" s="1457">
        <v>2</v>
      </c>
      <c r="P594" s="241" t="s">
        <v>65</v>
      </c>
      <c r="Q594" s="241"/>
      <c r="R594" s="147"/>
      <c r="S594" s="236"/>
      <c r="T594" s="392" t="s">
        <v>1</v>
      </c>
      <c r="U594" s="392" t="s">
        <v>1240</v>
      </c>
      <c r="AA594"/>
      <c r="AB594"/>
      <c r="AC594" s="380"/>
      <c r="AD594" s="68"/>
    </row>
    <row r="595" spans="3:30" ht="10.5" customHeight="1">
      <c r="C595" s="1463" t="s">
        <v>4387</v>
      </c>
      <c r="D595" s="1460">
        <v>1</v>
      </c>
      <c r="E595" s="1460">
        <v>1</v>
      </c>
      <c r="F595" s="1461">
        <v>2</v>
      </c>
      <c r="G595" s="1472" t="s">
        <v>4387</v>
      </c>
      <c r="H595" s="1458">
        <v>1</v>
      </c>
      <c r="I595" s="1458">
        <v>0</v>
      </c>
      <c r="J595" s="1473">
        <v>1</v>
      </c>
      <c r="K595" s="1462"/>
      <c r="L595" s="1456">
        <v>13057090702</v>
      </c>
      <c r="M595" s="1457">
        <v>1</v>
      </c>
      <c r="N595" s="1457">
        <v>1</v>
      </c>
      <c r="O595" s="1457">
        <v>2</v>
      </c>
      <c r="P595" s="241" t="s">
        <v>722</v>
      </c>
      <c r="Q595" s="241"/>
      <c r="R595" s="147"/>
      <c r="S595" s="236"/>
      <c r="T595" s="392" t="s">
        <v>3</v>
      </c>
      <c r="U595" s="392" t="s">
        <v>2209</v>
      </c>
      <c r="AA595"/>
      <c r="AB595"/>
      <c r="AC595" s="380"/>
      <c r="AD595" s="68"/>
    </row>
    <row r="596" spans="3:30" ht="10.5" customHeight="1">
      <c r="C596" s="1463" t="s">
        <v>4388</v>
      </c>
      <c r="D596" s="1460">
        <v>1</v>
      </c>
      <c r="E596" s="1460">
        <v>1</v>
      </c>
      <c r="F596" s="1461">
        <v>2</v>
      </c>
      <c r="G596" s="1472" t="s">
        <v>4388</v>
      </c>
      <c r="H596" s="1458">
        <v>1</v>
      </c>
      <c r="I596" s="1458">
        <v>1</v>
      </c>
      <c r="J596" s="1473">
        <v>2</v>
      </c>
      <c r="K596" s="1462"/>
      <c r="L596" s="1456">
        <v>13057090802</v>
      </c>
      <c r="M596" s="1457">
        <v>1</v>
      </c>
      <c r="N596" s="1457">
        <v>1</v>
      </c>
      <c r="O596" s="1457">
        <v>2</v>
      </c>
      <c r="P596" s="241" t="s">
        <v>680</v>
      </c>
      <c r="Q596" s="241"/>
      <c r="R596" s="147"/>
      <c r="S596" s="236"/>
      <c r="T596" s="392" t="s">
        <v>5</v>
      </c>
      <c r="U596" s="392" t="s">
        <v>1778</v>
      </c>
      <c r="AA596"/>
      <c r="AB596"/>
      <c r="AC596" s="380"/>
      <c r="AD596" s="68"/>
    </row>
    <row r="597" spans="3:30" ht="10.5" customHeight="1">
      <c r="C597" s="1463" t="s">
        <v>4389</v>
      </c>
      <c r="D597" s="1460">
        <v>1</v>
      </c>
      <c r="E597" s="1460">
        <v>1</v>
      </c>
      <c r="F597" s="1461">
        <v>2</v>
      </c>
      <c r="G597" s="1472" t="s">
        <v>4389</v>
      </c>
      <c r="H597" s="1458">
        <v>1</v>
      </c>
      <c r="I597" s="1458">
        <v>1</v>
      </c>
      <c r="J597" s="1473">
        <v>2</v>
      </c>
      <c r="K597" s="1462"/>
      <c r="L597" s="1456">
        <v>13057090803</v>
      </c>
      <c r="M597" s="1457">
        <v>1</v>
      </c>
      <c r="N597" s="1457">
        <v>1</v>
      </c>
      <c r="O597" s="1457">
        <v>2</v>
      </c>
      <c r="P597" s="241" t="s">
        <v>682</v>
      </c>
      <c r="Q597" s="241"/>
      <c r="R597" s="147"/>
      <c r="S597" s="236"/>
      <c r="T597" s="236" t="s">
        <v>1003</v>
      </c>
      <c r="U597" s="236" t="s">
        <v>585</v>
      </c>
      <c r="AA597"/>
      <c r="AB597"/>
      <c r="AC597" s="68"/>
      <c r="AD597" s="68"/>
    </row>
    <row r="598" spans="3:30" ht="10.5" customHeight="1">
      <c r="C598" s="1463" t="s">
        <v>4390</v>
      </c>
      <c r="D598" s="1460">
        <v>1</v>
      </c>
      <c r="E598" s="1460">
        <v>1</v>
      </c>
      <c r="F598" s="1461">
        <v>2</v>
      </c>
      <c r="G598" s="1472" t="s">
        <v>4390</v>
      </c>
      <c r="H598" s="1458">
        <v>1</v>
      </c>
      <c r="I598" s="1458">
        <v>1</v>
      </c>
      <c r="J598" s="1473">
        <v>2</v>
      </c>
      <c r="K598" s="1462"/>
      <c r="L598" s="1456">
        <v>13057090804</v>
      </c>
      <c r="M598" s="1457">
        <v>1</v>
      </c>
      <c r="N598" s="1457">
        <v>1</v>
      </c>
      <c r="O598" s="1457">
        <v>2</v>
      </c>
      <c r="P598" s="241" t="s">
        <v>1112</v>
      </c>
      <c r="Q598" s="241"/>
      <c r="R598" s="147"/>
      <c r="S598" s="236"/>
      <c r="T598" s="392" t="s">
        <v>1004</v>
      </c>
      <c r="U598" s="392" t="s">
        <v>303</v>
      </c>
      <c r="AA598"/>
      <c r="AB598"/>
      <c r="AC598" s="380"/>
      <c r="AD598" s="68"/>
    </row>
    <row r="599" spans="3:30" ht="10.5" customHeight="1">
      <c r="C599" s="1463" t="s">
        <v>4391</v>
      </c>
      <c r="D599" s="1460">
        <v>1</v>
      </c>
      <c r="E599" s="1460">
        <v>1</v>
      </c>
      <c r="F599" s="1461">
        <v>2</v>
      </c>
      <c r="G599" s="1472" t="s">
        <v>4391</v>
      </c>
      <c r="H599" s="1458">
        <v>1</v>
      </c>
      <c r="I599" s="1458">
        <v>1</v>
      </c>
      <c r="J599" s="1473">
        <v>2</v>
      </c>
      <c r="K599" s="1462"/>
      <c r="L599" s="1456">
        <v>13057090901</v>
      </c>
      <c r="M599" s="1457">
        <v>1</v>
      </c>
      <c r="N599" s="1457">
        <v>1</v>
      </c>
      <c r="O599" s="1457">
        <v>2</v>
      </c>
      <c r="P599" s="241" t="s">
        <v>977</v>
      </c>
      <c r="Q599" s="241"/>
      <c r="R599" s="147"/>
      <c r="S599" s="236"/>
      <c r="T599" s="392" t="s">
        <v>1989</v>
      </c>
      <c r="U599" s="392" t="s">
        <v>1250</v>
      </c>
      <c r="AA599"/>
      <c r="AB599"/>
      <c r="AC599" s="380"/>
      <c r="AD599" s="68"/>
    </row>
    <row r="600" spans="3:30" ht="10.5" customHeight="1">
      <c r="C600" s="1463" t="s">
        <v>4392</v>
      </c>
      <c r="D600" s="1460">
        <v>1</v>
      </c>
      <c r="E600" s="1460">
        <v>1</v>
      </c>
      <c r="F600" s="1461">
        <v>2</v>
      </c>
      <c r="G600" s="1472" t="s">
        <v>4392</v>
      </c>
      <c r="H600" s="1458">
        <v>1</v>
      </c>
      <c r="I600" s="1458">
        <v>1</v>
      </c>
      <c r="J600" s="1473">
        <v>2</v>
      </c>
      <c r="K600" s="1462"/>
      <c r="L600" s="1456">
        <v>13057090902</v>
      </c>
      <c r="M600" s="1457">
        <v>1</v>
      </c>
      <c r="N600" s="1457">
        <v>1</v>
      </c>
      <c r="O600" s="1457">
        <v>2</v>
      </c>
      <c r="P600" s="241" t="s">
        <v>978</v>
      </c>
      <c r="Q600" s="241"/>
      <c r="R600" s="147"/>
      <c r="S600" s="236"/>
      <c r="T600" s="392" t="s">
        <v>1991</v>
      </c>
      <c r="U600" s="392" t="s">
        <v>2027</v>
      </c>
      <c r="AA600"/>
      <c r="AB600"/>
      <c r="AC600" s="380"/>
      <c r="AD600" s="68"/>
    </row>
    <row r="601" spans="3:30" ht="10.5" customHeight="1">
      <c r="C601" s="1463" t="s">
        <v>4393</v>
      </c>
      <c r="D601" s="1460">
        <v>1</v>
      </c>
      <c r="E601" s="1460">
        <v>1</v>
      </c>
      <c r="F601" s="1461">
        <v>2</v>
      </c>
      <c r="G601" s="1472" t="s">
        <v>4393</v>
      </c>
      <c r="H601" s="1458">
        <v>1</v>
      </c>
      <c r="I601" s="1458">
        <v>0</v>
      </c>
      <c r="J601" s="1473">
        <v>1</v>
      </c>
      <c r="K601" s="1462"/>
      <c r="L601" s="1456">
        <v>13057090904</v>
      </c>
      <c r="M601" s="1457">
        <v>1</v>
      </c>
      <c r="N601" s="1457">
        <v>1</v>
      </c>
      <c r="O601" s="1457">
        <v>2</v>
      </c>
      <c r="P601" s="241" t="s">
        <v>980</v>
      </c>
      <c r="Q601" s="241"/>
      <c r="R601" s="147"/>
      <c r="S601" s="236"/>
      <c r="T601" s="392" t="s">
        <v>1993</v>
      </c>
      <c r="U601" s="392" t="s">
        <v>168</v>
      </c>
      <c r="AA601"/>
      <c r="AB601"/>
      <c r="AC601" s="380"/>
      <c r="AD601" s="68"/>
    </row>
    <row r="602" spans="3:30" ht="10.5" customHeight="1">
      <c r="C602" s="1463" t="s">
        <v>4394</v>
      </c>
      <c r="D602" s="1460">
        <v>1</v>
      </c>
      <c r="E602" s="1460">
        <v>1</v>
      </c>
      <c r="F602" s="1461">
        <v>2</v>
      </c>
      <c r="G602" s="1472" t="s">
        <v>4394</v>
      </c>
      <c r="H602" s="1458">
        <v>1</v>
      </c>
      <c r="I602" s="1458">
        <v>1</v>
      </c>
      <c r="J602" s="1473">
        <v>2</v>
      </c>
      <c r="K602" s="1462"/>
      <c r="L602" s="1456">
        <v>13057090905</v>
      </c>
      <c r="M602" s="1457">
        <v>1</v>
      </c>
      <c r="N602" s="1457">
        <v>1</v>
      </c>
      <c r="O602" s="1457">
        <v>2</v>
      </c>
      <c r="P602" s="241" t="s">
        <v>2094</v>
      </c>
      <c r="Q602" s="241"/>
      <c r="R602" s="147"/>
      <c r="S602" s="236"/>
      <c r="T602" s="392" t="s">
        <v>1995</v>
      </c>
      <c r="U602" s="392" t="s">
        <v>1364</v>
      </c>
      <c r="AA602"/>
      <c r="AB602"/>
      <c r="AC602" s="380"/>
      <c r="AD602" s="68"/>
    </row>
    <row r="603" spans="3:30" ht="10.5" customHeight="1">
      <c r="C603" s="1463" t="s">
        <v>4395</v>
      </c>
      <c r="D603" s="1460">
        <v>0</v>
      </c>
      <c r="E603" s="1460">
        <v>1</v>
      </c>
      <c r="F603" s="1461">
        <v>1</v>
      </c>
      <c r="G603" s="1472" t="s">
        <v>4395</v>
      </c>
      <c r="H603" s="1458">
        <v>1</v>
      </c>
      <c r="I603" s="1458">
        <v>1</v>
      </c>
      <c r="J603" s="1473">
        <v>2</v>
      </c>
      <c r="K603" s="1462"/>
      <c r="L603" s="1456">
        <v>13057091001</v>
      </c>
      <c r="M603" s="1457">
        <v>1</v>
      </c>
      <c r="N603" s="1457">
        <v>1</v>
      </c>
      <c r="O603" s="1457">
        <v>2</v>
      </c>
      <c r="P603" s="241" t="s">
        <v>2096</v>
      </c>
      <c r="Q603" s="241"/>
      <c r="R603" s="147"/>
      <c r="S603" s="236"/>
      <c r="T603" s="392" t="s">
        <v>1997</v>
      </c>
      <c r="U603" s="392" t="s">
        <v>621</v>
      </c>
      <c r="AA603"/>
      <c r="AB603"/>
      <c r="AC603" s="380"/>
      <c r="AD603" s="68"/>
    </row>
    <row r="604" spans="3:30" ht="10.5" customHeight="1">
      <c r="C604" s="1463" t="s">
        <v>4396</v>
      </c>
      <c r="D604" s="1460">
        <v>0</v>
      </c>
      <c r="E604" s="1460">
        <v>0</v>
      </c>
      <c r="F604" s="1461">
        <v>0</v>
      </c>
      <c r="G604" s="1472" t="s">
        <v>4396</v>
      </c>
      <c r="H604" s="1458">
        <v>1</v>
      </c>
      <c r="I604" s="1458">
        <v>0</v>
      </c>
      <c r="J604" s="1473">
        <v>1</v>
      </c>
      <c r="K604" s="1462"/>
      <c r="L604" s="1456">
        <v>13057091003</v>
      </c>
      <c r="M604" s="1457">
        <v>1</v>
      </c>
      <c r="N604" s="1457">
        <v>0</v>
      </c>
      <c r="O604" s="1457">
        <v>1</v>
      </c>
      <c r="P604" s="241" t="s">
        <v>1645</v>
      </c>
      <c r="Q604" s="241"/>
      <c r="R604" s="147"/>
      <c r="S604" s="236"/>
      <c r="T604" s="392" t="s">
        <v>84</v>
      </c>
      <c r="U604" s="392" t="s">
        <v>115</v>
      </c>
      <c r="AA604"/>
      <c r="AB604"/>
      <c r="AC604" s="380"/>
      <c r="AD604" s="68"/>
    </row>
    <row r="605" spans="3:30" ht="10.5" customHeight="1">
      <c r="C605" s="1463" t="s">
        <v>4397</v>
      </c>
      <c r="D605" s="1460">
        <v>1</v>
      </c>
      <c r="E605" s="1460">
        <v>1</v>
      </c>
      <c r="F605" s="1461">
        <v>2</v>
      </c>
      <c r="G605" s="1472" t="s">
        <v>4397</v>
      </c>
      <c r="H605" s="1458">
        <v>1</v>
      </c>
      <c r="I605" s="1458">
        <v>1</v>
      </c>
      <c r="J605" s="1473">
        <v>2</v>
      </c>
      <c r="K605" s="1462"/>
      <c r="L605" s="1456">
        <v>13057091005</v>
      </c>
      <c r="M605" s="1457">
        <v>1</v>
      </c>
      <c r="N605" s="1457">
        <v>1</v>
      </c>
      <c r="O605" s="1457">
        <v>2</v>
      </c>
      <c r="P605" s="241" t="s">
        <v>2319</v>
      </c>
      <c r="Q605" s="241"/>
      <c r="R605" s="147"/>
      <c r="S605" s="236"/>
      <c r="T605" s="392" t="s">
        <v>1417</v>
      </c>
      <c r="U605" s="392" t="s">
        <v>2029</v>
      </c>
      <c r="AA605"/>
      <c r="AB605"/>
      <c r="AC605" s="380"/>
      <c r="AD605" s="68"/>
    </row>
    <row r="606" spans="3:30" ht="10.5" customHeight="1">
      <c r="C606" s="1463" t="s">
        <v>4398</v>
      </c>
      <c r="D606" s="1460">
        <v>1</v>
      </c>
      <c r="E606" s="1460">
        <v>1</v>
      </c>
      <c r="F606" s="1461">
        <v>2</v>
      </c>
      <c r="G606" s="1472" t="s">
        <v>4398</v>
      </c>
      <c r="H606" s="1458">
        <v>1</v>
      </c>
      <c r="I606" s="1458">
        <v>1</v>
      </c>
      <c r="J606" s="1473">
        <v>2</v>
      </c>
      <c r="K606" s="1462"/>
      <c r="L606" s="1456">
        <v>13057091006</v>
      </c>
      <c r="M606" s="1457">
        <v>1</v>
      </c>
      <c r="N606" s="1457">
        <v>1</v>
      </c>
      <c r="O606" s="1457">
        <v>2</v>
      </c>
      <c r="P606" s="241" t="s">
        <v>2009</v>
      </c>
      <c r="Q606" s="241"/>
      <c r="R606" s="147"/>
      <c r="S606" s="236"/>
      <c r="T606" s="392" t="s">
        <v>1419</v>
      </c>
      <c r="U606" s="392" t="s">
        <v>192</v>
      </c>
      <c r="AA606"/>
      <c r="AB606"/>
      <c r="AC606" s="380"/>
      <c r="AD606" s="68"/>
    </row>
    <row r="607" spans="3:30" ht="10.5" customHeight="1">
      <c r="C607" s="1463" t="s">
        <v>4399</v>
      </c>
      <c r="D607" s="1460">
        <v>1</v>
      </c>
      <c r="E607" s="1460">
        <v>1</v>
      </c>
      <c r="F607" s="1461">
        <v>2</v>
      </c>
      <c r="G607" s="1472" t="s">
        <v>4399</v>
      </c>
      <c r="H607" s="1458">
        <v>1</v>
      </c>
      <c r="I607" s="1458">
        <v>1</v>
      </c>
      <c r="J607" s="1473">
        <v>2</v>
      </c>
      <c r="K607" s="1462"/>
      <c r="L607" s="1456">
        <v>13057091007</v>
      </c>
      <c r="M607" s="1457">
        <v>1</v>
      </c>
      <c r="N607" s="1457">
        <v>1</v>
      </c>
      <c r="O607" s="1457">
        <v>2</v>
      </c>
      <c r="P607" s="241" t="s">
        <v>1506</v>
      </c>
      <c r="Q607" s="241"/>
      <c r="R607" s="147"/>
      <c r="S607" s="236"/>
      <c r="T607" s="236" t="s">
        <v>1421</v>
      </c>
      <c r="U607" s="236" t="s">
        <v>1367</v>
      </c>
      <c r="AA607"/>
      <c r="AB607"/>
      <c r="AC607" s="68"/>
      <c r="AD607" s="68"/>
    </row>
    <row r="608" spans="3:30" ht="10.5" customHeight="1">
      <c r="C608" s="1463" t="s">
        <v>4400</v>
      </c>
      <c r="D608" s="1460">
        <v>1</v>
      </c>
      <c r="E608" s="1460">
        <v>1</v>
      </c>
      <c r="F608" s="1461">
        <v>2</v>
      </c>
      <c r="G608" s="1472" t="s">
        <v>4400</v>
      </c>
      <c r="H608" s="1458">
        <v>1</v>
      </c>
      <c r="I608" s="1458" t="s">
        <v>3911</v>
      </c>
      <c r="J608" s="1473">
        <v>1</v>
      </c>
      <c r="K608" s="1462"/>
      <c r="L608" s="1456">
        <v>13057091008</v>
      </c>
      <c r="M608" s="1457">
        <v>1</v>
      </c>
      <c r="N608" s="1457">
        <v>1</v>
      </c>
      <c r="O608" s="1457">
        <v>2</v>
      </c>
      <c r="P608" s="241" t="s">
        <v>1507</v>
      </c>
      <c r="Q608" s="241"/>
      <c r="R608" s="147"/>
      <c r="S608" s="236"/>
      <c r="T608" s="392" t="s">
        <v>1423</v>
      </c>
      <c r="U608" s="392" t="s">
        <v>2019</v>
      </c>
      <c r="AA608"/>
      <c r="AB608"/>
      <c r="AC608" s="380"/>
      <c r="AD608" s="68"/>
    </row>
    <row r="609" spans="3:30" ht="10.5" customHeight="1">
      <c r="C609" s="1463" t="s">
        <v>4401</v>
      </c>
      <c r="D609" s="1460">
        <v>1</v>
      </c>
      <c r="E609" s="1460">
        <v>1</v>
      </c>
      <c r="F609" s="1461">
        <v>2</v>
      </c>
      <c r="G609" s="1472" t="s">
        <v>4401</v>
      </c>
      <c r="H609" s="1458">
        <v>1</v>
      </c>
      <c r="I609" s="1458" t="s">
        <v>3911</v>
      </c>
      <c r="J609" s="1473">
        <v>1</v>
      </c>
      <c r="K609" s="1462"/>
      <c r="L609" s="1456">
        <v>13057091101</v>
      </c>
      <c r="M609" s="1457">
        <v>1</v>
      </c>
      <c r="N609" s="1457">
        <v>1</v>
      </c>
      <c r="O609" s="1457">
        <v>2</v>
      </c>
      <c r="P609" s="241" t="s">
        <v>1509</v>
      </c>
      <c r="Q609" s="241"/>
      <c r="R609" s="147"/>
      <c r="S609" s="236"/>
      <c r="T609" s="392" t="s">
        <v>58</v>
      </c>
      <c r="U609" s="392" t="s">
        <v>1248</v>
      </c>
      <c r="AA609"/>
      <c r="AB609"/>
      <c r="AC609" s="380"/>
      <c r="AD609" s="68"/>
    </row>
    <row r="610" spans="3:30" ht="10.5" customHeight="1">
      <c r="C610" s="1463" t="s">
        <v>4402</v>
      </c>
      <c r="D610" s="1460">
        <v>1</v>
      </c>
      <c r="E610" s="1460">
        <v>0</v>
      </c>
      <c r="F610" s="1461">
        <v>1</v>
      </c>
      <c r="G610" s="1472" t="s">
        <v>4402</v>
      </c>
      <c r="H610" s="1458">
        <v>1</v>
      </c>
      <c r="I610" s="1458">
        <v>0</v>
      </c>
      <c r="J610" s="1473">
        <v>1</v>
      </c>
      <c r="K610" s="1462"/>
      <c r="L610" s="1456">
        <v>13057091102</v>
      </c>
      <c r="M610" s="1457">
        <v>1</v>
      </c>
      <c r="N610" s="1457">
        <v>0</v>
      </c>
      <c r="O610" s="1457">
        <v>1</v>
      </c>
      <c r="P610" s="241" t="s">
        <v>1510</v>
      </c>
      <c r="Q610" s="241"/>
      <c r="R610" s="147"/>
      <c r="S610" s="236"/>
      <c r="T610" s="236" t="s">
        <v>60</v>
      </c>
      <c r="U610" s="236" t="s">
        <v>100</v>
      </c>
      <c r="AA610"/>
      <c r="AB610"/>
      <c r="AC610" s="68"/>
      <c r="AD610" s="68"/>
    </row>
    <row r="611" spans="3:30" ht="10.5" customHeight="1">
      <c r="C611" s="1463" t="s">
        <v>4403</v>
      </c>
      <c r="D611" s="1460">
        <v>1</v>
      </c>
      <c r="E611" s="1460">
        <v>1</v>
      </c>
      <c r="F611" s="1461">
        <v>2</v>
      </c>
      <c r="G611" s="1472" t="s">
        <v>4403</v>
      </c>
      <c r="H611" s="1458">
        <v>1</v>
      </c>
      <c r="I611" s="1458">
        <v>1</v>
      </c>
      <c r="J611" s="1473">
        <v>2</v>
      </c>
      <c r="K611" s="1462"/>
      <c r="L611" s="1456">
        <v>13057091103</v>
      </c>
      <c r="M611" s="1457">
        <v>1</v>
      </c>
      <c r="N611" s="1457">
        <v>1</v>
      </c>
      <c r="O611" s="1457">
        <v>2</v>
      </c>
      <c r="P611" s="241" t="s">
        <v>1512</v>
      </c>
      <c r="Q611" s="241"/>
      <c r="R611" s="147"/>
      <c r="S611" s="236"/>
      <c r="T611" s="392" t="s">
        <v>62</v>
      </c>
      <c r="U611" s="392" t="s">
        <v>819</v>
      </c>
      <c r="AA611"/>
      <c r="AB611"/>
      <c r="AC611" s="380"/>
      <c r="AD611" s="68"/>
    </row>
    <row r="612" spans="3:30" ht="10.5" customHeight="1">
      <c r="C612" s="1463" t="s">
        <v>4404</v>
      </c>
      <c r="D612" s="1460">
        <v>0</v>
      </c>
      <c r="E612" s="1460">
        <v>1</v>
      </c>
      <c r="F612" s="1461">
        <v>1</v>
      </c>
      <c r="G612" s="1472" t="s">
        <v>4404</v>
      </c>
      <c r="H612" s="1458">
        <v>0</v>
      </c>
      <c r="I612" s="1458" t="s">
        <v>3911</v>
      </c>
      <c r="J612" s="1473">
        <v>0</v>
      </c>
      <c r="K612" s="1462"/>
      <c r="L612" s="1456">
        <v>13059000100</v>
      </c>
      <c r="M612" s="1457">
        <v>0</v>
      </c>
      <c r="N612" s="1457">
        <v>1</v>
      </c>
      <c r="O612" s="1457">
        <v>1</v>
      </c>
      <c r="P612" s="241" t="s">
        <v>1513</v>
      </c>
      <c r="Q612" s="241"/>
      <c r="R612" s="147"/>
      <c r="S612" s="236"/>
      <c r="T612" s="392" t="s">
        <v>64</v>
      </c>
      <c r="U612" s="392" t="s">
        <v>1424</v>
      </c>
      <c r="AA612"/>
      <c r="AB612"/>
      <c r="AC612" s="380"/>
      <c r="AD612" s="68"/>
    </row>
    <row r="613" spans="3:30" ht="10.5" customHeight="1">
      <c r="C613" s="1463" t="s">
        <v>4405</v>
      </c>
      <c r="D613" s="1460">
        <v>0</v>
      </c>
      <c r="E613" s="1460">
        <v>0</v>
      </c>
      <c r="F613" s="1461">
        <v>0</v>
      </c>
      <c r="G613" s="1472" t="s">
        <v>4405</v>
      </c>
      <c r="H613" s="1458">
        <v>0</v>
      </c>
      <c r="I613" s="1458" t="s">
        <v>3911</v>
      </c>
      <c r="J613" s="1473">
        <v>0</v>
      </c>
      <c r="K613" s="1462"/>
      <c r="L613" s="1456">
        <v>13059000401</v>
      </c>
      <c r="M613" s="1457">
        <v>0</v>
      </c>
      <c r="N613" s="1457">
        <v>0</v>
      </c>
      <c r="O613" s="1457">
        <v>0</v>
      </c>
      <c r="P613" s="241" t="s">
        <v>1515</v>
      </c>
      <c r="Q613" s="241"/>
      <c r="R613" s="147"/>
      <c r="S613" s="236"/>
      <c r="T613" s="392" t="s">
        <v>723</v>
      </c>
      <c r="U613" s="392" t="s">
        <v>2288</v>
      </c>
      <c r="AA613"/>
      <c r="AB613"/>
      <c r="AC613" s="380"/>
      <c r="AD613" s="68"/>
    </row>
    <row r="614" spans="3:30" ht="10.5" customHeight="1">
      <c r="C614" s="1463" t="s">
        <v>4406</v>
      </c>
      <c r="D614" s="1460">
        <v>0</v>
      </c>
      <c r="E614" s="1460">
        <v>1</v>
      </c>
      <c r="F614" s="1461">
        <v>1</v>
      </c>
      <c r="G614" s="1472" t="s">
        <v>4406</v>
      </c>
      <c r="H614" s="1458">
        <v>0</v>
      </c>
      <c r="I614" s="1458" t="s">
        <v>3911</v>
      </c>
      <c r="J614" s="1473">
        <v>0</v>
      </c>
      <c r="K614" s="1462"/>
      <c r="L614" s="1456">
        <v>13059000402</v>
      </c>
      <c r="M614" s="1457">
        <v>0</v>
      </c>
      <c r="N614" s="1457">
        <v>1</v>
      </c>
      <c r="O614" s="1457">
        <v>1</v>
      </c>
      <c r="P614" s="241" t="s">
        <v>2227</v>
      </c>
      <c r="Q614" s="241"/>
      <c r="R614" s="147"/>
      <c r="S614" s="236"/>
      <c r="T614" s="392" t="s">
        <v>681</v>
      </c>
      <c r="U614" s="392" t="s">
        <v>2294</v>
      </c>
      <c r="AA614"/>
      <c r="AB614"/>
      <c r="AC614" s="380"/>
      <c r="AD614" s="68"/>
    </row>
    <row r="615" spans="3:30" ht="10.5" customHeight="1">
      <c r="C615" s="1463" t="s">
        <v>4407</v>
      </c>
      <c r="D615" s="1460">
        <v>0</v>
      </c>
      <c r="E615" s="1460">
        <v>0</v>
      </c>
      <c r="F615" s="1461">
        <v>0</v>
      </c>
      <c r="G615" s="1472" t="s">
        <v>4407</v>
      </c>
      <c r="H615" s="1458">
        <v>0</v>
      </c>
      <c r="I615" s="1458">
        <v>1</v>
      </c>
      <c r="J615" s="1473">
        <v>1</v>
      </c>
      <c r="K615" s="1462"/>
      <c r="L615" s="1456">
        <v>13059000600</v>
      </c>
      <c r="M615" s="1457">
        <v>0</v>
      </c>
      <c r="N615" s="1457">
        <v>1</v>
      </c>
      <c r="O615" s="1457">
        <v>1</v>
      </c>
      <c r="P615" s="241" t="s">
        <v>160</v>
      </c>
      <c r="Q615" s="241"/>
      <c r="R615" s="147"/>
      <c r="S615" s="236"/>
      <c r="T615" s="392" t="s">
        <v>882</v>
      </c>
      <c r="U615" s="392" t="s">
        <v>2331</v>
      </c>
      <c r="AA615"/>
      <c r="AB615"/>
      <c r="AC615" s="380"/>
      <c r="AD615" s="68"/>
    </row>
    <row r="616" spans="3:30" ht="10.5" customHeight="1">
      <c r="C616" s="1463" t="s">
        <v>4408</v>
      </c>
      <c r="D616" s="1460">
        <v>0</v>
      </c>
      <c r="E616" s="1460">
        <v>0</v>
      </c>
      <c r="F616" s="1461">
        <v>0</v>
      </c>
      <c r="G616" s="1472" t="s">
        <v>4408</v>
      </c>
      <c r="H616" s="1458">
        <v>0</v>
      </c>
      <c r="I616" s="1458">
        <v>0</v>
      </c>
      <c r="J616" s="1473">
        <v>0</v>
      </c>
      <c r="K616" s="1462"/>
      <c r="L616" s="1456">
        <v>13059000900</v>
      </c>
      <c r="M616" s="1457">
        <v>0</v>
      </c>
      <c r="N616" s="1457">
        <v>0</v>
      </c>
      <c r="O616" s="1457">
        <v>0</v>
      </c>
      <c r="P616" s="241" t="s">
        <v>925</v>
      </c>
      <c r="Q616" s="241"/>
      <c r="R616" s="147"/>
      <c r="S616" s="236"/>
      <c r="T616" s="392" t="s">
        <v>1005</v>
      </c>
      <c r="U616" s="392" t="s">
        <v>307</v>
      </c>
      <c r="AA616"/>
      <c r="AB616"/>
      <c r="AC616" s="380"/>
      <c r="AD616" s="68"/>
    </row>
    <row r="617" spans="3:30" ht="10.5" customHeight="1">
      <c r="C617" s="1463" t="s">
        <v>4409</v>
      </c>
      <c r="D617" s="1460">
        <v>1</v>
      </c>
      <c r="E617" s="1460">
        <v>0</v>
      </c>
      <c r="F617" s="1461">
        <v>1</v>
      </c>
      <c r="G617" s="1472" t="s">
        <v>4409</v>
      </c>
      <c r="H617" s="1458">
        <v>1</v>
      </c>
      <c r="I617" s="1458">
        <v>1</v>
      </c>
      <c r="J617" s="1473">
        <v>2</v>
      </c>
      <c r="K617" s="1462"/>
      <c r="L617" s="1456">
        <v>13059001200</v>
      </c>
      <c r="M617" s="1457">
        <v>1</v>
      </c>
      <c r="N617" s="1457">
        <v>1</v>
      </c>
      <c r="O617" s="1457">
        <v>2</v>
      </c>
      <c r="P617" s="241" t="s">
        <v>926</v>
      </c>
      <c r="Q617" s="241"/>
      <c r="R617" s="147"/>
      <c r="S617" s="236"/>
      <c r="T617" s="392" t="s">
        <v>1113</v>
      </c>
      <c r="U617" s="392" t="s">
        <v>1812</v>
      </c>
      <c r="AA617"/>
      <c r="AB617"/>
      <c r="AC617" s="380"/>
      <c r="AD617" s="68"/>
    </row>
    <row r="618" spans="3:30" ht="10.5" customHeight="1">
      <c r="C618" s="1463" t="s">
        <v>4410</v>
      </c>
      <c r="D618" s="1460">
        <v>1</v>
      </c>
      <c r="E618" s="1460">
        <v>1</v>
      </c>
      <c r="F618" s="1461">
        <v>2</v>
      </c>
      <c r="G618" s="1472" t="s">
        <v>4410</v>
      </c>
      <c r="H618" s="1458">
        <v>1</v>
      </c>
      <c r="I618" s="1458">
        <v>1</v>
      </c>
      <c r="J618" s="1473">
        <v>2</v>
      </c>
      <c r="K618" s="1462"/>
      <c r="L618" s="1456">
        <v>13059001700</v>
      </c>
      <c r="M618" s="1457">
        <v>1</v>
      </c>
      <c r="N618" s="1457">
        <v>1</v>
      </c>
      <c r="O618" s="1457">
        <v>2</v>
      </c>
      <c r="P618" s="241" t="s">
        <v>928</v>
      </c>
      <c r="Q618" s="241"/>
      <c r="R618" s="147"/>
      <c r="S618" s="236"/>
      <c r="T618" s="236" t="s">
        <v>2551</v>
      </c>
      <c r="U618" s="236" t="s">
        <v>1655</v>
      </c>
      <c r="AA618"/>
      <c r="AB618"/>
      <c r="AC618" s="68"/>
      <c r="AD618" s="68"/>
    </row>
    <row r="619" spans="3:30" ht="10.5" customHeight="1">
      <c r="C619" s="1463" t="s">
        <v>4411</v>
      </c>
      <c r="D619" s="1460">
        <v>0</v>
      </c>
      <c r="E619" s="1460">
        <v>1</v>
      </c>
      <c r="F619" s="1461">
        <v>1</v>
      </c>
      <c r="G619" s="1472" t="s">
        <v>4411</v>
      </c>
      <c r="H619" s="1458">
        <v>0</v>
      </c>
      <c r="I619" s="1458">
        <v>0</v>
      </c>
      <c r="J619" s="1473">
        <v>0</v>
      </c>
      <c r="K619" s="1462"/>
      <c r="L619" s="1456">
        <v>13059001800</v>
      </c>
      <c r="M619" s="1457">
        <v>0</v>
      </c>
      <c r="N619" s="1457">
        <v>1</v>
      </c>
      <c r="O619" s="1457">
        <v>1</v>
      </c>
      <c r="P619" s="241" t="s">
        <v>2196</v>
      </c>
      <c r="Q619" s="241"/>
      <c r="R619" s="147"/>
      <c r="S619" s="236"/>
      <c r="T619" s="392" t="s">
        <v>979</v>
      </c>
      <c r="U619" s="392" t="s">
        <v>1033</v>
      </c>
      <c r="AA619"/>
      <c r="AB619"/>
      <c r="AC619" s="380"/>
      <c r="AD619" s="68"/>
    </row>
    <row r="620" spans="3:30" ht="10.5" customHeight="1">
      <c r="C620" s="1463" t="s">
        <v>4412</v>
      </c>
      <c r="D620" s="1460">
        <v>0</v>
      </c>
      <c r="E620" s="1460">
        <v>0</v>
      </c>
      <c r="F620" s="1461">
        <v>0</v>
      </c>
      <c r="G620" s="1472" t="s">
        <v>4412</v>
      </c>
      <c r="H620" s="1458">
        <v>0</v>
      </c>
      <c r="I620" s="1458">
        <v>0</v>
      </c>
      <c r="J620" s="1473">
        <v>0</v>
      </c>
      <c r="K620" s="1462"/>
      <c r="L620" s="1456">
        <v>13059001900</v>
      </c>
      <c r="M620" s="1457">
        <v>0</v>
      </c>
      <c r="N620" s="1457">
        <v>0</v>
      </c>
      <c r="O620" s="1457">
        <v>0</v>
      </c>
      <c r="P620" s="241" t="s">
        <v>2324</v>
      </c>
      <c r="Q620" s="241"/>
      <c r="R620" s="147"/>
      <c r="S620" s="236"/>
      <c r="T620" s="392" t="s">
        <v>2095</v>
      </c>
      <c r="U620" s="392" t="s">
        <v>2012</v>
      </c>
      <c r="AA620"/>
      <c r="AB620"/>
      <c r="AC620" s="380"/>
      <c r="AD620" s="68"/>
    </row>
    <row r="621" spans="3:30" ht="10.5" customHeight="1">
      <c r="C621" s="1463" t="s">
        <v>4413</v>
      </c>
      <c r="D621" s="1460">
        <v>1</v>
      </c>
      <c r="E621" s="1460">
        <v>1</v>
      </c>
      <c r="F621" s="1461">
        <v>2</v>
      </c>
      <c r="G621" s="1472" t="s">
        <v>4413</v>
      </c>
      <c r="H621" s="1458">
        <v>1</v>
      </c>
      <c r="I621" s="1458">
        <v>1</v>
      </c>
      <c r="J621" s="1473">
        <v>2</v>
      </c>
      <c r="K621" s="1462"/>
      <c r="L621" s="1456">
        <v>13059002000</v>
      </c>
      <c r="M621" s="1457">
        <v>1</v>
      </c>
      <c r="N621" s="1457">
        <v>1</v>
      </c>
      <c r="O621" s="1457">
        <v>2</v>
      </c>
      <c r="P621" s="241" t="s">
        <v>1857</v>
      </c>
      <c r="Q621" s="241"/>
      <c r="R621" s="147"/>
      <c r="S621" s="236"/>
      <c r="T621" s="392" t="s">
        <v>2097</v>
      </c>
      <c r="U621" s="392" t="s">
        <v>612</v>
      </c>
      <c r="AA621"/>
      <c r="AB621"/>
      <c r="AC621" s="380"/>
      <c r="AD621" s="68"/>
    </row>
    <row r="622" spans="3:30" ht="10.5" customHeight="1">
      <c r="C622" s="1463" t="s">
        <v>4414</v>
      </c>
      <c r="D622" s="1460">
        <v>0</v>
      </c>
      <c r="E622" s="1460">
        <v>1</v>
      </c>
      <c r="F622" s="1461">
        <v>1</v>
      </c>
      <c r="G622" s="1472" t="s">
        <v>4414</v>
      </c>
      <c r="H622" s="1458">
        <v>0</v>
      </c>
      <c r="I622" s="1458" t="s">
        <v>3911</v>
      </c>
      <c r="J622" s="1473">
        <v>0</v>
      </c>
      <c r="K622" s="1462"/>
      <c r="L622" s="1456">
        <v>13059002100</v>
      </c>
      <c r="M622" s="1457">
        <v>0</v>
      </c>
      <c r="N622" s="1457">
        <v>1</v>
      </c>
      <c r="O622" s="1457">
        <v>1</v>
      </c>
      <c r="P622" s="241" t="s">
        <v>885</v>
      </c>
      <c r="Q622" s="241"/>
      <c r="R622" s="147"/>
      <c r="S622" s="236"/>
      <c r="T622" s="392" t="s">
        <v>1646</v>
      </c>
      <c r="U622" s="392" t="s">
        <v>686</v>
      </c>
      <c r="AA622"/>
      <c r="AB622"/>
      <c r="AC622" s="380"/>
      <c r="AD622" s="68"/>
    </row>
    <row r="623" spans="3:30" ht="10.5" customHeight="1">
      <c r="C623" s="1463" t="s">
        <v>4415</v>
      </c>
      <c r="D623" s="1460">
        <v>1</v>
      </c>
      <c r="E623" s="1460">
        <v>1</v>
      </c>
      <c r="F623" s="1461">
        <v>2</v>
      </c>
      <c r="G623" s="1472" t="s">
        <v>4415</v>
      </c>
      <c r="H623" s="1458">
        <v>1</v>
      </c>
      <c r="I623" s="1458" t="s">
        <v>3911</v>
      </c>
      <c r="J623" s="1473">
        <v>1</v>
      </c>
      <c r="K623" s="1462"/>
      <c r="L623" s="1456">
        <v>13059002200</v>
      </c>
      <c r="M623" s="1457">
        <v>1</v>
      </c>
      <c r="N623" s="1457">
        <v>1</v>
      </c>
      <c r="O623" s="1457">
        <v>2</v>
      </c>
      <c r="P623" s="241" t="s">
        <v>719</v>
      </c>
      <c r="Q623" s="241"/>
      <c r="R623" s="147"/>
      <c r="S623" s="236"/>
      <c r="T623" s="236" t="s">
        <v>2320</v>
      </c>
      <c r="U623" s="236" t="s">
        <v>1863</v>
      </c>
      <c r="AA623"/>
      <c r="AB623"/>
      <c r="AC623" s="68"/>
      <c r="AD623" s="68"/>
    </row>
    <row r="624" spans="3:30" ht="10.5" customHeight="1">
      <c r="C624" s="1463" t="s">
        <v>4416</v>
      </c>
      <c r="D624" s="1460">
        <v>0</v>
      </c>
      <c r="E624" s="1460">
        <v>0</v>
      </c>
      <c r="F624" s="1461">
        <v>0</v>
      </c>
      <c r="G624" s="1472" t="s">
        <v>4416</v>
      </c>
      <c r="H624" s="1458">
        <v>0</v>
      </c>
      <c r="I624" s="1458">
        <v>0</v>
      </c>
      <c r="J624" s="1473">
        <v>0</v>
      </c>
      <c r="K624" s="1462"/>
      <c r="L624" s="1456">
        <v>13059030100</v>
      </c>
      <c r="M624" s="1457">
        <v>0</v>
      </c>
      <c r="N624" s="1457">
        <v>0</v>
      </c>
      <c r="O624" s="1457">
        <v>0</v>
      </c>
      <c r="P624" s="241" t="s">
        <v>1377</v>
      </c>
      <c r="Q624" s="241"/>
      <c r="R624" s="147"/>
      <c r="S624" s="236"/>
      <c r="T624" s="392" t="s">
        <v>2010</v>
      </c>
      <c r="U624" s="392" t="s">
        <v>1133</v>
      </c>
      <c r="AA624"/>
      <c r="AB624"/>
      <c r="AC624" s="380"/>
      <c r="AD624" s="68"/>
    </row>
    <row r="625" spans="3:30" ht="10.5" customHeight="1">
      <c r="C625" s="1463" t="s">
        <v>4417</v>
      </c>
      <c r="D625" s="1460">
        <v>0</v>
      </c>
      <c r="E625" s="1460">
        <v>0</v>
      </c>
      <c r="F625" s="1461">
        <v>0</v>
      </c>
      <c r="G625" s="1472" t="s">
        <v>4417</v>
      </c>
      <c r="H625" s="1458">
        <v>0</v>
      </c>
      <c r="I625" s="1458">
        <v>0</v>
      </c>
      <c r="J625" s="1473">
        <v>0</v>
      </c>
      <c r="K625" s="1462"/>
      <c r="L625" s="1456">
        <v>13059030200</v>
      </c>
      <c r="M625" s="1457">
        <v>0</v>
      </c>
      <c r="N625" s="1457">
        <v>0</v>
      </c>
      <c r="O625" s="1457">
        <v>0</v>
      </c>
      <c r="P625" s="241" t="s">
        <v>1379</v>
      </c>
      <c r="Q625" s="241"/>
      <c r="R625" s="147"/>
      <c r="S625" s="236"/>
      <c r="T625" s="392" t="s">
        <v>1508</v>
      </c>
      <c r="U625" s="392" t="s">
        <v>614</v>
      </c>
      <c r="AA625"/>
      <c r="AB625"/>
      <c r="AC625" s="380"/>
      <c r="AD625" s="68"/>
    </row>
    <row r="626" spans="3:30" ht="10.5" customHeight="1">
      <c r="C626" s="1463" t="s">
        <v>4418</v>
      </c>
      <c r="D626" s="1460">
        <v>0</v>
      </c>
      <c r="E626" s="1460">
        <v>0</v>
      </c>
      <c r="F626" s="1461">
        <v>0</v>
      </c>
      <c r="G626" s="1472" t="s">
        <v>4418</v>
      </c>
      <c r="H626" s="1458">
        <v>0</v>
      </c>
      <c r="I626" s="1458">
        <v>0</v>
      </c>
      <c r="J626" s="1473">
        <v>0</v>
      </c>
      <c r="K626" s="1462"/>
      <c r="L626" s="1456">
        <v>13059130300</v>
      </c>
      <c r="M626" s="1457">
        <v>0</v>
      </c>
      <c r="N626" s="1457">
        <v>0</v>
      </c>
      <c r="O626" s="1457">
        <v>0</v>
      </c>
      <c r="P626" s="241" t="s">
        <v>1381</v>
      </c>
      <c r="Q626" s="241"/>
      <c r="R626" s="147"/>
      <c r="S626" s="236"/>
      <c r="T626" s="392" t="s">
        <v>775</v>
      </c>
      <c r="U626" s="392" t="s">
        <v>1236</v>
      </c>
      <c r="AA626"/>
      <c r="AB626"/>
      <c r="AC626" s="380"/>
      <c r="AD626" s="68"/>
    </row>
    <row r="627" spans="3:30" ht="10.5" customHeight="1">
      <c r="C627" s="1463" t="s">
        <v>4419</v>
      </c>
      <c r="D627" s="1460">
        <v>1</v>
      </c>
      <c r="E627" s="1460">
        <v>0</v>
      </c>
      <c r="F627" s="1461">
        <v>1</v>
      </c>
      <c r="G627" s="1472" t="s">
        <v>4419</v>
      </c>
      <c r="H627" s="1458">
        <v>1</v>
      </c>
      <c r="I627" s="1458">
        <v>1</v>
      </c>
      <c r="J627" s="1473">
        <v>2</v>
      </c>
      <c r="K627" s="1462"/>
      <c r="L627" s="1456">
        <v>13059130400</v>
      </c>
      <c r="M627" s="1457">
        <v>1</v>
      </c>
      <c r="N627" s="1457">
        <v>1</v>
      </c>
      <c r="O627" s="1457">
        <v>2</v>
      </c>
      <c r="P627" s="241" t="s">
        <v>1228</v>
      </c>
      <c r="Q627" s="241"/>
      <c r="R627" s="147"/>
      <c r="S627" s="236"/>
      <c r="T627" s="392" t="s">
        <v>1511</v>
      </c>
      <c r="U627" s="392" t="s">
        <v>2379</v>
      </c>
      <c r="AA627"/>
      <c r="AB627"/>
      <c r="AC627" s="380"/>
      <c r="AD627" s="68"/>
    </row>
    <row r="628" spans="3:30" ht="10.5" customHeight="1">
      <c r="C628" s="1463" t="s">
        <v>4420</v>
      </c>
      <c r="D628" s="1460">
        <v>0</v>
      </c>
      <c r="E628" s="1460">
        <v>0</v>
      </c>
      <c r="F628" s="1461">
        <v>0</v>
      </c>
      <c r="G628" s="1472" t="s">
        <v>4420</v>
      </c>
      <c r="H628" s="1458">
        <v>1</v>
      </c>
      <c r="I628" s="1458">
        <v>0</v>
      </c>
      <c r="J628" s="1473">
        <v>1</v>
      </c>
      <c r="K628" s="1462"/>
      <c r="L628" s="1456">
        <v>13059130500</v>
      </c>
      <c r="M628" s="1457">
        <v>1</v>
      </c>
      <c r="N628" s="1457">
        <v>0</v>
      </c>
      <c r="O628" s="1457">
        <v>1</v>
      </c>
      <c r="P628" s="241" t="s">
        <v>1230</v>
      </c>
      <c r="Q628" s="241"/>
      <c r="R628" s="147"/>
      <c r="S628" s="236"/>
      <c r="T628" s="392" t="s">
        <v>1514</v>
      </c>
      <c r="U628" s="392" t="s">
        <v>1527</v>
      </c>
      <c r="AA628"/>
      <c r="AB628"/>
      <c r="AC628" s="380"/>
      <c r="AD628" s="68"/>
    </row>
    <row r="629" spans="3:30" ht="10.5" customHeight="1">
      <c r="C629" s="1463" t="s">
        <v>4421</v>
      </c>
      <c r="D629" s="1460">
        <v>0</v>
      </c>
      <c r="E629" s="1460">
        <v>0</v>
      </c>
      <c r="F629" s="1461">
        <v>0</v>
      </c>
      <c r="G629" s="1472" t="s">
        <v>4421</v>
      </c>
      <c r="H629" s="1458">
        <v>0</v>
      </c>
      <c r="I629" s="1458">
        <v>0</v>
      </c>
      <c r="J629" s="1473">
        <v>0</v>
      </c>
      <c r="K629" s="1462"/>
      <c r="L629" s="1456">
        <v>13059130600</v>
      </c>
      <c r="M629" s="1457">
        <v>0</v>
      </c>
      <c r="N629" s="1457">
        <v>0</v>
      </c>
      <c r="O629" s="1457">
        <v>0</v>
      </c>
      <c r="P629" s="241" t="s">
        <v>1850</v>
      </c>
      <c r="Q629" s="241"/>
      <c r="R629" s="147"/>
      <c r="S629" s="236"/>
      <c r="T629" s="236" t="s">
        <v>1007</v>
      </c>
      <c r="U629" s="236" t="s">
        <v>1424</v>
      </c>
      <c r="AA629"/>
      <c r="AB629"/>
      <c r="AC629" s="68"/>
      <c r="AD629" s="68"/>
    </row>
    <row r="630" spans="3:30" ht="10.5" customHeight="1">
      <c r="C630" s="1463" t="s">
        <v>4422</v>
      </c>
      <c r="D630" s="1460">
        <v>1</v>
      </c>
      <c r="E630" s="1460">
        <v>1</v>
      </c>
      <c r="F630" s="1461">
        <v>2</v>
      </c>
      <c r="G630" s="1472" t="s">
        <v>4422</v>
      </c>
      <c r="H630" s="1458">
        <v>1</v>
      </c>
      <c r="I630" s="1458">
        <v>1</v>
      </c>
      <c r="J630" s="1473">
        <v>2</v>
      </c>
      <c r="K630" s="1462"/>
      <c r="L630" s="1456">
        <v>13059130700</v>
      </c>
      <c r="M630" s="1457">
        <v>1</v>
      </c>
      <c r="N630" s="1457">
        <v>1</v>
      </c>
      <c r="O630" s="1457">
        <v>2</v>
      </c>
      <c r="P630" s="241" t="s">
        <v>687</v>
      </c>
      <c r="Q630" s="241"/>
      <c r="R630" s="147"/>
      <c r="S630" s="236"/>
      <c r="T630" s="392" t="s">
        <v>2226</v>
      </c>
      <c r="U630" s="392" t="s">
        <v>100</v>
      </c>
      <c r="AA630"/>
      <c r="AB630"/>
      <c r="AC630" s="380"/>
      <c r="AD630" s="68"/>
    </row>
    <row r="631" spans="3:30" ht="10.5" customHeight="1">
      <c r="C631" s="1463" t="s">
        <v>4423</v>
      </c>
      <c r="D631" s="1460">
        <v>0</v>
      </c>
      <c r="E631" s="1460">
        <v>0</v>
      </c>
      <c r="F631" s="1461">
        <v>0</v>
      </c>
      <c r="G631" s="1472" t="s">
        <v>4423</v>
      </c>
      <c r="H631" s="1458">
        <v>0</v>
      </c>
      <c r="I631" s="1458">
        <v>0</v>
      </c>
      <c r="J631" s="1473">
        <v>0</v>
      </c>
      <c r="K631" s="1462"/>
      <c r="L631" s="1456">
        <v>13059140300</v>
      </c>
      <c r="M631" s="1457">
        <v>0</v>
      </c>
      <c r="N631" s="1457">
        <v>0</v>
      </c>
      <c r="O631" s="1457">
        <v>0</v>
      </c>
      <c r="P631" s="241" t="s">
        <v>1191</v>
      </c>
      <c r="Q631" s="241"/>
      <c r="R631" s="147"/>
      <c r="S631" s="236"/>
      <c r="T631" s="392" t="s">
        <v>758</v>
      </c>
      <c r="U631" s="392" t="s">
        <v>1133</v>
      </c>
      <c r="AA631"/>
      <c r="AB631"/>
      <c r="AC631" s="380"/>
      <c r="AD631" s="68"/>
    </row>
    <row r="632" spans="3:30" ht="10.5" customHeight="1">
      <c r="C632" s="1463" t="s">
        <v>4424</v>
      </c>
      <c r="D632" s="1460">
        <v>0</v>
      </c>
      <c r="E632" s="1460">
        <v>0</v>
      </c>
      <c r="F632" s="1461">
        <v>0</v>
      </c>
      <c r="G632" s="1472" t="s">
        <v>4424</v>
      </c>
      <c r="H632" s="1458">
        <v>0</v>
      </c>
      <c r="I632" s="1458">
        <v>0</v>
      </c>
      <c r="J632" s="1473">
        <v>0</v>
      </c>
      <c r="K632" s="1462"/>
      <c r="L632" s="1456">
        <v>13059140400</v>
      </c>
      <c r="M632" s="1457">
        <v>0</v>
      </c>
      <c r="N632" s="1457">
        <v>0</v>
      </c>
      <c r="O632" s="1457">
        <v>0</v>
      </c>
      <c r="P632" s="241" t="s">
        <v>1743</v>
      </c>
      <c r="Q632" s="241"/>
      <c r="R632" s="147"/>
      <c r="S632" s="236"/>
      <c r="T632" s="392" t="s">
        <v>1227</v>
      </c>
      <c r="U632" s="392" t="s">
        <v>1770</v>
      </c>
      <c r="AA632"/>
      <c r="AB632"/>
      <c r="AC632" s="380"/>
      <c r="AD632" s="68"/>
    </row>
    <row r="633" spans="3:30" ht="10.5" customHeight="1">
      <c r="C633" s="1463" t="s">
        <v>4425</v>
      </c>
      <c r="D633" s="1460">
        <v>0</v>
      </c>
      <c r="E633" s="1460">
        <v>0</v>
      </c>
      <c r="F633" s="1461">
        <v>0</v>
      </c>
      <c r="G633" s="1472" t="s">
        <v>4425</v>
      </c>
      <c r="H633" s="1458">
        <v>0</v>
      </c>
      <c r="I633" s="1458">
        <v>0</v>
      </c>
      <c r="J633" s="1473">
        <v>0</v>
      </c>
      <c r="K633" s="1462"/>
      <c r="L633" s="1456">
        <v>13059140500</v>
      </c>
      <c r="M633" s="1457">
        <v>0</v>
      </c>
      <c r="N633" s="1457">
        <v>0</v>
      </c>
      <c r="O633" s="1457">
        <v>0</v>
      </c>
      <c r="P633" s="241" t="s">
        <v>1744</v>
      </c>
      <c r="Q633" s="241"/>
      <c r="R633" s="147"/>
      <c r="S633" s="236"/>
      <c r="T633" s="392" t="s">
        <v>161</v>
      </c>
      <c r="U633" s="392" t="s">
        <v>1252</v>
      </c>
      <c r="AA633"/>
      <c r="AB633"/>
      <c r="AC633" s="380"/>
      <c r="AD633" s="68"/>
    </row>
    <row r="634" spans="3:30" ht="10.5" customHeight="1">
      <c r="C634" s="1463" t="s">
        <v>4426</v>
      </c>
      <c r="D634" s="1460">
        <v>0</v>
      </c>
      <c r="E634" s="1460">
        <v>0</v>
      </c>
      <c r="F634" s="1461">
        <v>0</v>
      </c>
      <c r="G634" s="1472" t="s">
        <v>4426</v>
      </c>
      <c r="H634" s="1458">
        <v>0</v>
      </c>
      <c r="I634" s="1458">
        <v>0</v>
      </c>
      <c r="J634" s="1473">
        <v>0</v>
      </c>
      <c r="K634" s="1462"/>
      <c r="L634" s="1456">
        <v>13059140600</v>
      </c>
      <c r="M634" s="1457">
        <v>0</v>
      </c>
      <c r="N634" s="1457">
        <v>0</v>
      </c>
      <c r="O634" s="1457">
        <v>0</v>
      </c>
      <c r="P634" s="241" t="s">
        <v>1746</v>
      </c>
      <c r="Q634" s="241"/>
      <c r="R634" s="147"/>
      <c r="S634" s="236"/>
      <c r="T634" s="392" t="s">
        <v>927</v>
      </c>
      <c r="U634" s="392" t="s">
        <v>1552</v>
      </c>
      <c r="AA634"/>
      <c r="AB634"/>
      <c r="AC634" s="380"/>
      <c r="AD634" s="68"/>
    </row>
    <row r="635" spans="3:30" ht="10.5" customHeight="1">
      <c r="C635" s="1463" t="s">
        <v>4427</v>
      </c>
      <c r="D635" s="1460">
        <v>1</v>
      </c>
      <c r="E635" s="1460">
        <v>0</v>
      </c>
      <c r="F635" s="1461">
        <v>1</v>
      </c>
      <c r="G635" s="1472" t="s">
        <v>4427</v>
      </c>
      <c r="H635" s="1458">
        <v>1</v>
      </c>
      <c r="I635" s="1458">
        <v>1</v>
      </c>
      <c r="J635" s="1473">
        <v>2</v>
      </c>
      <c r="K635" s="1462"/>
      <c r="L635" s="1456">
        <v>13059150300</v>
      </c>
      <c r="M635" s="1457">
        <v>1</v>
      </c>
      <c r="N635" s="1457">
        <v>1</v>
      </c>
      <c r="O635" s="1457">
        <v>2</v>
      </c>
      <c r="P635" s="241" t="s">
        <v>1748</v>
      </c>
      <c r="Q635" s="241"/>
      <c r="R635" s="147"/>
      <c r="S635" s="236"/>
      <c r="T635" s="392" t="s">
        <v>2552</v>
      </c>
      <c r="U635" s="392" t="s">
        <v>313</v>
      </c>
      <c r="AA635"/>
      <c r="AB635"/>
      <c r="AC635" s="380"/>
      <c r="AD635" s="68"/>
    </row>
    <row r="636" spans="3:30" ht="10.5" customHeight="1">
      <c r="C636" s="1463" t="s">
        <v>4428</v>
      </c>
      <c r="D636" s="1460">
        <v>0</v>
      </c>
      <c r="E636" s="1460">
        <v>1</v>
      </c>
      <c r="F636" s="1461">
        <v>1</v>
      </c>
      <c r="G636" s="1472" t="s">
        <v>4428</v>
      </c>
      <c r="H636" s="1458">
        <v>0</v>
      </c>
      <c r="I636" s="1458" t="s">
        <v>3911</v>
      </c>
      <c r="J636" s="1473">
        <v>0</v>
      </c>
      <c r="K636" s="1462"/>
      <c r="L636" s="1456">
        <v>13059150400</v>
      </c>
      <c r="M636" s="1457">
        <v>0</v>
      </c>
      <c r="N636" s="1457">
        <v>1</v>
      </c>
      <c r="O636" s="1457">
        <v>1</v>
      </c>
      <c r="P636" s="241" t="s">
        <v>1750</v>
      </c>
      <c r="Q636" s="241"/>
      <c r="R636" s="147"/>
      <c r="S636" s="236"/>
      <c r="T636" s="392" t="s">
        <v>2553</v>
      </c>
      <c r="U636" s="392" t="s">
        <v>108</v>
      </c>
      <c r="AA636"/>
      <c r="AB636"/>
      <c r="AC636" s="380"/>
      <c r="AD636" s="68"/>
    </row>
    <row r="637" spans="3:30" ht="10.5" customHeight="1">
      <c r="C637" s="1463" t="s">
        <v>4429</v>
      </c>
      <c r="D637" s="1460">
        <v>0</v>
      </c>
      <c r="E637" s="1460">
        <v>1</v>
      </c>
      <c r="F637" s="1461">
        <v>1</v>
      </c>
      <c r="G637" s="1472" t="s">
        <v>4429</v>
      </c>
      <c r="H637" s="1458">
        <v>0</v>
      </c>
      <c r="I637" s="1458">
        <v>1</v>
      </c>
      <c r="J637" s="1473">
        <v>1</v>
      </c>
      <c r="K637" s="1462"/>
      <c r="L637" s="1456">
        <v>13059150500</v>
      </c>
      <c r="M637" s="1457">
        <v>0</v>
      </c>
      <c r="N637" s="1457">
        <v>1</v>
      </c>
      <c r="O637" s="1457">
        <v>1</v>
      </c>
      <c r="P637" s="241" t="s">
        <v>471</v>
      </c>
      <c r="Q637" s="241"/>
      <c r="R637" s="147"/>
      <c r="S637" s="236"/>
      <c r="T637" s="392" t="s">
        <v>1249</v>
      </c>
      <c r="U637" s="392" t="s">
        <v>152</v>
      </c>
      <c r="AA637"/>
      <c r="AB637"/>
      <c r="AC637" s="380"/>
      <c r="AD637" s="68"/>
    </row>
    <row r="638" spans="3:30" ht="10.5" customHeight="1">
      <c r="C638" s="1463" t="s">
        <v>4430</v>
      </c>
      <c r="D638" s="1460">
        <v>0</v>
      </c>
      <c r="E638" s="1460">
        <v>0</v>
      </c>
      <c r="F638" s="1461">
        <v>0</v>
      </c>
      <c r="G638" s="1472" t="s">
        <v>4430</v>
      </c>
      <c r="H638" s="1458">
        <v>0</v>
      </c>
      <c r="I638" s="1458">
        <v>1</v>
      </c>
      <c r="J638" s="1473">
        <v>1</v>
      </c>
      <c r="K638" s="1462"/>
      <c r="L638" s="1456">
        <v>13059150600</v>
      </c>
      <c r="M638" s="1457">
        <v>0</v>
      </c>
      <c r="N638" s="1457">
        <v>1</v>
      </c>
      <c r="O638" s="1457">
        <v>1</v>
      </c>
      <c r="P638" s="241" t="s">
        <v>2334</v>
      </c>
      <c r="Q638" s="241"/>
      <c r="R638" s="147"/>
      <c r="S638" s="236"/>
      <c r="T638" s="392" t="s">
        <v>2325</v>
      </c>
      <c r="U638" s="392" t="s">
        <v>813</v>
      </c>
      <c r="AA638"/>
      <c r="AB638"/>
      <c r="AC638" s="380"/>
      <c r="AD638" s="68"/>
    </row>
    <row r="639" spans="3:30" ht="10.5" customHeight="1">
      <c r="C639" s="1463" t="s">
        <v>4431</v>
      </c>
      <c r="D639" s="1460">
        <v>1</v>
      </c>
      <c r="E639" s="1460">
        <v>0</v>
      </c>
      <c r="F639" s="1461">
        <v>1</v>
      </c>
      <c r="G639" s="1472" t="s">
        <v>4431</v>
      </c>
      <c r="H639" s="1458">
        <v>0</v>
      </c>
      <c r="I639" s="1458">
        <v>1</v>
      </c>
      <c r="J639" s="1473">
        <v>1</v>
      </c>
      <c r="K639" s="1462"/>
      <c r="L639" s="1456">
        <v>13059150700</v>
      </c>
      <c r="M639" s="1457">
        <v>1</v>
      </c>
      <c r="N639" s="1457">
        <v>1</v>
      </c>
      <c r="O639" s="1457">
        <v>1</v>
      </c>
      <c r="P639" s="241" t="s">
        <v>2336</v>
      </c>
      <c r="Q639" s="241"/>
      <c r="R639" s="147"/>
      <c r="S639" s="236"/>
      <c r="T639" s="392" t="s">
        <v>1008</v>
      </c>
      <c r="U639" s="392" t="s">
        <v>585</v>
      </c>
      <c r="AA639"/>
      <c r="AB639"/>
      <c r="AC639" s="380"/>
      <c r="AD639" s="68"/>
    </row>
    <row r="640" spans="3:30" ht="10.5" customHeight="1">
      <c r="C640" s="1463" t="s">
        <v>4432</v>
      </c>
      <c r="D640" s="1460">
        <v>1</v>
      </c>
      <c r="E640" s="1460">
        <v>1</v>
      </c>
      <c r="F640" s="1461">
        <v>2</v>
      </c>
      <c r="G640" s="1472" t="s">
        <v>4432</v>
      </c>
      <c r="H640" s="1458">
        <v>1</v>
      </c>
      <c r="I640" s="1458">
        <v>1</v>
      </c>
      <c r="J640" s="1473">
        <v>2</v>
      </c>
      <c r="K640" s="1462"/>
      <c r="L640" s="1456">
        <v>13059150800</v>
      </c>
      <c r="M640" s="1457">
        <v>1</v>
      </c>
      <c r="N640" s="1457">
        <v>1</v>
      </c>
      <c r="O640" s="1457">
        <v>2</v>
      </c>
      <c r="P640" s="241" t="s">
        <v>1087</v>
      </c>
      <c r="Q640" s="241"/>
      <c r="R640" s="147"/>
      <c r="S640" s="236"/>
      <c r="T640" s="236" t="s">
        <v>2012</v>
      </c>
      <c r="U640" s="236" t="s">
        <v>102</v>
      </c>
      <c r="AA640"/>
      <c r="AB640"/>
      <c r="AC640" s="68"/>
      <c r="AD640" s="68"/>
    </row>
    <row r="641" spans="3:30" ht="10.5" customHeight="1">
      <c r="C641" s="1463" t="s">
        <v>4433</v>
      </c>
      <c r="D641" s="1460">
        <v>1</v>
      </c>
      <c r="E641" s="1460">
        <v>1</v>
      </c>
      <c r="F641" s="1461">
        <v>2</v>
      </c>
      <c r="G641" s="1472" t="s">
        <v>4433</v>
      </c>
      <c r="H641" s="1458">
        <v>1</v>
      </c>
      <c r="I641" s="1458">
        <v>1</v>
      </c>
      <c r="J641" s="1473">
        <v>2</v>
      </c>
      <c r="K641" s="1462"/>
      <c r="L641" s="1456">
        <v>13059150900</v>
      </c>
      <c r="M641" s="1457">
        <v>1</v>
      </c>
      <c r="N641" s="1457">
        <v>1</v>
      </c>
      <c r="O641" s="1457">
        <v>2</v>
      </c>
      <c r="P641" s="241" t="s">
        <v>2315</v>
      </c>
      <c r="Q641" s="241"/>
      <c r="R641" s="147"/>
      <c r="S641" s="236"/>
      <c r="T641" s="392" t="s">
        <v>1378</v>
      </c>
      <c r="U641" s="392" t="s">
        <v>2330</v>
      </c>
      <c r="AA641"/>
      <c r="AB641"/>
      <c r="AC641" s="380"/>
      <c r="AD641" s="68"/>
    </row>
    <row r="642" spans="3:30" ht="10.5" customHeight="1">
      <c r="C642" s="1463" t="s">
        <v>4434</v>
      </c>
      <c r="D642" s="1460">
        <v>0</v>
      </c>
      <c r="E642" s="1460">
        <v>0</v>
      </c>
      <c r="F642" s="1461">
        <v>0</v>
      </c>
      <c r="G642" s="1472" t="s">
        <v>4434</v>
      </c>
      <c r="H642" s="1458">
        <v>0</v>
      </c>
      <c r="I642" s="1458">
        <v>0</v>
      </c>
      <c r="J642" s="1473">
        <v>0</v>
      </c>
      <c r="K642" s="1462"/>
      <c r="L642" s="1456">
        <v>13061960300</v>
      </c>
      <c r="M642" s="1457">
        <v>0</v>
      </c>
      <c r="N642" s="1457">
        <v>0</v>
      </c>
      <c r="O642" s="1457">
        <v>0</v>
      </c>
      <c r="P642" s="241" t="s">
        <v>2317</v>
      </c>
      <c r="Q642" s="241"/>
      <c r="R642" s="147"/>
      <c r="S642" s="236"/>
      <c r="T642" s="392" t="s">
        <v>2554</v>
      </c>
      <c r="U642" s="392" t="s">
        <v>1812</v>
      </c>
      <c r="AA642"/>
      <c r="AB642"/>
      <c r="AC642" s="380"/>
      <c r="AD642" s="68"/>
    </row>
    <row r="643" spans="3:30" ht="10.5" customHeight="1">
      <c r="C643" s="1463" t="s">
        <v>4435</v>
      </c>
      <c r="D643" s="1460">
        <v>0</v>
      </c>
      <c r="E643" s="1460">
        <v>0</v>
      </c>
      <c r="F643" s="1461">
        <v>0</v>
      </c>
      <c r="G643" s="1472" t="s">
        <v>4435</v>
      </c>
      <c r="H643" s="1458">
        <v>0</v>
      </c>
      <c r="I643" s="1458" t="s">
        <v>3911</v>
      </c>
      <c r="J643" s="1473">
        <v>0</v>
      </c>
      <c r="K643" s="1462"/>
      <c r="L643" s="1456">
        <v>13063040202</v>
      </c>
      <c r="M643" s="1457">
        <v>0</v>
      </c>
      <c r="N643" s="1457">
        <v>0</v>
      </c>
      <c r="O643" s="1457">
        <v>0</v>
      </c>
      <c r="P643" s="241" t="s">
        <v>1434</v>
      </c>
      <c r="Q643" s="241"/>
      <c r="R643" s="147"/>
      <c r="S643" s="236"/>
      <c r="T643" s="392" t="s">
        <v>1380</v>
      </c>
      <c r="U643" s="392" t="s">
        <v>312</v>
      </c>
      <c r="AA643"/>
      <c r="AB643"/>
      <c r="AC643" s="380"/>
      <c r="AD643" s="68"/>
    </row>
    <row r="644" spans="3:30" ht="10.5" customHeight="1">
      <c r="C644" s="1463" t="s">
        <v>4436</v>
      </c>
      <c r="D644" s="1460">
        <v>0</v>
      </c>
      <c r="E644" s="1460">
        <v>0</v>
      </c>
      <c r="F644" s="1461">
        <v>0</v>
      </c>
      <c r="G644" s="1472" t="s">
        <v>4436</v>
      </c>
      <c r="H644" s="1458">
        <v>0</v>
      </c>
      <c r="I644" s="1458">
        <v>0</v>
      </c>
      <c r="J644" s="1473">
        <v>0</v>
      </c>
      <c r="K644" s="1462"/>
      <c r="L644" s="1456">
        <v>13063040203</v>
      </c>
      <c r="M644" s="1457">
        <v>0</v>
      </c>
      <c r="N644" s="1457">
        <v>0</v>
      </c>
      <c r="O644" s="1457">
        <v>0</v>
      </c>
      <c r="P644" s="241" t="s">
        <v>1435</v>
      </c>
      <c r="Q644" s="241"/>
      <c r="R644" s="147"/>
      <c r="S644" s="236"/>
      <c r="T644" s="392" t="s">
        <v>1009</v>
      </c>
      <c r="U644" s="392" t="s">
        <v>612</v>
      </c>
      <c r="AA644"/>
      <c r="AB644"/>
      <c r="AC644" s="380"/>
      <c r="AD644" s="68"/>
    </row>
    <row r="645" spans="3:30" ht="10.5" customHeight="1">
      <c r="C645" s="1463" t="s">
        <v>4437</v>
      </c>
      <c r="D645" s="1460">
        <v>0</v>
      </c>
      <c r="E645" s="1460">
        <v>0</v>
      </c>
      <c r="F645" s="1461">
        <v>0</v>
      </c>
      <c r="G645" s="1472" t="s">
        <v>4437</v>
      </c>
      <c r="H645" s="1458">
        <v>0</v>
      </c>
      <c r="I645" s="1458">
        <v>0</v>
      </c>
      <c r="J645" s="1473">
        <v>0</v>
      </c>
      <c r="K645" s="1462"/>
      <c r="L645" s="1456">
        <v>13063040204</v>
      </c>
      <c r="M645" s="1457">
        <v>0</v>
      </c>
      <c r="N645" s="1457">
        <v>0</v>
      </c>
      <c r="O645" s="1457">
        <v>0</v>
      </c>
      <c r="P645" s="241" t="s">
        <v>1950</v>
      </c>
      <c r="Q645" s="241"/>
      <c r="R645" s="147"/>
      <c r="S645" s="236"/>
      <c r="T645" s="392" t="s">
        <v>1229</v>
      </c>
      <c r="U645" s="392" t="s">
        <v>2025</v>
      </c>
      <c r="AA645"/>
      <c r="AB645"/>
      <c r="AC645" s="380"/>
      <c r="AD645" s="68"/>
    </row>
    <row r="646" spans="3:30" ht="10.5" customHeight="1">
      <c r="C646" s="1463" t="s">
        <v>4438</v>
      </c>
      <c r="D646" s="1460">
        <v>0</v>
      </c>
      <c r="E646" s="1460">
        <v>0</v>
      </c>
      <c r="F646" s="1461">
        <v>0</v>
      </c>
      <c r="G646" s="1472" t="s">
        <v>4438</v>
      </c>
      <c r="H646" s="1458">
        <v>0</v>
      </c>
      <c r="I646" s="1458">
        <v>0</v>
      </c>
      <c r="J646" s="1473">
        <v>0</v>
      </c>
      <c r="K646" s="1462"/>
      <c r="L646" s="1456">
        <v>13063040302</v>
      </c>
      <c r="M646" s="1457">
        <v>0</v>
      </c>
      <c r="N646" s="1457">
        <v>0</v>
      </c>
      <c r="O646" s="1457">
        <v>0</v>
      </c>
      <c r="P646" s="241" t="s">
        <v>1951</v>
      </c>
      <c r="Q646" s="241"/>
      <c r="R646" s="147"/>
      <c r="S646" s="236"/>
      <c r="T646" s="392" t="s">
        <v>1231</v>
      </c>
      <c r="U646" s="392" t="s">
        <v>2330</v>
      </c>
      <c r="AA646"/>
      <c r="AB646"/>
      <c r="AC646" s="380"/>
      <c r="AD646" s="68"/>
    </row>
    <row r="647" spans="3:30" ht="10.5" customHeight="1">
      <c r="C647" s="1463" t="s">
        <v>4439</v>
      </c>
      <c r="D647" s="1460">
        <v>0</v>
      </c>
      <c r="E647" s="1460">
        <v>0</v>
      </c>
      <c r="F647" s="1461">
        <v>0</v>
      </c>
      <c r="G647" s="1472" t="s">
        <v>4439</v>
      </c>
      <c r="H647" s="1458">
        <v>0</v>
      </c>
      <c r="I647" s="1458">
        <v>0</v>
      </c>
      <c r="J647" s="1473">
        <v>0</v>
      </c>
      <c r="K647" s="1462"/>
      <c r="L647" s="1456">
        <v>13063040303</v>
      </c>
      <c r="M647" s="1457">
        <v>0</v>
      </c>
      <c r="N647" s="1457">
        <v>0</v>
      </c>
      <c r="O647" s="1457">
        <v>0</v>
      </c>
      <c r="P647" s="241" t="s">
        <v>1516</v>
      </c>
      <c r="Q647" s="241"/>
      <c r="R647" s="147"/>
      <c r="S647" s="236"/>
      <c r="T647" s="392" t="s">
        <v>1851</v>
      </c>
      <c r="U647" s="392" t="s">
        <v>1043</v>
      </c>
      <c r="AA647"/>
      <c r="AB647"/>
      <c r="AC647" s="380"/>
      <c r="AD647" s="68"/>
    </row>
    <row r="648" spans="3:30" ht="10.5" customHeight="1">
      <c r="C648" s="1463" t="s">
        <v>4440</v>
      </c>
      <c r="D648" s="1460">
        <v>0</v>
      </c>
      <c r="E648" s="1460">
        <v>0</v>
      </c>
      <c r="F648" s="1461">
        <v>0</v>
      </c>
      <c r="G648" s="1472" t="s">
        <v>4440</v>
      </c>
      <c r="H648" s="1458">
        <v>0</v>
      </c>
      <c r="I648" s="1458" t="s">
        <v>3911</v>
      </c>
      <c r="J648" s="1473">
        <v>0</v>
      </c>
      <c r="K648" s="1462"/>
      <c r="L648" s="1456">
        <v>13063040306</v>
      </c>
      <c r="M648" s="1457">
        <v>0</v>
      </c>
      <c r="N648" s="1457">
        <v>0</v>
      </c>
      <c r="O648" s="1457">
        <v>0</v>
      </c>
      <c r="P648" s="241" t="s">
        <v>1518</v>
      </c>
      <c r="Q648" s="241"/>
      <c r="R648" s="147"/>
      <c r="S648" s="236"/>
      <c r="T648" s="392" t="s">
        <v>688</v>
      </c>
      <c r="U648" s="392" t="s">
        <v>302</v>
      </c>
      <c r="AA648"/>
      <c r="AB648"/>
      <c r="AC648" s="380"/>
      <c r="AD648" s="68"/>
    </row>
    <row r="649" spans="3:30" ht="10.5" customHeight="1">
      <c r="C649" s="1463" t="s">
        <v>4441</v>
      </c>
      <c r="D649" s="1460">
        <v>0</v>
      </c>
      <c r="E649" s="1460">
        <v>0</v>
      </c>
      <c r="F649" s="1461">
        <v>0</v>
      </c>
      <c r="G649" s="1472" t="s">
        <v>4441</v>
      </c>
      <c r="H649" s="1458">
        <v>0</v>
      </c>
      <c r="I649" s="1458">
        <v>0</v>
      </c>
      <c r="J649" s="1473">
        <v>0</v>
      </c>
      <c r="K649" s="1462"/>
      <c r="L649" s="1456">
        <v>13063040307</v>
      </c>
      <c r="M649" s="1457">
        <v>0</v>
      </c>
      <c r="N649" s="1457">
        <v>0</v>
      </c>
      <c r="O649" s="1457">
        <v>0</v>
      </c>
      <c r="P649" s="241" t="s">
        <v>877</v>
      </c>
      <c r="Q649" s="241"/>
      <c r="R649" s="147"/>
      <c r="S649" s="236"/>
      <c r="T649" s="392" t="s">
        <v>1192</v>
      </c>
      <c r="U649" s="392" t="s">
        <v>625</v>
      </c>
      <c r="AA649"/>
      <c r="AB649"/>
      <c r="AC649" s="380"/>
      <c r="AD649" s="68"/>
    </row>
    <row r="650" spans="3:30" ht="10.5" customHeight="1">
      <c r="C650" s="1463" t="s">
        <v>4442</v>
      </c>
      <c r="D650" s="1460">
        <v>0</v>
      </c>
      <c r="E650" s="1460">
        <v>0</v>
      </c>
      <c r="F650" s="1461">
        <v>0</v>
      </c>
      <c r="G650" s="1472" t="s">
        <v>4442</v>
      </c>
      <c r="H650" s="1458">
        <v>0</v>
      </c>
      <c r="I650" s="1458">
        <v>0</v>
      </c>
      <c r="J650" s="1473">
        <v>0</v>
      </c>
      <c r="K650" s="1462"/>
      <c r="L650" s="1456">
        <v>13063040308</v>
      </c>
      <c r="M650" s="1457">
        <v>0</v>
      </c>
      <c r="N650" s="1457">
        <v>0</v>
      </c>
      <c r="O650" s="1457">
        <v>0</v>
      </c>
      <c r="P650" s="241" t="s">
        <v>879</v>
      </c>
      <c r="Q650" s="241"/>
      <c r="R650" s="147"/>
      <c r="S650" s="236"/>
      <c r="T650" s="392" t="s">
        <v>1010</v>
      </c>
      <c r="U650" s="392" t="s">
        <v>152</v>
      </c>
      <c r="AA650"/>
      <c r="AB650"/>
      <c r="AC650" s="380"/>
      <c r="AD650" s="68"/>
    </row>
    <row r="651" spans="3:30" ht="10.5" customHeight="1">
      <c r="C651" s="1463" t="s">
        <v>4443</v>
      </c>
      <c r="D651" s="1460">
        <v>0</v>
      </c>
      <c r="E651" s="1460">
        <v>0</v>
      </c>
      <c r="F651" s="1461">
        <v>0</v>
      </c>
      <c r="G651" s="1472" t="s">
        <v>4443</v>
      </c>
      <c r="H651" s="1458">
        <v>0</v>
      </c>
      <c r="I651" s="1458">
        <v>0</v>
      </c>
      <c r="J651" s="1473">
        <v>0</v>
      </c>
      <c r="K651" s="1462"/>
      <c r="L651" s="1456">
        <v>13063040407</v>
      </c>
      <c r="M651" s="1457">
        <v>0</v>
      </c>
      <c r="N651" s="1457">
        <v>0</v>
      </c>
      <c r="O651" s="1457">
        <v>0</v>
      </c>
      <c r="P651" s="241" t="s">
        <v>881</v>
      </c>
      <c r="Q651" s="241"/>
      <c r="R651" s="147"/>
      <c r="S651" s="236"/>
      <c r="T651" s="392" t="s">
        <v>1745</v>
      </c>
      <c r="U651" s="392" t="s">
        <v>1041</v>
      </c>
      <c r="AA651"/>
      <c r="AB651"/>
      <c r="AC651" s="380"/>
      <c r="AD651" s="68"/>
    </row>
    <row r="652" spans="3:30" ht="10.5" customHeight="1">
      <c r="C652" s="1463" t="s">
        <v>4444</v>
      </c>
      <c r="D652" s="1460">
        <v>0</v>
      </c>
      <c r="E652" s="1460">
        <v>0</v>
      </c>
      <c r="F652" s="1461">
        <v>0</v>
      </c>
      <c r="G652" s="1472" t="s">
        <v>4444</v>
      </c>
      <c r="H652" s="1458">
        <v>0</v>
      </c>
      <c r="I652" s="1458">
        <v>0</v>
      </c>
      <c r="J652" s="1473">
        <v>0</v>
      </c>
      <c r="K652" s="1462"/>
      <c r="L652" s="1456">
        <v>13063040408</v>
      </c>
      <c r="M652" s="1457">
        <v>0</v>
      </c>
      <c r="N652" s="1457">
        <v>0</v>
      </c>
      <c r="O652" s="1457">
        <v>0</v>
      </c>
      <c r="P652" s="241" t="s">
        <v>2303</v>
      </c>
      <c r="Q652" s="241"/>
      <c r="R652" s="147"/>
      <c r="S652" s="236"/>
      <c r="T652" s="236" t="s">
        <v>1747</v>
      </c>
      <c r="U652" s="236" t="s">
        <v>1366</v>
      </c>
      <c r="AA652"/>
      <c r="AB652"/>
      <c r="AC652" s="68"/>
      <c r="AD652" s="68"/>
    </row>
    <row r="653" spans="3:30" ht="10.5" customHeight="1">
      <c r="C653" s="1463" t="s">
        <v>4445</v>
      </c>
      <c r="D653" s="1460">
        <v>0</v>
      </c>
      <c r="E653" s="1460">
        <v>0</v>
      </c>
      <c r="F653" s="1461">
        <v>0</v>
      </c>
      <c r="G653" s="1472" t="s">
        <v>4445</v>
      </c>
      <c r="H653" s="1458">
        <v>1</v>
      </c>
      <c r="I653" s="1458" t="s">
        <v>3911</v>
      </c>
      <c r="J653" s="1473">
        <v>1</v>
      </c>
      <c r="K653" s="1462"/>
      <c r="L653" s="1456">
        <v>13063040409</v>
      </c>
      <c r="M653" s="1457">
        <v>1</v>
      </c>
      <c r="N653" s="1457">
        <v>0</v>
      </c>
      <c r="O653" s="1457">
        <v>1</v>
      </c>
      <c r="P653" s="241" t="s">
        <v>2305</v>
      </c>
      <c r="Q653" s="241"/>
      <c r="R653" s="147"/>
      <c r="S653" s="236"/>
      <c r="T653" s="236" t="s">
        <v>1749</v>
      </c>
      <c r="U653" s="236" t="s">
        <v>2291</v>
      </c>
      <c r="AA653"/>
      <c r="AB653"/>
      <c r="AC653" s="68"/>
      <c r="AD653" s="68"/>
    </row>
    <row r="654" spans="3:30" ht="10.5" customHeight="1">
      <c r="C654" s="1463" t="s">
        <v>4446</v>
      </c>
      <c r="D654" s="1460">
        <v>0</v>
      </c>
      <c r="E654" s="1460">
        <v>0</v>
      </c>
      <c r="F654" s="1461">
        <v>0</v>
      </c>
      <c r="G654" s="1472" t="s">
        <v>4446</v>
      </c>
      <c r="H654" s="1458">
        <v>0</v>
      </c>
      <c r="I654" s="1458">
        <v>0</v>
      </c>
      <c r="J654" s="1473">
        <v>0</v>
      </c>
      <c r="K654" s="1462"/>
      <c r="L654" s="1456">
        <v>13063040410</v>
      </c>
      <c r="M654" s="1457">
        <v>0</v>
      </c>
      <c r="N654" s="1457">
        <v>0</v>
      </c>
      <c r="O654" s="1457">
        <v>0</v>
      </c>
      <c r="P654" s="241" t="s">
        <v>2306</v>
      </c>
      <c r="Q654" s="241"/>
      <c r="R654" s="147"/>
      <c r="S654" s="236"/>
      <c r="T654" s="392" t="s">
        <v>1751</v>
      </c>
      <c r="U654" s="392" t="s">
        <v>115</v>
      </c>
      <c r="AA654"/>
      <c r="AB654"/>
      <c r="AC654" s="380"/>
      <c r="AD654" s="68"/>
    </row>
    <row r="655" spans="3:30" ht="10.5" customHeight="1">
      <c r="C655" s="1463" t="s">
        <v>4447</v>
      </c>
      <c r="D655" s="1460">
        <v>1</v>
      </c>
      <c r="E655" s="1460">
        <v>0</v>
      </c>
      <c r="F655" s="1461">
        <v>1</v>
      </c>
      <c r="G655" s="1472" t="s">
        <v>4447</v>
      </c>
      <c r="H655" s="1458">
        <v>1</v>
      </c>
      <c r="I655" s="1458">
        <v>1</v>
      </c>
      <c r="J655" s="1473">
        <v>2</v>
      </c>
      <c r="K655" s="1462"/>
      <c r="L655" s="1456">
        <v>13063040411</v>
      </c>
      <c r="M655" s="1457">
        <v>1</v>
      </c>
      <c r="N655" s="1457">
        <v>1</v>
      </c>
      <c r="O655" s="1457">
        <v>2</v>
      </c>
      <c r="P655" s="241" t="s">
        <v>1762</v>
      </c>
      <c r="Q655" s="241"/>
      <c r="R655" s="147"/>
      <c r="S655" s="236"/>
      <c r="T655" s="392" t="s">
        <v>472</v>
      </c>
      <c r="U655" s="392" t="s">
        <v>1864</v>
      </c>
      <c r="AA655"/>
      <c r="AB655"/>
      <c r="AC655" s="380"/>
      <c r="AD655" s="68"/>
    </row>
    <row r="656" spans="3:30" ht="10.5" customHeight="1">
      <c r="C656" s="1463" t="s">
        <v>4448</v>
      </c>
      <c r="D656" s="1460">
        <v>0</v>
      </c>
      <c r="E656" s="1460">
        <v>0</v>
      </c>
      <c r="F656" s="1461">
        <v>0</v>
      </c>
      <c r="G656" s="1472" t="s">
        <v>4448</v>
      </c>
      <c r="H656" s="1458">
        <v>0</v>
      </c>
      <c r="I656" s="1458">
        <v>0</v>
      </c>
      <c r="J656" s="1473">
        <v>0</v>
      </c>
      <c r="K656" s="1462"/>
      <c r="L656" s="1456">
        <v>13063040412</v>
      </c>
      <c r="M656" s="1457">
        <v>0</v>
      </c>
      <c r="N656" s="1457">
        <v>0</v>
      </c>
      <c r="O656" s="1457">
        <v>0</v>
      </c>
      <c r="P656" s="241" t="s">
        <v>1763</v>
      </c>
      <c r="Q656" s="241"/>
      <c r="R656" s="147"/>
      <c r="S656" s="236"/>
      <c r="T656" s="392" t="s">
        <v>2335</v>
      </c>
      <c r="U656" s="392" t="s">
        <v>1774</v>
      </c>
      <c r="AA656"/>
      <c r="AB656"/>
      <c r="AC656" s="380"/>
      <c r="AD656" s="68"/>
    </row>
    <row r="657" spans="3:30" ht="10.5" customHeight="1">
      <c r="C657" s="1463" t="s">
        <v>4449</v>
      </c>
      <c r="D657" s="1460">
        <v>0</v>
      </c>
      <c r="E657" s="1460">
        <v>0</v>
      </c>
      <c r="F657" s="1461">
        <v>0</v>
      </c>
      <c r="G657" s="1472" t="s">
        <v>4449</v>
      </c>
      <c r="H657" s="1458">
        <v>0</v>
      </c>
      <c r="I657" s="1458">
        <v>0</v>
      </c>
      <c r="J657" s="1473">
        <v>0</v>
      </c>
      <c r="K657" s="1462"/>
      <c r="L657" s="1456">
        <v>13063040413</v>
      </c>
      <c r="M657" s="1457">
        <v>0</v>
      </c>
      <c r="N657" s="1457">
        <v>0</v>
      </c>
      <c r="O657" s="1457">
        <v>0</v>
      </c>
      <c r="P657" s="241" t="s">
        <v>1765</v>
      </c>
      <c r="Q657" s="241"/>
      <c r="R657" s="147"/>
      <c r="S657" s="236"/>
      <c r="T657" s="392" t="s">
        <v>3787</v>
      </c>
      <c r="U657" s="392" t="s">
        <v>1133</v>
      </c>
      <c r="AA657"/>
      <c r="AB657"/>
      <c r="AC657" s="380"/>
      <c r="AD657" s="68"/>
    </row>
    <row r="658" spans="3:30" ht="10.5" customHeight="1">
      <c r="C658" s="1463" t="s">
        <v>4450</v>
      </c>
      <c r="D658" s="1460">
        <v>0</v>
      </c>
      <c r="E658" s="1460">
        <v>0</v>
      </c>
      <c r="F658" s="1461">
        <v>0</v>
      </c>
      <c r="G658" s="1472" t="s">
        <v>4450</v>
      </c>
      <c r="H658" s="1458">
        <v>0</v>
      </c>
      <c r="I658" s="1458">
        <v>0</v>
      </c>
      <c r="J658" s="1473">
        <v>0</v>
      </c>
      <c r="K658" s="1462"/>
      <c r="L658" s="1456">
        <v>13063040414</v>
      </c>
      <c r="M658" s="1457">
        <v>0</v>
      </c>
      <c r="N658" s="1457">
        <v>0</v>
      </c>
      <c r="O658" s="1457">
        <v>0</v>
      </c>
      <c r="P658" s="241" t="s">
        <v>597</v>
      </c>
      <c r="Q658" s="241"/>
      <c r="R658" s="147"/>
      <c r="S658" s="236"/>
      <c r="T658" s="392" t="s">
        <v>2337</v>
      </c>
      <c r="U658" s="392" t="s">
        <v>2328</v>
      </c>
      <c r="AA658"/>
      <c r="AB658"/>
      <c r="AC658" s="380"/>
      <c r="AD658" s="68"/>
    </row>
    <row r="659" spans="3:30" ht="10.5" customHeight="1">
      <c r="C659" s="1463" t="s">
        <v>4451</v>
      </c>
      <c r="D659" s="1460">
        <v>0</v>
      </c>
      <c r="E659" s="1460">
        <v>0</v>
      </c>
      <c r="F659" s="1461">
        <v>0</v>
      </c>
      <c r="G659" s="1472" t="s">
        <v>4451</v>
      </c>
      <c r="H659" s="1458">
        <v>0</v>
      </c>
      <c r="I659" s="1458">
        <v>0</v>
      </c>
      <c r="J659" s="1473">
        <v>0</v>
      </c>
      <c r="K659" s="1462"/>
      <c r="L659" s="1456">
        <v>13063040415</v>
      </c>
      <c r="M659" s="1457">
        <v>0</v>
      </c>
      <c r="N659" s="1457">
        <v>0</v>
      </c>
      <c r="O659" s="1457">
        <v>0</v>
      </c>
      <c r="P659" s="241" t="s">
        <v>599</v>
      </c>
      <c r="Q659" s="241"/>
      <c r="R659" s="147"/>
      <c r="S659" s="236"/>
      <c r="T659" s="392" t="s">
        <v>1088</v>
      </c>
      <c r="U659" s="392" t="s">
        <v>299</v>
      </c>
      <c r="AA659"/>
      <c r="AB659"/>
      <c r="AC659" s="380"/>
      <c r="AD659" s="68"/>
    </row>
    <row r="660" spans="3:30" ht="10.5" customHeight="1">
      <c r="C660" s="1463" t="s">
        <v>4452</v>
      </c>
      <c r="D660" s="1460">
        <v>0</v>
      </c>
      <c r="E660" s="1460">
        <v>0</v>
      </c>
      <c r="F660" s="1461">
        <v>0</v>
      </c>
      <c r="G660" s="1472" t="s">
        <v>4452</v>
      </c>
      <c r="H660" s="1458">
        <v>0</v>
      </c>
      <c r="I660" s="1458">
        <v>0</v>
      </c>
      <c r="J660" s="1473">
        <v>0</v>
      </c>
      <c r="K660" s="1462"/>
      <c r="L660" s="1456">
        <v>13063040416</v>
      </c>
      <c r="M660" s="1457">
        <v>0</v>
      </c>
      <c r="N660" s="1457">
        <v>0</v>
      </c>
      <c r="O660" s="1457">
        <v>0</v>
      </c>
      <c r="P660" s="241" t="s">
        <v>600</v>
      </c>
      <c r="Q660" s="241"/>
      <c r="R660" s="147"/>
      <c r="S660" s="236"/>
      <c r="T660" s="392" t="s">
        <v>2316</v>
      </c>
      <c r="U660" s="392" t="s">
        <v>819</v>
      </c>
      <c r="AA660"/>
      <c r="AB660"/>
      <c r="AC660" s="380"/>
      <c r="AD660" s="68"/>
    </row>
    <row r="661" spans="3:30" ht="10.5" customHeight="1">
      <c r="C661" s="1463" t="s">
        <v>4453</v>
      </c>
      <c r="D661" s="1460">
        <v>0</v>
      </c>
      <c r="E661" s="1460">
        <v>0</v>
      </c>
      <c r="F661" s="1461">
        <v>0</v>
      </c>
      <c r="G661" s="1472" t="s">
        <v>4453</v>
      </c>
      <c r="H661" s="1458">
        <v>0</v>
      </c>
      <c r="I661" s="1458">
        <v>0</v>
      </c>
      <c r="J661" s="1473">
        <v>0</v>
      </c>
      <c r="K661" s="1462"/>
      <c r="L661" s="1456">
        <v>13063040417</v>
      </c>
      <c r="M661" s="1457">
        <v>0</v>
      </c>
      <c r="N661" s="1457">
        <v>0</v>
      </c>
      <c r="O661" s="1457">
        <v>0</v>
      </c>
      <c r="P661" s="241" t="s">
        <v>2130</v>
      </c>
      <c r="Q661" s="241"/>
      <c r="R661" s="147"/>
      <c r="S661" s="236"/>
      <c r="T661" s="392" t="s">
        <v>759</v>
      </c>
      <c r="U661" s="392" t="s">
        <v>1257</v>
      </c>
      <c r="AA661"/>
      <c r="AB661"/>
      <c r="AC661" s="380"/>
      <c r="AD661" s="68"/>
    </row>
    <row r="662" spans="3:30" ht="10.5" customHeight="1">
      <c r="C662" s="1463" t="s">
        <v>4454</v>
      </c>
      <c r="D662" s="1460">
        <v>0</v>
      </c>
      <c r="E662" s="1460">
        <v>0</v>
      </c>
      <c r="F662" s="1461">
        <v>0</v>
      </c>
      <c r="G662" s="1472" t="s">
        <v>4454</v>
      </c>
      <c r="H662" s="1458">
        <v>1</v>
      </c>
      <c r="I662" s="1458">
        <v>0</v>
      </c>
      <c r="J662" s="1473">
        <v>1</v>
      </c>
      <c r="K662" s="1462"/>
      <c r="L662" s="1456">
        <v>13063040509</v>
      </c>
      <c r="M662" s="1457">
        <v>1</v>
      </c>
      <c r="N662" s="1457">
        <v>0</v>
      </c>
      <c r="O662" s="1457">
        <v>1</v>
      </c>
      <c r="P662" s="241" t="s">
        <v>66</v>
      </c>
      <c r="Q662" s="241"/>
      <c r="R662" s="147"/>
      <c r="S662" s="236"/>
      <c r="T662" s="392" t="s">
        <v>1006</v>
      </c>
      <c r="U662" s="392" t="s">
        <v>620</v>
      </c>
      <c r="AA662"/>
      <c r="AB662"/>
      <c r="AC662" s="380"/>
      <c r="AD662" s="68"/>
    </row>
    <row r="663" spans="3:30" ht="10.5" customHeight="1">
      <c r="C663" s="1463" t="s">
        <v>4455</v>
      </c>
      <c r="D663" s="1460">
        <v>0</v>
      </c>
      <c r="E663" s="1460">
        <v>0</v>
      </c>
      <c r="F663" s="1461">
        <v>0</v>
      </c>
      <c r="G663" s="1472" t="s">
        <v>4455</v>
      </c>
      <c r="H663" s="1458">
        <v>0</v>
      </c>
      <c r="I663" s="1458">
        <v>0</v>
      </c>
      <c r="J663" s="1473">
        <v>0</v>
      </c>
      <c r="K663" s="1462"/>
      <c r="L663" s="1456">
        <v>13063040510</v>
      </c>
      <c r="M663" s="1457">
        <v>0</v>
      </c>
      <c r="N663" s="1457">
        <v>0</v>
      </c>
      <c r="O663" s="1457">
        <v>0</v>
      </c>
      <c r="P663" s="241" t="s">
        <v>1334</v>
      </c>
      <c r="Q663" s="241"/>
      <c r="R663" s="147"/>
      <c r="S663" s="236"/>
      <c r="T663" s="392" t="s">
        <v>1436</v>
      </c>
      <c r="U663" s="392" t="s">
        <v>315</v>
      </c>
      <c r="AA663"/>
      <c r="AB663"/>
      <c r="AC663" s="380"/>
      <c r="AD663" s="68"/>
    </row>
    <row r="664" spans="3:30" ht="10.5" customHeight="1">
      <c r="C664" s="1463" t="s">
        <v>4456</v>
      </c>
      <c r="D664" s="1460">
        <v>0</v>
      </c>
      <c r="E664" s="1460">
        <v>0</v>
      </c>
      <c r="F664" s="1461">
        <v>0</v>
      </c>
      <c r="G664" s="1472" t="s">
        <v>4456</v>
      </c>
      <c r="H664" s="1458">
        <v>0</v>
      </c>
      <c r="I664" s="1458">
        <v>0</v>
      </c>
      <c r="J664" s="1473">
        <v>0</v>
      </c>
      <c r="K664" s="1462"/>
      <c r="L664" s="1456">
        <v>13063040512</v>
      </c>
      <c r="M664" s="1457">
        <v>0</v>
      </c>
      <c r="N664" s="1457">
        <v>0</v>
      </c>
      <c r="O664" s="1457">
        <v>0</v>
      </c>
      <c r="P664" s="241" t="s">
        <v>2086</v>
      </c>
      <c r="Q664" s="241"/>
      <c r="R664" s="147"/>
      <c r="S664" s="236"/>
      <c r="T664" s="392" t="s">
        <v>2555</v>
      </c>
      <c r="U664" s="392" t="s">
        <v>818</v>
      </c>
      <c r="AA664"/>
      <c r="AB664"/>
      <c r="AC664" s="380"/>
      <c r="AD664" s="68"/>
    </row>
    <row r="665" spans="3:30" ht="10.5" customHeight="1">
      <c r="C665" s="1463" t="s">
        <v>4457</v>
      </c>
      <c r="D665" s="1460">
        <v>0</v>
      </c>
      <c r="E665" s="1460">
        <v>1</v>
      </c>
      <c r="F665" s="1461">
        <v>1</v>
      </c>
      <c r="G665" s="1472" t="s">
        <v>4457</v>
      </c>
      <c r="H665" s="1458">
        <v>0</v>
      </c>
      <c r="I665" s="1458">
        <v>1</v>
      </c>
      <c r="J665" s="1473">
        <v>0</v>
      </c>
      <c r="K665" s="1462"/>
      <c r="L665" s="1456">
        <v>13063040513</v>
      </c>
      <c r="M665" s="1457">
        <v>0</v>
      </c>
      <c r="N665" s="1457">
        <v>1</v>
      </c>
      <c r="O665" s="1457">
        <v>1</v>
      </c>
      <c r="P665" s="241" t="s">
        <v>2088</v>
      </c>
      <c r="Q665" s="241"/>
      <c r="R665" s="147"/>
      <c r="S665" s="236"/>
      <c r="T665" s="392" t="s">
        <v>1952</v>
      </c>
      <c r="U665" s="392" t="s">
        <v>1250</v>
      </c>
      <c r="AA665"/>
      <c r="AB665"/>
      <c r="AC665" s="380"/>
      <c r="AD665" s="68"/>
    </row>
    <row r="666" spans="3:30" ht="10.5" customHeight="1">
      <c r="C666" s="1463" t="s">
        <v>4458</v>
      </c>
      <c r="D666" s="1460">
        <v>0</v>
      </c>
      <c r="E666" s="1460">
        <v>0</v>
      </c>
      <c r="F666" s="1461">
        <v>0</v>
      </c>
      <c r="G666" s="1472" t="s">
        <v>4458</v>
      </c>
      <c r="H666" s="1458">
        <v>0</v>
      </c>
      <c r="I666" s="1458">
        <v>0</v>
      </c>
      <c r="J666" s="1473">
        <v>0</v>
      </c>
      <c r="K666" s="1462"/>
      <c r="L666" s="1456">
        <v>13063040514</v>
      </c>
      <c r="M666" s="1457">
        <v>0</v>
      </c>
      <c r="N666" s="1457">
        <v>0</v>
      </c>
      <c r="O666" s="1457">
        <v>0</v>
      </c>
      <c r="P666" s="241" t="s">
        <v>1675</v>
      </c>
      <c r="Q666" s="241"/>
      <c r="R666" s="147"/>
      <c r="S666" s="236"/>
      <c r="T666" s="392" t="s">
        <v>1517</v>
      </c>
      <c r="U666" s="392" t="s">
        <v>1236</v>
      </c>
      <c r="AA666"/>
      <c r="AB666"/>
      <c r="AC666" s="380"/>
      <c r="AD666" s="68"/>
    </row>
    <row r="667" spans="3:30" ht="10.5" customHeight="1">
      <c r="C667" s="1463" t="s">
        <v>4459</v>
      </c>
      <c r="D667" s="1460">
        <v>0</v>
      </c>
      <c r="E667" s="1460">
        <v>0</v>
      </c>
      <c r="F667" s="1461">
        <v>0</v>
      </c>
      <c r="G667" s="1472" t="s">
        <v>4459</v>
      </c>
      <c r="H667" s="1458">
        <v>0</v>
      </c>
      <c r="I667" s="1458">
        <v>0</v>
      </c>
      <c r="J667" s="1473">
        <v>0</v>
      </c>
      <c r="K667" s="1462"/>
      <c r="L667" s="1456">
        <v>13063040515</v>
      </c>
      <c r="M667" s="1457">
        <v>0</v>
      </c>
      <c r="N667" s="1457">
        <v>0</v>
      </c>
      <c r="O667" s="1457">
        <v>0</v>
      </c>
      <c r="P667" s="241" t="s">
        <v>1053</v>
      </c>
      <c r="Q667" s="241"/>
      <c r="R667" s="147"/>
      <c r="S667" s="236"/>
      <c r="T667" s="392" t="s">
        <v>878</v>
      </c>
      <c r="U667" s="392" t="s">
        <v>2074</v>
      </c>
      <c r="AA667"/>
      <c r="AB667"/>
      <c r="AC667" s="380"/>
      <c r="AD667" s="68"/>
    </row>
    <row r="668" spans="3:30" ht="10.5" customHeight="1">
      <c r="C668" s="1463" t="s">
        <v>4460</v>
      </c>
      <c r="D668" s="1460">
        <v>0</v>
      </c>
      <c r="E668" s="1460">
        <v>0</v>
      </c>
      <c r="F668" s="1461">
        <v>0</v>
      </c>
      <c r="G668" s="1472" t="s">
        <v>4460</v>
      </c>
      <c r="H668" s="1458">
        <v>0</v>
      </c>
      <c r="I668" s="1458">
        <v>0</v>
      </c>
      <c r="J668" s="1473">
        <v>0</v>
      </c>
      <c r="K668" s="1462"/>
      <c r="L668" s="1456">
        <v>13063040516</v>
      </c>
      <c r="M668" s="1457">
        <v>0</v>
      </c>
      <c r="N668" s="1457">
        <v>0</v>
      </c>
      <c r="O668" s="1457">
        <v>0</v>
      </c>
      <c r="P668" s="241" t="s">
        <v>1898</v>
      </c>
      <c r="Q668" s="241"/>
      <c r="R668" s="147"/>
      <c r="S668" s="236"/>
      <c r="T668" s="392" t="s">
        <v>880</v>
      </c>
      <c r="U668" s="392" t="s">
        <v>306</v>
      </c>
      <c r="AA668"/>
      <c r="AB668"/>
      <c r="AC668" s="380"/>
      <c r="AD668" s="68"/>
    </row>
    <row r="669" spans="3:30" ht="10.5" customHeight="1">
      <c r="C669" s="1463" t="s">
        <v>4461</v>
      </c>
      <c r="D669" s="1460">
        <v>0</v>
      </c>
      <c r="E669" s="1460">
        <v>0</v>
      </c>
      <c r="F669" s="1461">
        <v>0</v>
      </c>
      <c r="G669" s="1472" t="s">
        <v>4461</v>
      </c>
      <c r="H669" s="1458">
        <v>0</v>
      </c>
      <c r="I669" s="1458">
        <v>0</v>
      </c>
      <c r="J669" s="1473">
        <v>0</v>
      </c>
      <c r="K669" s="1462"/>
      <c r="L669" s="1456">
        <v>13063040518</v>
      </c>
      <c r="M669" s="1457">
        <v>0</v>
      </c>
      <c r="N669" s="1457">
        <v>0</v>
      </c>
      <c r="O669" s="1457">
        <v>0</v>
      </c>
      <c r="P669" s="241" t="s">
        <v>1828</v>
      </c>
      <c r="Q669" s="241"/>
      <c r="R669" s="147"/>
      <c r="S669" s="236"/>
      <c r="T669" s="392" t="s">
        <v>2304</v>
      </c>
      <c r="U669" s="392" t="s">
        <v>585</v>
      </c>
      <c r="AA669"/>
      <c r="AB669"/>
      <c r="AC669" s="380"/>
      <c r="AD669" s="68"/>
    </row>
    <row r="670" spans="3:30" ht="10.5" customHeight="1">
      <c r="C670" s="1463" t="s">
        <v>4462</v>
      </c>
      <c r="D670" s="1460">
        <v>0</v>
      </c>
      <c r="E670" s="1460">
        <v>0</v>
      </c>
      <c r="F670" s="1461">
        <v>0</v>
      </c>
      <c r="G670" s="1472" t="s">
        <v>4462</v>
      </c>
      <c r="H670" s="1458">
        <v>0</v>
      </c>
      <c r="I670" s="1458" t="s">
        <v>3911</v>
      </c>
      <c r="J670" s="1473">
        <v>0</v>
      </c>
      <c r="K670" s="1462"/>
      <c r="L670" s="1456">
        <v>13063040519</v>
      </c>
      <c r="M670" s="1457">
        <v>0</v>
      </c>
      <c r="N670" s="1457">
        <v>0</v>
      </c>
      <c r="O670" s="1457">
        <v>0</v>
      </c>
      <c r="P670" s="241" t="s">
        <v>1830</v>
      </c>
      <c r="Q670" s="241"/>
      <c r="R670" s="147"/>
      <c r="S670" s="236"/>
      <c r="T670" s="392" t="s">
        <v>3788</v>
      </c>
      <c r="U670" s="392" t="s">
        <v>585</v>
      </c>
      <c r="AA670"/>
      <c r="AB670"/>
      <c r="AC670" s="380"/>
      <c r="AD670" s="68"/>
    </row>
    <row r="671" spans="3:30" ht="10.5" customHeight="1">
      <c r="C671" s="1463" t="s">
        <v>4463</v>
      </c>
      <c r="D671" s="1460">
        <v>0</v>
      </c>
      <c r="E671" s="1460">
        <v>0</v>
      </c>
      <c r="F671" s="1461">
        <v>0</v>
      </c>
      <c r="G671" s="1472" t="s">
        <v>4463</v>
      </c>
      <c r="H671" s="1458">
        <v>0</v>
      </c>
      <c r="I671" s="1458">
        <v>0</v>
      </c>
      <c r="J671" s="1473">
        <v>0</v>
      </c>
      <c r="K671" s="1462"/>
      <c r="L671" s="1456">
        <v>13063040520</v>
      </c>
      <c r="M671" s="1457">
        <v>0</v>
      </c>
      <c r="N671" s="1457">
        <v>0</v>
      </c>
      <c r="O671" s="1457">
        <v>0</v>
      </c>
      <c r="P671" s="241" t="s">
        <v>1832</v>
      </c>
      <c r="Q671" s="241"/>
      <c r="R671" s="147"/>
      <c r="S671" s="236"/>
      <c r="T671" s="392" t="s">
        <v>1761</v>
      </c>
      <c r="U671" s="392" t="s">
        <v>115</v>
      </c>
      <c r="AA671"/>
      <c r="AB671"/>
      <c r="AC671" s="380"/>
      <c r="AD671" s="68"/>
    </row>
    <row r="672" spans="3:30" ht="10.5" customHeight="1">
      <c r="C672" s="1463" t="s">
        <v>4464</v>
      </c>
      <c r="D672" s="1460">
        <v>0</v>
      </c>
      <c r="E672" s="1460">
        <v>0</v>
      </c>
      <c r="F672" s="1461">
        <v>0</v>
      </c>
      <c r="G672" s="1472" t="s">
        <v>4464</v>
      </c>
      <c r="H672" s="1458">
        <v>0</v>
      </c>
      <c r="I672" s="1458">
        <v>0</v>
      </c>
      <c r="J672" s="1473">
        <v>0</v>
      </c>
      <c r="K672" s="1462"/>
      <c r="L672" s="1456">
        <v>13063040521</v>
      </c>
      <c r="M672" s="1457">
        <v>0</v>
      </c>
      <c r="N672" s="1457">
        <v>0</v>
      </c>
      <c r="O672" s="1457">
        <v>0</v>
      </c>
      <c r="P672" s="241" t="s">
        <v>464</v>
      </c>
      <c r="Q672" s="241"/>
      <c r="R672" s="147"/>
      <c r="S672" s="236"/>
      <c r="T672" s="392" t="s">
        <v>1764</v>
      </c>
      <c r="U672" s="392" t="s">
        <v>2074</v>
      </c>
      <c r="AA672"/>
      <c r="AB672"/>
      <c r="AC672" s="380"/>
      <c r="AD672" s="68"/>
    </row>
    <row r="673" spans="3:30" ht="10.5" customHeight="1">
      <c r="C673" s="1463" t="s">
        <v>4465</v>
      </c>
      <c r="D673" s="1460">
        <v>0</v>
      </c>
      <c r="E673" s="1460">
        <v>0</v>
      </c>
      <c r="F673" s="1461">
        <v>0</v>
      </c>
      <c r="G673" s="1472" t="s">
        <v>4465</v>
      </c>
      <c r="H673" s="1458">
        <v>0</v>
      </c>
      <c r="I673" s="1458">
        <v>0</v>
      </c>
      <c r="J673" s="1473">
        <v>0</v>
      </c>
      <c r="K673" s="1462"/>
      <c r="L673" s="1456">
        <v>13063040522</v>
      </c>
      <c r="M673" s="1457">
        <v>0</v>
      </c>
      <c r="N673" s="1457">
        <v>0</v>
      </c>
      <c r="O673" s="1457">
        <v>0</v>
      </c>
      <c r="P673" s="241" t="s">
        <v>427</v>
      </c>
      <c r="Q673" s="241"/>
      <c r="R673" s="147"/>
      <c r="S673" s="236"/>
      <c r="T673" s="392" t="s">
        <v>1766</v>
      </c>
      <c r="U673" s="392" t="s">
        <v>155</v>
      </c>
      <c r="AA673"/>
      <c r="AB673"/>
      <c r="AC673" s="380"/>
      <c r="AD673" s="68"/>
    </row>
    <row r="674" spans="3:30" ht="10.5" customHeight="1">
      <c r="C674" s="1463" t="s">
        <v>4466</v>
      </c>
      <c r="D674" s="1460">
        <v>0</v>
      </c>
      <c r="E674" s="1460">
        <v>0</v>
      </c>
      <c r="F674" s="1461">
        <v>0</v>
      </c>
      <c r="G674" s="1472" t="s">
        <v>4466</v>
      </c>
      <c r="H674" s="1458">
        <v>1</v>
      </c>
      <c r="I674" s="1458">
        <v>0</v>
      </c>
      <c r="J674" s="1473">
        <v>1</v>
      </c>
      <c r="K674" s="1462"/>
      <c r="L674" s="1456">
        <v>13063040523</v>
      </c>
      <c r="M674" s="1457">
        <v>1</v>
      </c>
      <c r="N674" s="1457">
        <v>0</v>
      </c>
      <c r="O674" s="1457">
        <v>1</v>
      </c>
      <c r="P674" s="241" t="s">
        <v>1947</v>
      </c>
      <c r="Q674" s="241"/>
      <c r="R674" s="147"/>
      <c r="S674" s="236"/>
      <c r="T674" s="392" t="s">
        <v>598</v>
      </c>
      <c r="U674" s="392" t="s">
        <v>2213</v>
      </c>
      <c r="AA674"/>
      <c r="AB674"/>
      <c r="AC674" s="380"/>
      <c r="AD674" s="68"/>
    </row>
    <row r="675" spans="3:30" ht="10.5" customHeight="1">
      <c r="C675" s="1463" t="s">
        <v>4467</v>
      </c>
      <c r="D675" s="1460">
        <v>0</v>
      </c>
      <c r="E675" s="1460">
        <v>0</v>
      </c>
      <c r="F675" s="1461">
        <v>0</v>
      </c>
      <c r="G675" s="1472" t="s">
        <v>4467</v>
      </c>
      <c r="H675" s="1458">
        <v>0</v>
      </c>
      <c r="I675" s="1458">
        <v>0</v>
      </c>
      <c r="J675" s="1473">
        <v>0</v>
      </c>
      <c r="K675" s="1462"/>
      <c r="L675" s="1456">
        <v>13063040524</v>
      </c>
      <c r="M675" s="1457">
        <v>0</v>
      </c>
      <c r="N675" s="1457">
        <v>0</v>
      </c>
      <c r="O675" s="1457">
        <v>0</v>
      </c>
      <c r="P675" s="241" t="s">
        <v>1972</v>
      </c>
      <c r="Q675" s="754"/>
      <c r="R675" s="754"/>
      <c r="S675" s="755"/>
      <c r="T675" s="392" t="s">
        <v>760</v>
      </c>
      <c r="U675" s="392" t="s">
        <v>2016</v>
      </c>
      <c r="AA675"/>
      <c r="AB675"/>
      <c r="AC675" s="380"/>
      <c r="AD675" s="68"/>
    </row>
    <row r="676" spans="3:30" ht="10.5" customHeight="1">
      <c r="C676" s="1463" t="s">
        <v>4468</v>
      </c>
      <c r="D676" s="1460">
        <v>0</v>
      </c>
      <c r="E676" s="1460">
        <v>0</v>
      </c>
      <c r="F676" s="1461">
        <v>0</v>
      </c>
      <c r="G676" s="1472" t="s">
        <v>4468</v>
      </c>
      <c r="H676" s="1458">
        <v>0</v>
      </c>
      <c r="I676" s="1458" t="s">
        <v>3911</v>
      </c>
      <c r="J676" s="1473">
        <v>0</v>
      </c>
      <c r="K676" s="1462"/>
      <c r="L676" s="1456">
        <v>13063040525</v>
      </c>
      <c r="M676" s="1457">
        <v>0</v>
      </c>
      <c r="N676" s="1457">
        <v>0</v>
      </c>
      <c r="O676" s="1457">
        <v>0</v>
      </c>
      <c r="P676" s="753"/>
      <c r="Q676" s="371"/>
      <c r="R676" s="144"/>
      <c r="S676" s="145"/>
      <c r="T676" s="392" t="s">
        <v>1011</v>
      </c>
      <c r="U676" s="392" t="s">
        <v>1772</v>
      </c>
      <c r="AA676"/>
      <c r="AB676"/>
      <c r="AC676" s="380"/>
      <c r="AD676" s="68"/>
    </row>
    <row r="677" spans="3:30" ht="10.5" customHeight="1">
      <c r="C677" s="1463" t="s">
        <v>4469</v>
      </c>
      <c r="D677" s="1460">
        <v>0</v>
      </c>
      <c r="E677" s="1460">
        <v>0</v>
      </c>
      <c r="F677" s="1461">
        <v>0</v>
      </c>
      <c r="G677" s="1472" t="s">
        <v>4469</v>
      </c>
      <c r="H677" s="1458">
        <v>0</v>
      </c>
      <c r="I677" s="1458">
        <v>0</v>
      </c>
      <c r="J677" s="1473">
        <v>0</v>
      </c>
      <c r="K677" s="1462"/>
      <c r="L677" s="1456">
        <v>13063040526</v>
      </c>
      <c r="M677" s="1457">
        <v>0</v>
      </c>
      <c r="N677" s="1457">
        <v>0</v>
      </c>
      <c r="O677" s="1457">
        <v>0</v>
      </c>
      <c r="P677" s="437"/>
      <c r="Q677" s="145"/>
      <c r="R677" s="145"/>
      <c r="S677" s="145"/>
      <c r="T677" s="392" t="s">
        <v>1012</v>
      </c>
      <c r="U677" s="392" t="s">
        <v>1861</v>
      </c>
      <c r="AA677"/>
      <c r="AB677"/>
      <c r="AC677" s="380"/>
      <c r="AD677" s="68"/>
    </row>
    <row r="678" spans="3:30" ht="10.5" customHeight="1">
      <c r="C678" s="1463" t="s">
        <v>4470</v>
      </c>
      <c r="D678" s="1460">
        <v>0</v>
      </c>
      <c r="E678" s="1460">
        <v>0</v>
      </c>
      <c r="F678" s="1461">
        <v>0</v>
      </c>
      <c r="G678" s="1472" t="s">
        <v>4470</v>
      </c>
      <c r="H678" s="1458">
        <v>0</v>
      </c>
      <c r="I678" s="1458">
        <v>1</v>
      </c>
      <c r="J678" s="1473">
        <v>1</v>
      </c>
      <c r="K678" s="1462"/>
      <c r="L678" s="1456">
        <v>13063040606</v>
      </c>
      <c r="M678" s="1457">
        <v>0</v>
      </c>
      <c r="N678" s="1457">
        <v>1</v>
      </c>
      <c r="O678" s="1457">
        <v>1</v>
      </c>
      <c r="P678" s="145"/>
      <c r="Q678" s="145"/>
      <c r="R678" s="145"/>
      <c r="S678" s="145"/>
      <c r="T678" s="392" t="s">
        <v>1374</v>
      </c>
      <c r="U678" s="392" t="s">
        <v>1137</v>
      </c>
      <c r="AA678"/>
      <c r="AB678"/>
      <c r="AC678" s="380"/>
      <c r="AD678" s="68"/>
    </row>
    <row r="679" spans="3:30" ht="10.5" customHeight="1">
      <c r="C679" s="1463" t="s">
        <v>4471</v>
      </c>
      <c r="D679" s="1460">
        <v>1</v>
      </c>
      <c r="E679" s="1460">
        <v>1</v>
      </c>
      <c r="F679" s="1461">
        <v>2</v>
      </c>
      <c r="G679" s="1472" t="s">
        <v>4471</v>
      </c>
      <c r="H679" s="1458">
        <v>1</v>
      </c>
      <c r="I679" s="1458">
        <v>0</v>
      </c>
      <c r="J679" s="1473">
        <v>1</v>
      </c>
      <c r="K679" s="1462"/>
      <c r="L679" s="1456">
        <v>13063040608</v>
      </c>
      <c r="M679" s="1457">
        <v>1</v>
      </c>
      <c r="N679" s="1457">
        <v>1</v>
      </c>
      <c r="O679" s="1457">
        <v>2</v>
      </c>
      <c r="P679" s="145"/>
      <c r="Q679" s="145"/>
      <c r="R679" s="145"/>
      <c r="S679" s="145"/>
      <c r="T679" s="392" t="s">
        <v>2131</v>
      </c>
      <c r="U679" s="392" t="s">
        <v>115</v>
      </c>
      <c r="AA679"/>
      <c r="AB679"/>
      <c r="AC679" s="380"/>
      <c r="AD679" s="68"/>
    </row>
    <row r="680" spans="3:30" ht="10.5" customHeight="1">
      <c r="C680" s="1463" t="s">
        <v>4472</v>
      </c>
      <c r="D680" s="1460">
        <v>1</v>
      </c>
      <c r="E680" s="1460">
        <v>1</v>
      </c>
      <c r="F680" s="1461">
        <v>2</v>
      </c>
      <c r="G680" s="1472" t="s">
        <v>4472</v>
      </c>
      <c r="H680" s="1458">
        <v>0</v>
      </c>
      <c r="I680" s="1458">
        <v>0</v>
      </c>
      <c r="J680" s="1473">
        <v>0</v>
      </c>
      <c r="K680" s="1462"/>
      <c r="L680" s="1456">
        <v>13063040609</v>
      </c>
      <c r="M680" s="1457">
        <v>1</v>
      </c>
      <c r="N680" s="1457">
        <v>1</v>
      </c>
      <c r="O680" s="1457">
        <v>2</v>
      </c>
      <c r="P680" s="145"/>
      <c r="Q680" s="145"/>
      <c r="R680" s="145"/>
      <c r="S680" s="145"/>
      <c r="T680" s="392" t="s">
        <v>1333</v>
      </c>
      <c r="U680" s="392" t="s">
        <v>2074</v>
      </c>
      <c r="AA680"/>
      <c r="AB680"/>
      <c r="AC680" s="380"/>
      <c r="AD680" s="68"/>
    </row>
    <row r="681" spans="3:30" ht="10.5" customHeight="1">
      <c r="C681" s="1463" t="s">
        <v>4473</v>
      </c>
      <c r="D681" s="1460">
        <v>0</v>
      </c>
      <c r="E681" s="1460">
        <v>0</v>
      </c>
      <c r="F681" s="1461">
        <v>0</v>
      </c>
      <c r="G681" s="1472" t="s">
        <v>4473</v>
      </c>
      <c r="H681" s="1458">
        <v>0</v>
      </c>
      <c r="I681" s="1458">
        <v>0</v>
      </c>
      <c r="J681" s="1473">
        <v>0</v>
      </c>
      <c r="K681" s="1462"/>
      <c r="L681" s="1456">
        <v>13063040611</v>
      </c>
      <c r="M681" s="1457">
        <v>0</v>
      </c>
      <c r="N681" s="1457">
        <v>0</v>
      </c>
      <c r="O681" s="1457">
        <v>0</v>
      </c>
      <c r="P681" s="145"/>
      <c r="Q681" s="145"/>
      <c r="R681" s="145"/>
      <c r="S681" s="145"/>
      <c r="T681" s="236" t="s">
        <v>2085</v>
      </c>
      <c r="U681" s="236" t="s">
        <v>1778</v>
      </c>
      <c r="AA681"/>
      <c r="AB681"/>
      <c r="AC681" s="68"/>
      <c r="AD681" s="68"/>
    </row>
    <row r="682" spans="3:30" ht="10.5" customHeight="1">
      <c r="C682" s="1463" t="s">
        <v>4474</v>
      </c>
      <c r="D682" s="1460">
        <v>0</v>
      </c>
      <c r="E682" s="1460">
        <v>0</v>
      </c>
      <c r="F682" s="1461">
        <v>0</v>
      </c>
      <c r="G682" s="1472" t="s">
        <v>4474</v>
      </c>
      <c r="H682" s="1458">
        <v>0</v>
      </c>
      <c r="I682" s="1458">
        <v>0</v>
      </c>
      <c r="J682" s="1473">
        <v>0</v>
      </c>
      <c r="K682" s="1462"/>
      <c r="L682" s="1456">
        <v>13063040612</v>
      </c>
      <c r="M682" s="1457">
        <v>0</v>
      </c>
      <c r="N682" s="1457">
        <v>0</v>
      </c>
      <c r="O682" s="1457">
        <v>0</v>
      </c>
      <c r="P682" s="145"/>
      <c r="Q682" s="145"/>
      <c r="R682" s="145"/>
      <c r="S682" s="145"/>
      <c r="T682" s="392" t="s">
        <v>2087</v>
      </c>
      <c r="U682" s="392" t="s">
        <v>2012</v>
      </c>
      <c r="AA682"/>
      <c r="AB682"/>
      <c r="AC682" s="380"/>
      <c r="AD682" s="68"/>
    </row>
    <row r="683" spans="3:30" ht="10.5" customHeight="1">
      <c r="C683" s="1463" t="s">
        <v>4475</v>
      </c>
      <c r="D683" s="1460">
        <v>0</v>
      </c>
      <c r="E683" s="1460">
        <v>0</v>
      </c>
      <c r="F683" s="1461">
        <v>0</v>
      </c>
      <c r="G683" s="1472" t="s">
        <v>4475</v>
      </c>
      <c r="H683" s="1458">
        <v>0</v>
      </c>
      <c r="I683" s="1458">
        <v>1</v>
      </c>
      <c r="J683" s="1473">
        <v>0</v>
      </c>
      <c r="K683" s="1462"/>
      <c r="L683" s="1456">
        <v>13063040613</v>
      </c>
      <c r="M683" s="1457">
        <v>0</v>
      </c>
      <c r="N683" s="1457">
        <v>1</v>
      </c>
      <c r="O683" s="1457">
        <v>0</v>
      </c>
      <c r="P683" s="145"/>
      <c r="Q683" s="145"/>
      <c r="R683" s="145"/>
      <c r="S683" s="145"/>
      <c r="T683" s="392" t="s">
        <v>2089</v>
      </c>
      <c r="U683" s="392" t="s">
        <v>2213</v>
      </c>
      <c r="AA683"/>
      <c r="AB683"/>
      <c r="AC683" s="380"/>
      <c r="AD683" s="68"/>
    </row>
    <row r="684" spans="3:30" ht="10.5" customHeight="1">
      <c r="C684" s="1463" t="s">
        <v>4476</v>
      </c>
      <c r="D684" s="1460">
        <v>1</v>
      </c>
      <c r="E684" s="1460">
        <v>0</v>
      </c>
      <c r="F684" s="1461">
        <v>1</v>
      </c>
      <c r="G684" s="1472" t="s">
        <v>4476</v>
      </c>
      <c r="H684" s="1458">
        <v>1</v>
      </c>
      <c r="I684" s="1458">
        <v>0</v>
      </c>
      <c r="J684" s="1473">
        <v>1</v>
      </c>
      <c r="K684" s="1462"/>
      <c r="L684" s="1456">
        <v>13063040614</v>
      </c>
      <c r="M684" s="1457">
        <v>1</v>
      </c>
      <c r="N684" s="1457">
        <v>0</v>
      </c>
      <c r="O684" s="1457">
        <v>1</v>
      </c>
      <c r="P684" s="145"/>
      <c r="Q684" s="145"/>
      <c r="R684" s="145"/>
      <c r="S684" s="145"/>
      <c r="T684" s="392" t="s">
        <v>2556</v>
      </c>
      <c r="U684" s="392" t="s">
        <v>152</v>
      </c>
      <c r="AA684"/>
      <c r="AB684"/>
      <c r="AC684" s="380"/>
      <c r="AD684" s="68"/>
    </row>
    <row r="685" spans="3:30" ht="10.5" customHeight="1">
      <c r="C685" s="1463" t="s">
        <v>4477</v>
      </c>
      <c r="D685" s="1460">
        <v>1</v>
      </c>
      <c r="E685" s="1460">
        <v>0</v>
      </c>
      <c r="F685" s="1461">
        <v>1</v>
      </c>
      <c r="G685" s="1472" t="s">
        <v>4477</v>
      </c>
      <c r="H685" s="1458">
        <v>1</v>
      </c>
      <c r="I685" s="1458" t="s">
        <v>3911</v>
      </c>
      <c r="J685" s="1473">
        <v>1</v>
      </c>
      <c r="K685" s="1462"/>
      <c r="L685" s="1456">
        <v>13063040615</v>
      </c>
      <c r="M685" s="1457">
        <v>1</v>
      </c>
      <c r="N685" s="1457">
        <v>0</v>
      </c>
      <c r="O685" s="1457">
        <v>1</v>
      </c>
      <c r="P685" s="145"/>
      <c r="Q685" s="145"/>
      <c r="R685" s="145"/>
      <c r="S685" s="145"/>
      <c r="T685" s="392" t="s">
        <v>1052</v>
      </c>
      <c r="U685" s="392" t="s">
        <v>2023</v>
      </c>
      <c r="AA685"/>
      <c r="AB685"/>
      <c r="AC685" s="380"/>
      <c r="AD685" s="68"/>
    </row>
    <row r="686" spans="3:30" ht="10.5" customHeight="1">
      <c r="C686" s="1463" t="s">
        <v>4478</v>
      </c>
      <c r="D686" s="1460">
        <v>0</v>
      </c>
      <c r="E686" s="1460">
        <v>0</v>
      </c>
      <c r="F686" s="1461">
        <v>0</v>
      </c>
      <c r="G686" s="1472" t="s">
        <v>4478</v>
      </c>
      <c r="H686" s="1458">
        <v>1</v>
      </c>
      <c r="I686" s="1458">
        <v>0</v>
      </c>
      <c r="J686" s="1473">
        <v>1</v>
      </c>
      <c r="K686" s="1462"/>
      <c r="L686" s="1456">
        <v>13063040616</v>
      </c>
      <c r="M686" s="1457">
        <v>1</v>
      </c>
      <c r="N686" s="1457">
        <v>0</v>
      </c>
      <c r="O686" s="1457">
        <v>1</v>
      </c>
      <c r="P686" s="145"/>
      <c r="Q686" s="145"/>
      <c r="R686" s="145"/>
      <c r="S686" s="145"/>
      <c r="T686" s="392" t="s">
        <v>1054</v>
      </c>
      <c r="U686" s="392" t="s">
        <v>1029</v>
      </c>
      <c r="AA686"/>
      <c r="AB686"/>
      <c r="AC686" s="380"/>
      <c r="AD686" s="68"/>
    </row>
    <row r="687" spans="3:30" ht="10.5" customHeight="1">
      <c r="C687" s="1463" t="s">
        <v>4479</v>
      </c>
      <c r="D687" s="1460">
        <v>0</v>
      </c>
      <c r="E687" s="1460">
        <v>0</v>
      </c>
      <c r="F687" s="1461">
        <v>0</v>
      </c>
      <c r="G687" s="1472" t="s">
        <v>4479</v>
      </c>
      <c r="H687" s="1458">
        <v>0</v>
      </c>
      <c r="I687" s="1458">
        <v>0</v>
      </c>
      <c r="J687" s="1473">
        <v>0</v>
      </c>
      <c r="K687" s="1462"/>
      <c r="L687" s="1456">
        <v>13063040617</v>
      </c>
      <c r="M687" s="1457">
        <v>0</v>
      </c>
      <c r="N687" s="1457">
        <v>0</v>
      </c>
      <c r="O687" s="1457">
        <v>0</v>
      </c>
      <c r="P687" s="145"/>
      <c r="Q687" s="145"/>
      <c r="R687" s="145"/>
      <c r="S687" s="145"/>
      <c r="T687" s="392" t="s">
        <v>1899</v>
      </c>
      <c r="U687" s="392" t="s">
        <v>301</v>
      </c>
      <c r="AA687"/>
      <c r="AB687"/>
      <c r="AC687" s="380"/>
      <c r="AD687" s="68"/>
    </row>
    <row r="688" spans="3:30" ht="10.5" customHeight="1">
      <c r="C688" s="1463" t="s">
        <v>4480</v>
      </c>
      <c r="D688" s="1460">
        <v>0</v>
      </c>
      <c r="E688" s="1460">
        <v>0</v>
      </c>
      <c r="F688" s="1461">
        <v>0</v>
      </c>
      <c r="G688" s="1472" t="s">
        <v>4480</v>
      </c>
      <c r="H688" s="1458">
        <v>1</v>
      </c>
      <c r="I688" s="1458">
        <v>0</v>
      </c>
      <c r="J688" s="1473">
        <v>1</v>
      </c>
      <c r="K688" s="1462"/>
      <c r="L688" s="1456">
        <v>13063040619</v>
      </c>
      <c r="M688" s="1457">
        <v>1</v>
      </c>
      <c r="N688" s="1457">
        <v>0</v>
      </c>
      <c r="O688" s="1457">
        <v>1</v>
      </c>
      <c r="P688" s="145"/>
      <c r="Q688" s="145"/>
      <c r="R688" s="145"/>
      <c r="S688" s="145"/>
      <c r="T688" s="392" t="s">
        <v>1829</v>
      </c>
      <c r="U688" s="392" t="s">
        <v>116</v>
      </c>
      <c r="AA688"/>
      <c r="AB688"/>
      <c r="AC688" s="380"/>
      <c r="AD688" s="68"/>
    </row>
    <row r="689" spans="3:30" ht="10.5" customHeight="1">
      <c r="C689" s="1463" t="s">
        <v>4481</v>
      </c>
      <c r="D689" s="1460">
        <v>0</v>
      </c>
      <c r="E689" s="1460">
        <v>1</v>
      </c>
      <c r="F689" s="1461">
        <v>1</v>
      </c>
      <c r="G689" s="1472" t="s">
        <v>4481</v>
      </c>
      <c r="H689" s="1458">
        <v>1</v>
      </c>
      <c r="I689" s="1458">
        <v>1</v>
      </c>
      <c r="J689" s="1473">
        <v>2</v>
      </c>
      <c r="K689" s="1462"/>
      <c r="L689" s="1456">
        <v>13063040620</v>
      </c>
      <c r="M689" s="1457">
        <v>1</v>
      </c>
      <c r="N689" s="1457">
        <v>1</v>
      </c>
      <c r="O689" s="1457">
        <v>2</v>
      </c>
      <c r="P689" s="145"/>
      <c r="Q689" s="145"/>
      <c r="R689" s="145"/>
      <c r="S689" s="145"/>
      <c r="T689" s="392" t="s">
        <v>1831</v>
      </c>
      <c r="U689" s="392" t="s">
        <v>310</v>
      </c>
      <c r="AA689"/>
      <c r="AB689"/>
      <c r="AC689" s="380"/>
      <c r="AD689" s="68"/>
    </row>
    <row r="690" spans="3:30" ht="10.5" customHeight="1">
      <c r="C690" s="1463" t="s">
        <v>4482</v>
      </c>
      <c r="D690" s="1460">
        <v>0</v>
      </c>
      <c r="E690" s="1460">
        <v>0</v>
      </c>
      <c r="F690" s="1461">
        <v>0</v>
      </c>
      <c r="G690" s="1472" t="s">
        <v>4482</v>
      </c>
      <c r="H690" s="1458">
        <v>0</v>
      </c>
      <c r="I690" s="1458">
        <v>0</v>
      </c>
      <c r="J690" s="1473">
        <v>0</v>
      </c>
      <c r="K690" s="1462"/>
      <c r="L690" s="1456">
        <v>13063040621</v>
      </c>
      <c r="M690" s="1457">
        <v>0</v>
      </c>
      <c r="N690" s="1457">
        <v>0</v>
      </c>
      <c r="O690" s="1457">
        <v>0</v>
      </c>
      <c r="P690" s="145"/>
      <c r="Q690" s="145"/>
      <c r="R690" s="145"/>
      <c r="S690" s="145"/>
      <c r="T690" s="392" t="s">
        <v>1833</v>
      </c>
      <c r="U690" s="392" t="s">
        <v>177</v>
      </c>
      <c r="AA690"/>
      <c r="AB690"/>
      <c r="AC690" s="380"/>
      <c r="AD690" s="68"/>
    </row>
    <row r="691" spans="3:30" ht="10.5" customHeight="1">
      <c r="C691" s="1463" t="s">
        <v>4483</v>
      </c>
      <c r="D691" s="1460">
        <v>0</v>
      </c>
      <c r="E691" s="1460">
        <v>0</v>
      </c>
      <c r="F691" s="1461">
        <v>0</v>
      </c>
      <c r="G691" s="1472" t="s">
        <v>4483</v>
      </c>
      <c r="H691" s="1458">
        <v>0</v>
      </c>
      <c r="I691" s="1458" t="s">
        <v>3911</v>
      </c>
      <c r="J691" s="1473">
        <v>0</v>
      </c>
      <c r="K691" s="1462"/>
      <c r="L691" s="1456">
        <v>13063040622</v>
      </c>
      <c r="M691" s="1457">
        <v>0</v>
      </c>
      <c r="N691" s="1457">
        <v>0</v>
      </c>
      <c r="O691" s="1457">
        <v>0</v>
      </c>
      <c r="P691" s="145"/>
      <c r="Q691" s="145"/>
      <c r="R691" s="145"/>
      <c r="S691" s="145"/>
      <c r="T691" s="236" t="s">
        <v>2557</v>
      </c>
      <c r="U691" s="236" t="s">
        <v>1772</v>
      </c>
      <c r="AA691"/>
      <c r="AB691"/>
      <c r="AC691" s="68"/>
      <c r="AD691" s="68"/>
    </row>
    <row r="692" spans="3:30" ht="10.5" customHeight="1">
      <c r="C692" s="1463" t="s">
        <v>4484</v>
      </c>
      <c r="D692" s="1460" t="s">
        <v>3911</v>
      </c>
      <c r="E692" s="1460" t="s">
        <v>3911</v>
      </c>
      <c r="F692" s="1461">
        <v>0</v>
      </c>
      <c r="G692" s="1472" t="s">
        <v>4484</v>
      </c>
      <c r="H692" s="1458" t="s">
        <v>3911</v>
      </c>
      <c r="I692" s="1458" t="s">
        <v>3911</v>
      </c>
      <c r="J692" s="1473">
        <v>0</v>
      </c>
      <c r="K692" s="1462"/>
      <c r="L692" s="1456">
        <v>13063980000</v>
      </c>
      <c r="M692" s="1457">
        <v>0</v>
      </c>
      <c r="N692" s="1457">
        <v>0</v>
      </c>
      <c r="O692" s="1457">
        <v>0</v>
      </c>
      <c r="P692" s="145"/>
      <c r="Q692" s="145"/>
      <c r="R692" s="145"/>
      <c r="S692" s="145"/>
      <c r="T692" s="392" t="s">
        <v>428</v>
      </c>
      <c r="U692" s="392" t="s">
        <v>1237</v>
      </c>
      <c r="AA692"/>
      <c r="AB692"/>
      <c r="AC692" s="380"/>
      <c r="AD692" s="68"/>
    </row>
    <row r="693" spans="3:30" ht="10.5" customHeight="1">
      <c r="C693" s="1463" t="s">
        <v>4485</v>
      </c>
      <c r="D693" s="1460">
        <v>0</v>
      </c>
      <c r="E693" s="1460">
        <v>0</v>
      </c>
      <c r="F693" s="1461">
        <v>0</v>
      </c>
      <c r="G693" s="1472" t="s">
        <v>4485</v>
      </c>
      <c r="H693" s="1458">
        <v>0</v>
      </c>
      <c r="I693" s="1458">
        <v>0</v>
      </c>
      <c r="J693" s="1473">
        <v>0</v>
      </c>
      <c r="K693" s="1462"/>
      <c r="L693" s="1456">
        <v>13065970100</v>
      </c>
      <c r="M693" s="1457">
        <v>0</v>
      </c>
      <c r="N693" s="1457">
        <v>0</v>
      </c>
      <c r="O693" s="1457">
        <v>0</v>
      </c>
      <c r="P693" s="145"/>
      <c r="Q693" s="145"/>
      <c r="R693" s="145"/>
      <c r="S693" s="145"/>
      <c r="T693" s="392" t="s">
        <v>1948</v>
      </c>
      <c r="U693" s="392" t="s">
        <v>686</v>
      </c>
      <c r="AA693"/>
      <c r="AB693"/>
      <c r="AC693" s="380"/>
      <c r="AD693" s="68"/>
    </row>
    <row r="694" spans="3:30" ht="10.5" customHeight="1">
      <c r="C694" s="1463" t="s">
        <v>4486</v>
      </c>
      <c r="D694" s="1460">
        <v>0</v>
      </c>
      <c r="E694" s="1460">
        <v>0</v>
      </c>
      <c r="F694" s="1461">
        <v>0</v>
      </c>
      <c r="G694" s="1472" t="s">
        <v>4486</v>
      </c>
      <c r="H694" s="1458">
        <v>0</v>
      </c>
      <c r="I694" s="1458">
        <v>0</v>
      </c>
      <c r="J694" s="1473">
        <v>0</v>
      </c>
      <c r="K694" s="1462"/>
      <c r="L694" s="1456">
        <v>13065970200</v>
      </c>
      <c r="M694" s="1457">
        <v>0</v>
      </c>
      <c r="N694" s="1457">
        <v>0</v>
      </c>
      <c r="O694" s="1457">
        <v>0</v>
      </c>
      <c r="P694" s="145"/>
      <c r="Q694" s="145"/>
      <c r="R694" s="145"/>
      <c r="S694" s="145"/>
      <c r="T694" s="392" t="s">
        <v>1973</v>
      </c>
      <c r="U694" s="392" t="s">
        <v>100</v>
      </c>
      <c r="AA694"/>
      <c r="AB694"/>
      <c r="AC694" s="380"/>
      <c r="AD694" s="68"/>
    </row>
    <row r="695" spans="3:30" ht="10.5" customHeight="1">
      <c r="C695" s="1463" t="s">
        <v>4487</v>
      </c>
      <c r="D695" s="1460">
        <v>1</v>
      </c>
      <c r="E695" s="1460">
        <v>1</v>
      </c>
      <c r="F695" s="1461">
        <v>2</v>
      </c>
      <c r="G695" s="1472" t="s">
        <v>4487</v>
      </c>
      <c r="H695" s="1458">
        <v>1</v>
      </c>
      <c r="I695" s="1458">
        <v>1</v>
      </c>
      <c r="J695" s="1473">
        <v>2</v>
      </c>
      <c r="K695" s="1462"/>
      <c r="L695" s="1456">
        <v>13067030101</v>
      </c>
      <c r="M695" s="1457">
        <v>1</v>
      </c>
      <c r="N695" s="1457">
        <v>1</v>
      </c>
      <c r="O695" s="1457">
        <v>2</v>
      </c>
      <c r="P695" s="145"/>
      <c r="Q695" s="145"/>
      <c r="R695" s="145"/>
      <c r="S695" s="145"/>
      <c r="T695" s="392" t="s">
        <v>776</v>
      </c>
      <c r="U695" s="392" t="s">
        <v>1861</v>
      </c>
      <c r="AA695"/>
      <c r="AB695"/>
      <c r="AC695" s="380"/>
      <c r="AD695" s="68"/>
    </row>
    <row r="696" spans="3:30" ht="10.5" customHeight="1">
      <c r="C696" s="1463" t="s">
        <v>4488</v>
      </c>
      <c r="D696" s="1460">
        <v>1</v>
      </c>
      <c r="E696" s="1460">
        <v>1</v>
      </c>
      <c r="F696" s="1461">
        <v>2</v>
      </c>
      <c r="G696" s="1472" t="s">
        <v>4488</v>
      </c>
      <c r="H696" s="1458">
        <v>1</v>
      </c>
      <c r="I696" s="1458">
        <v>1</v>
      </c>
      <c r="J696" s="1473">
        <v>2</v>
      </c>
      <c r="K696" s="1462"/>
      <c r="L696" s="1456">
        <v>13067030103</v>
      </c>
      <c r="M696" s="1457">
        <v>1</v>
      </c>
      <c r="N696" s="1457">
        <v>1</v>
      </c>
      <c r="O696" s="1457">
        <v>2</v>
      </c>
      <c r="P696" s="145"/>
      <c r="Q696" s="145"/>
      <c r="R696" s="145"/>
      <c r="S696" s="145"/>
      <c r="T696" s="392" t="s">
        <v>1974</v>
      </c>
      <c r="U696" s="392" t="s">
        <v>1861</v>
      </c>
      <c r="AA696"/>
      <c r="AB696"/>
      <c r="AC696" s="380"/>
      <c r="AD696" s="68"/>
    </row>
    <row r="697" spans="3:30" ht="10.5" customHeight="1">
      <c r="C697" s="1463" t="s">
        <v>4489</v>
      </c>
      <c r="D697" s="1460">
        <v>0</v>
      </c>
      <c r="E697" s="1460">
        <v>0</v>
      </c>
      <c r="F697" s="1461">
        <v>0</v>
      </c>
      <c r="G697" s="1472" t="s">
        <v>4489</v>
      </c>
      <c r="H697" s="1458">
        <v>0</v>
      </c>
      <c r="I697" s="1458">
        <v>0</v>
      </c>
      <c r="J697" s="1473">
        <v>0</v>
      </c>
      <c r="K697" s="1462"/>
      <c r="L697" s="1456">
        <v>13067030104</v>
      </c>
      <c r="M697" s="1457">
        <v>0</v>
      </c>
      <c r="N697" s="1457">
        <v>0</v>
      </c>
      <c r="O697" s="1457">
        <v>0</v>
      </c>
      <c r="P697" s="145"/>
      <c r="Q697" s="145"/>
      <c r="R697" s="145"/>
      <c r="S697" s="145"/>
      <c r="T697" s="392" t="s">
        <v>1975</v>
      </c>
      <c r="U697" s="392" t="s">
        <v>1553</v>
      </c>
      <c r="AA697"/>
      <c r="AB697"/>
      <c r="AC697" s="380"/>
      <c r="AD697" s="68"/>
    </row>
    <row r="698" spans="3:30" ht="10.5" customHeight="1">
      <c r="C698" s="1463" t="s">
        <v>4490</v>
      </c>
      <c r="D698" s="1460">
        <v>0</v>
      </c>
      <c r="E698" s="1460">
        <v>0</v>
      </c>
      <c r="F698" s="1461">
        <v>0</v>
      </c>
      <c r="G698" s="1472" t="s">
        <v>4490</v>
      </c>
      <c r="H698" s="1458">
        <v>1</v>
      </c>
      <c r="I698" s="1458">
        <v>0</v>
      </c>
      <c r="J698" s="1473">
        <v>1</v>
      </c>
      <c r="K698" s="1462"/>
      <c r="L698" s="1456">
        <v>13067030106</v>
      </c>
      <c r="M698" s="1457">
        <v>1</v>
      </c>
      <c r="N698" s="1457">
        <v>0</v>
      </c>
      <c r="O698" s="1457">
        <v>1</v>
      </c>
      <c r="P698" s="145"/>
      <c r="Q698" s="145"/>
      <c r="R698" s="145"/>
      <c r="S698" s="145"/>
      <c r="T698" s="392" t="s">
        <v>2153</v>
      </c>
      <c r="U698" s="392" t="s">
        <v>1738</v>
      </c>
      <c r="AA698"/>
      <c r="AB698"/>
      <c r="AC698" s="380"/>
      <c r="AD698" s="68"/>
    </row>
    <row r="699" spans="3:30" ht="10.5" customHeight="1">
      <c r="C699" s="1463" t="s">
        <v>4491</v>
      </c>
      <c r="D699" s="1460">
        <v>1</v>
      </c>
      <c r="E699" s="1460">
        <v>1</v>
      </c>
      <c r="F699" s="1461">
        <v>2</v>
      </c>
      <c r="G699" s="1472" t="s">
        <v>4491</v>
      </c>
      <c r="H699" s="1458">
        <v>1</v>
      </c>
      <c r="I699" s="1458">
        <v>1</v>
      </c>
      <c r="J699" s="1473">
        <v>2</v>
      </c>
      <c r="K699" s="1462"/>
      <c r="L699" s="1456">
        <v>13067030107</v>
      </c>
      <c r="M699" s="1457">
        <v>1</v>
      </c>
      <c r="N699" s="1457">
        <v>1</v>
      </c>
      <c r="O699" s="1457">
        <v>2</v>
      </c>
      <c r="P699" s="145"/>
      <c r="Q699" s="145"/>
      <c r="R699" s="145"/>
      <c r="S699" s="145"/>
      <c r="T699" s="392" t="s">
        <v>2154</v>
      </c>
      <c r="U699" s="392" t="s">
        <v>152</v>
      </c>
      <c r="AA699"/>
      <c r="AB699"/>
      <c r="AC699" s="380"/>
      <c r="AD699" s="68"/>
    </row>
    <row r="700" spans="3:30" ht="10.5" customHeight="1">
      <c r="C700" s="1463" t="s">
        <v>4492</v>
      </c>
      <c r="D700" s="1460">
        <v>1</v>
      </c>
      <c r="E700" s="1460">
        <v>1</v>
      </c>
      <c r="F700" s="1461">
        <v>2</v>
      </c>
      <c r="G700" s="1472" t="s">
        <v>4492</v>
      </c>
      <c r="H700" s="1458">
        <v>1</v>
      </c>
      <c r="I700" s="1458">
        <v>1</v>
      </c>
      <c r="J700" s="1473">
        <v>2</v>
      </c>
      <c r="K700" s="1462"/>
      <c r="L700" s="1456">
        <v>13067030209</v>
      </c>
      <c r="M700" s="1457">
        <v>1</v>
      </c>
      <c r="N700" s="1457">
        <v>1</v>
      </c>
      <c r="O700" s="1457">
        <v>2</v>
      </c>
      <c r="P700" s="145"/>
      <c r="Q700" s="145"/>
      <c r="R700" s="145"/>
      <c r="S700" s="145"/>
      <c r="T700" s="236" t="s">
        <v>2155</v>
      </c>
      <c r="U700" s="236" t="s">
        <v>1555</v>
      </c>
      <c r="AA700"/>
      <c r="AB700"/>
      <c r="AC700" s="68"/>
      <c r="AD700" s="68"/>
    </row>
    <row r="701" spans="3:30" ht="10.5" customHeight="1">
      <c r="C701" s="1463" t="s">
        <v>4493</v>
      </c>
      <c r="D701" s="1460">
        <v>1</v>
      </c>
      <c r="E701" s="1460">
        <v>1</v>
      </c>
      <c r="F701" s="1461">
        <v>2</v>
      </c>
      <c r="G701" s="1472" t="s">
        <v>4493</v>
      </c>
      <c r="H701" s="1458">
        <v>1</v>
      </c>
      <c r="I701" s="1458">
        <v>1</v>
      </c>
      <c r="J701" s="1473">
        <v>2</v>
      </c>
      <c r="K701" s="1462"/>
      <c r="L701" s="1456">
        <v>13067030214</v>
      </c>
      <c r="M701" s="1457">
        <v>1</v>
      </c>
      <c r="N701" s="1457">
        <v>1</v>
      </c>
      <c r="O701" s="1457">
        <v>2</v>
      </c>
      <c r="P701" s="145"/>
      <c r="Q701" s="145"/>
      <c r="R701" s="145"/>
      <c r="S701" s="145"/>
      <c r="T701" s="392" t="s">
        <v>2156</v>
      </c>
      <c r="U701" s="392" t="s">
        <v>1041</v>
      </c>
      <c r="AA701"/>
      <c r="AB701"/>
      <c r="AC701" s="380"/>
      <c r="AD701" s="68"/>
    </row>
    <row r="702" spans="3:30" ht="10.5" customHeight="1">
      <c r="C702" s="1463" t="s">
        <v>4494</v>
      </c>
      <c r="D702" s="1460">
        <v>1</v>
      </c>
      <c r="E702" s="1460">
        <v>1</v>
      </c>
      <c r="F702" s="1461">
        <v>2</v>
      </c>
      <c r="G702" s="1472" t="s">
        <v>4494</v>
      </c>
      <c r="H702" s="1458">
        <v>1</v>
      </c>
      <c r="I702" s="1458">
        <v>1</v>
      </c>
      <c r="J702" s="1473">
        <v>2</v>
      </c>
      <c r="K702" s="1462"/>
      <c r="L702" s="1456">
        <v>13067030215</v>
      </c>
      <c r="M702" s="1457">
        <v>1</v>
      </c>
      <c r="N702" s="1457">
        <v>1</v>
      </c>
      <c r="O702" s="1457">
        <v>2</v>
      </c>
      <c r="P702" s="145"/>
      <c r="Q702" s="145"/>
      <c r="R702" s="145"/>
      <c r="S702" s="145"/>
      <c r="T702" s="392" t="s">
        <v>2157</v>
      </c>
      <c r="U702" s="392" t="s">
        <v>2209</v>
      </c>
      <c r="AA702"/>
      <c r="AB702"/>
      <c r="AC702" s="380"/>
      <c r="AD702" s="68"/>
    </row>
    <row r="703" spans="3:30" ht="10.5" customHeight="1">
      <c r="C703" s="1463" t="s">
        <v>4495</v>
      </c>
      <c r="D703" s="1460">
        <v>1</v>
      </c>
      <c r="E703" s="1460">
        <v>1</v>
      </c>
      <c r="F703" s="1461">
        <v>2</v>
      </c>
      <c r="G703" s="1472" t="s">
        <v>4495</v>
      </c>
      <c r="H703" s="1458">
        <v>1</v>
      </c>
      <c r="I703" s="1458">
        <v>1</v>
      </c>
      <c r="J703" s="1473">
        <v>2</v>
      </c>
      <c r="K703" s="1462"/>
      <c r="L703" s="1456">
        <v>13067030218</v>
      </c>
      <c r="M703" s="1457">
        <v>1</v>
      </c>
      <c r="N703" s="1457">
        <v>1</v>
      </c>
      <c r="O703" s="1457">
        <v>2</v>
      </c>
      <c r="P703" s="145"/>
      <c r="Q703" s="145"/>
      <c r="R703" s="145"/>
      <c r="S703" s="145"/>
      <c r="T703" s="392" t="s">
        <v>2090</v>
      </c>
      <c r="U703" s="392" t="s">
        <v>2017</v>
      </c>
      <c r="AA703"/>
      <c r="AB703"/>
      <c r="AC703" s="380"/>
      <c r="AD703" s="68"/>
    </row>
    <row r="704" spans="3:30" ht="10.5" customHeight="1">
      <c r="C704" s="1463" t="s">
        <v>4496</v>
      </c>
      <c r="D704" s="1460">
        <v>1</v>
      </c>
      <c r="E704" s="1460">
        <v>1</v>
      </c>
      <c r="F704" s="1461">
        <v>2</v>
      </c>
      <c r="G704" s="1472" t="s">
        <v>4496</v>
      </c>
      <c r="H704" s="1458">
        <v>1</v>
      </c>
      <c r="I704" s="1458">
        <v>1</v>
      </c>
      <c r="J704" s="1473">
        <v>2</v>
      </c>
      <c r="K704" s="1462"/>
      <c r="L704" s="1456">
        <v>13067030219</v>
      </c>
      <c r="M704" s="1457">
        <v>1</v>
      </c>
      <c r="N704" s="1457">
        <v>1</v>
      </c>
      <c r="O704" s="1457">
        <v>2</v>
      </c>
      <c r="P704" s="145"/>
      <c r="Q704" s="145"/>
      <c r="R704" s="145"/>
      <c r="S704" s="145"/>
      <c r="T704" s="392" t="s">
        <v>1520</v>
      </c>
      <c r="U704" s="392" t="s">
        <v>2211</v>
      </c>
      <c r="AA704"/>
      <c r="AB704"/>
      <c r="AC704" s="380"/>
      <c r="AD704" s="68"/>
    </row>
    <row r="705" spans="3:30" ht="10.5" customHeight="1">
      <c r="C705" s="1463" t="s">
        <v>4497</v>
      </c>
      <c r="D705" s="1460">
        <v>1</v>
      </c>
      <c r="E705" s="1460">
        <v>1</v>
      </c>
      <c r="F705" s="1461">
        <v>2</v>
      </c>
      <c r="G705" s="1472" t="s">
        <v>4497</v>
      </c>
      <c r="H705" s="1458">
        <v>1</v>
      </c>
      <c r="I705" s="1458">
        <v>1</v>
      </c>
      <c r="J705" s="1473">
        <v>2</v>
      </c>
      <c r="K705" s="1462"/>
      <c r="L705" s="1456">
        <v>13067030220</v>
      </c>
      <c r="M705" s="1457">
        <v>1</v>
      </c>
      <c r="N705" s="1457">
        <v>1</v>
      </c>
      <c r="O705" s="1457">
        <v>2</v>
      </c>
      <c r="P705" s="145"/>
      <c r="Q705" s="145"/>
      <c r="R705" s="145"/>
      <c r="S705" s="145"/>
      <c r="T705" s="392" t="s">
        <v>1521</v>
      </c>
      <c r="U705" s="392" t="s">
        <v>187</v>
      </c>
      <c r="AA705"/>
      <c r="AB705"/>
      <c r="AC705" s="380"/>
      <c r="AD705" s="68"/>
    </row>
    <row r="706" spans="3:30" ht="10.5" customHeight="1">
      <c r="C706" s="1463" t="s">
        <v>4498</v>
      </c>
      <c r="D706" s="1460">
        <v>1</v>
      </c>
      <c r="E706" s="1460">
        <v>1</v>
      </c>
      <c r="F706" s="1461">
        <v>2</v>
      </c>
      <c r="G706" s="1472" t="s">
        <v>4498</v>
      </c>
      <c r="H706" s="1458">
        <v>1</v>
      </c>
      <c r="I706" s="1458">
        <v>1</v>
      </c>
      <c r="J706" s="1473">
        <v>2</v>
      </c>
      <c r="K706" s="1462"/>
      <c r="L706" s="1456">
        <v>13067030222</v>
      </c>
      <c r="M706" s="1457">
        <v>1</v>
      </c>
      <c r="N706" s="1457">
        <v>1</v>
      </c>
      <c r="O706" s="1457">
        <v>2</v>
      </c>
      <c r="P706" s="145"/>
      <c r="Q706" s="145"/>
      <c r="R706" s="145"/>
      <c r="S706" s="145"/>
      <c r="T706" s="392" t="s">
        <v>1568</v>
      </c>
      <c r="U706" s="392" t="s">
        <v>155</v>
      </c>
      <c r="AA706"/>
      <c r="AB706"/>
      <c r="AC706" s="380"/>
      <c r="AD706" s="68"/>
    </row>
    <row r="707" spans="3:30" ht="10.5" customHeight="1">
      <c r="C707" s="1463" t="s">
        <v>4499</v>
      </c>
      <c r="D707" s="1460">
        <v>1</v>
      </c>
      <c r="E707" s="1460">
        <v>1</v>
      </c>
      <c r="F707" s="1461">
        <v>2</v>
      </c>
      <c r="G707" s="1472" t="s">
        <v>4499</v>
      </c>
      <c r="H707" s="1458">
        <v>1</v>
      </c>
      <c r="I707" s="1458">
        <v>1</v>
      </c>
      <c r="J707" s="1473">
        <v>2</v>
      </c>
      <c r="K707" s="1462"/>
      <c r="L707" s="1456">
        <v>13067030223</v>
      </c>
      <c r="M707" s="1457">
        <v>1</v>
      </c>
      <c r="N707" s="1457">
        <v>1</v>
      </c>
      <c r="O707" s="1457">
        <v>2</v>
      </c>
      <c r="P707" s="145"/>
      <c r="Q707" s="145"/>
      <c r="R707" s="145"/>
      <c r="S707" s="145"/>
      <c r="T707" s="392" t="s">
        <v>1013</v>
      </c>
      <c r="U707" s="392" t="s">
        <v>585</v>
      </c>
      <c r="AA707"/>
      <c r="AB707"/>
      <c r="AC707" s="380"/>
      <c r="AD707" s="68"/>
    </row>
    <row r="708" spans="3:30" ht="10.5" customHeight="1">
      <c r="C708" s="1463" t="s">
        <v>4500</v>
      </c>
      <c r="D708" s="1460">
        <v>1</v>
      </c>
      <c r="E708" s="1460">
        <v>1</v>
      </c>
      <c r="F708" s="1461">
        <v>2</v>
      </c>
      <c r="G708" s="1472" t="s">
        <v>4500</v>
      </c>
      <c r="H708" s="1458">
        <v>1</v>
      </c>
      <c r="I708" s="1458">
        <v>1</v>
      </c>
      <c r="J708" s="1473">
        <v>2</v>
      </c>
      <c r="K708" s="1462"/>
      <c r="L708" s="1456">
        <v>13067030224</v>
      </c>
      <c r="M708" s="1457">
        <v>1</v>
      </c>
      <c r="N708" s="1457">
        <v>1</v>
      </c>
      <c r="O708" s="1457">
        <v>2</v>
      </c>
      <c r="P708" s="145"/>
      <c r="Q708" s="145"/>
      <c r="R708" s="145"/>
      <c r="S708" s="145"/>
      <c r="T708" s="392" t="s">
        <v>761</v>
      </c>
      <c r="U708" s="392" t="s">
        <v>1811</v>
      </c>
      <c r="AA708"/>
      <c r="AB708"/>
      <c r="AC708" s="380"/>
      <c r="AD708" s="68"/>
    </row>
    <row r="709" spans="3:30" ht="10.5" customHeight="1">
      <c r="C709" s="1463" t="s">
        <v>4501</v>
      </c>
      <c r="D709" s="1460">
        <v>1</v>
      </c>
      <c r="E709" s="1460">
        <v>1</v>
      </c>
      <c r="F709" s="1461">
        <v>2</v>
      </c>
      <c r="G709" s="1472" t="s">
        <v>4501</v>
      </c>
      <c r="H709" s="1458">
        <v>1</v>
      </c>
      <c r="I709" s="1458">
        <v>1</v>
      </c>
      <c r="J709" s="1473">
        <v>2</v>
      </c>
      <c r="K709" s="1462"/>
      <c r="L709" s="1456">
        <v>13067030226</v>
      </c>
      <c r="M709" s="1457">
        <v>1</v>
      </c>
      <c r="N709" s="1457">
        <v>1</v>
      </c>
      <c r="O709" s="1457">
        <v>2</v>
      </c>
      <c r="P709" s="145"/>
      <c r="Q709" s="145"/>
      <c r="R709" s="145"/>
      <c r="S709" s="145"/>
      <c r="T709" s="392" t="s">
        <v>1569</v>
      </c>
      <c r="U709" s="392" t="s">
        <v>2330</v>
      </c>
      <c r="AA709"/>
      <c r="AB709"/>
      <c r="AC709" s="380"/>
      <c r="AD709" s="68"/>
    </row>
    <row r="710" spans="3:30" ht="10.5" customHeight="1">
      <c r="C710" s="1463" t="s">
        <v>4502</v>
      </c>
      <c r="D710" s="1460">
        <v>1</v>
      </c>
      <c r="E710" s="1460">
        <v>1</v>
      </c>
      <c r="F710" s="1461">
        <v>2</v>
      </c>
      <c r="G710" s="1472" t="s">
        <v>4502</v>
      </c>
      <c r="H710" s="1458">
        <v>1</v>
      </c>
      <c r="I710" s="1458">
        <v>0</v>
      </c>
      <c r="J710" s="1473">
        <v>1</v>
      </c>
      <c r="K710" s="1462"/>
      <c r="L710" s="1456">
        <v>13067030227</v>
      </c>
      <c r="M710" s="1457">
        <v>1</v>
      </c>
      <c r="N710" s="1457">
        <v>1</v>
      </c>
      <c r="O710" s="1457">
        <v>2</v>
      </c>
      <c r="P710" s="145"/>
      <c r="Q710" s="145"/>
      <c r="R710" s="145"/>
      <c r="S710" s="145"/>
      <c r="T710" s="392" t="s">
        <v>1570</v>
      </c>
      <c r="U710" s="392" t="s">
        <v>2074</v>
      </c>
      <c r="AA710"/>
      <c r="AB710"/>
      <c r="AC710" s="380"/>
      <c r="AD710" s="68"/>
    </row>
    <row r="711" spans="3:30" ht="10.5" customHeight="1">
      <c r="C711" s="1463" t="s">
        <v>4503</v>
      </c>
      <c r="D711" s="1460">
        <v>1</v>
      </c>
      <c r="E711" s="1460">
        <v>1</v>
      </c>
      <c r="F711" s="1461">
        <v>2</v>
      </c>
      <c r="G711" s="1472" t="s">
        <v>4503</v>
      </c>
      <c r="H711" s="1458">
        <v>1</v>
      </c>
      <c r="I711" s="1458">
        <v>1</v>
      </c>
      <c r="J711" s="1473">
        <v>2</v>
      </c>
      <c r="K711" s="1462"/>
      <c r="L711" s="1456">
        <v>13067030228</v>
      </c>
      <c r="M711" s="1457">
        <v>1</v>
      </c>
      <c r="N711" s="1457">
        <v>1</v>
      </c>
      <c r="O711" s="1457">
        <v>2</v>
      </c>
      <c r="P711" s="145"/>
      <c r="Q711" s="145"/>
      <c r="R711" s="145"/>
      <c r="S711" s="145"/>
      <c r="T711" s="392" t="s">
        <v>1571</v>
      </c>
      <c r="U711" s="392" t="s">
        <v>1555</v>
      </c>
      <c r="AA711"/>
      <c r="AB711"/>
      <c r="AC711" s="380"/>
      <c r="AD711" s="68"/>
    </row>
    <row r="712" spans="3:30" ht="10.5" customHeight="1">
      <c r="C712" s="1463" t="s">
        <v>4504</v>
      </c>
      <c r="D712" s="1460">
        <v>0</v>
      </c>
      <c r="E712" s="1460">
        <v>1</v>
      </c>
      <c r="F712" s="1461">
        <v>1</v>
      </c>
      <c r="G712" s="1472" t="s">
        <v>4504</v>
      </c>
      <c r="H712" s="1458">
        <v>0</v>
      </c>
      <c r="I712" s="1458" t="s">
        <v>3911</v>
      </c>
      <c r="J712" s="1473">
        <v>0</v>
      </c>
      <c r="K712" s="1462"/>
      <c r="L712" s="1456">
        <v>13067030229</v>
      </c>
      <c r="M712" s="1457">
        <v>0</v>
      </c>
      <c r="N712" s="1457">
        <v>1</v>
      </c>
      <c r="O712" s="1457">
        <v>1</v>
      </c>
      <c r="P712" s="145"/>
      <c r="Q712" s="145"/>
      <c r="R712" s="145"/>
      <c r="S712" s="145"/>
      <c r="T712" s="392" t="s">
        <v>1572</v>
      </c>
      <c r="U712" s="392" t="s">
        <v>152</v>
      </c>
      <c r="AA712"/>
      <c r="AB712"/>
      <c r="AC712" s="380"/>
      <c r="AD712" s="68"/>
    </row>
    <row r="713" spans="3:30" ht="10.5" customHeight="1">
      <c r="C713" s="1463" t="s">
        <v>4505</v>
      </c>
      <c r="D713" s="1460">
        <v>1</v>
      </c>
      <c r="E713" s="1460">
        <v>1</v>
      </c>
      <c r="F713" s="1461">
        <v>2</v>
      </c>
      <c r="G713" s="1472" t="s">
        <v>4505</v>
      </c>
      <c r="H713" s="1458">
        <v>1</v>
      </c>
      <c r="I713" s="1458">
        <v>1</v>
      </c>
      <c r="J713" s="1473">
        <v>2</v>
      </c>
      <c r="K713" s="1462"/>
      <c r="L713" s="1456">
        <v>13067030230</v>
      </c>
      <c r="M713" s="1457">
        <v>1</v>
      </c>
      <c r="N713" s="1457">
        <v>1</v>
      </c>
      <c r="O713" s="1457">
        <v>2</v>
      </c>
      <c r="P713" s="145"/>
      <c r="Q713" s="145"/>
      <c r="R713" s="145"/>
      <c r="S713" s="145"/>
      <c r="T713" s="392" t="s">
        <v>1573</v>
      </c>
      <c r="U713" s="392" t="s">
        <v>611</v>
      </c>
      <c r="AA713"/>
      <c r="AB713"/>
      <c r="AC713" s="380"/>
      <c r="AD713" s="68"/>
    </row>
    <row r="714" spans="3:30" ht="10.5" customHeight="1">
      <c r="C714" s="1463" t="s">
        <v>4506</v>
      </c>
      <c r="D714" s="1460">
        <v>1</v>
      </c>
      <c r="E714" s="1460">
        <v>1</v>
      </c>
      <c r="F714" s="1461">
        <v>2</v>
      </c>
      <c r="G714" s="1472" t="s">
        <v>4506</v>
      </c>
      <c r="H714" s="1458">
        <v>1</v>
      </c>
      <c r="I714" s="1458">
        <v>1</v>
      </c>
      <c r="J714" s="1473">
        <v>2</v>
      </c>
      <c r="K714" s="1462"/>
      <c r="L714" s="1456">
        <v>13067030231</v>
      </c>
      <c r="M714" s="1457">
        <v>1</v>
      </c>
      <c r="N714" s="1457">
        <v>1</v>
      </c>
      <c r="O714" s="1457">
        <v>2</v>
      </c>
      <c r="P714" s="145"/>
      <c r="Q714" s="145"/>
      <c r="R714" s="145"/>
      <c r="S714" s="145"/>
      <c r="T714" s="392" t="s">
        <v>1574</v>
      </c>
      <c r="U714" s="392" t="s">
        <v>893</v>
      </c>
      <c r="AA714"/>
      <c r="AB714"/>
      <c r="AC714" s="380"/>
      <c r="AD714" s="68"/>
    </row>
    <row r="715" spans="3:30" ht="10.5" customHeight="1">
      <c r="C715" s="1463" t="s">
        <v>4507</v>
      </c>
      <c r="D715" s="1460">
        <v>1</v>
      </c>
      <c r="E715" s="1460">
        <v>1</v>
      </c>
      <c r="F715" s="1461">
        <v>2</v>
      </c>
      <c r="G715" s="1472" t="s">
        <v>4507</v>
      </c>
      <c r="H715" s="1458">
        <v>1</v>
      </c>
      <c r="I715" s="1458">
        <v>1</v>
      </c>
      <c r="J715" s="1473">
        <v>2</v>
      </c>
      <c r="K715" s="1462"/>
      <c r="L715" s="1456">
        <v>13067030232</v>
      </c>
      <c r="M715" s="1457">
        <v>1</v>
      </c>
      <c r="N715" s="1457">
        <v>1</v>
      </c>
      <c r="O715" s="1457">
        <v>2</v>
      </c>
      <c r="P715" s="145"/>
      <c r="Q715" s="145"/>
      <c r="R715" s="145"/>
      <c r="S715" s="145"/>
      <c r="T715" s="392" t="s">
        <v>1575</v>
      </c>
      <c r="U715" s="392" t="s">
        <v>1133</v>
      </c>
      <c r="AA715"/>
      <c r="AB715"/>
      <c r="AC715" s="380"/>
      <c r="AD715" s="68"/>
    </row>
    <row r="716" spans="3:30" ht="10.5" customHeight="1">
      <c r="C716" s="1463" t="s">
        <v>4508</v>
      </c>
      <c r="D716" s="1460">
        <v>1</v>
      </c>
      <c r="E716" s="1460">
        <v>1</v>
      </c>
      <c r="F716" s="1461">
        <v>2</v>
      </c>
      <c r="G716" s="1472" t="s">
        <v>4508</v>
      </c>
      <c r="H716" s="1458">
        <v>1</v>
      </c>
      <c r="I716" s="1458">
        <v>1</v>
      </c>
      <c r="J716" s="1473">
        <v>2</v>
      </c>
      <c r="K716" s="1462"/>
      <c r="L716" s="1456">
        <v>13067030233</v>
      </c>
      <c r="M716" s="1457">
        <v>1</v>
      </c>
      <c r="N716" s="1457">
        <v>1</v>
      </c>
      <c r="O716" s="1457">
        <v>2</v>
      </c>
      <c r="P716" s="145"/>
      <c r="Q716" s="145"/>
      <c r="R716" s="145"/>
      <c r="S716" s="145"/>
      <c r="T716" s="392" t="s">
        <v>1576</v>
      </c>
      <c r="U716" s="392" t="s">
        <v>625</v>
      </c>
      <c r="AA716"/>
      <c r="AB716"/>
      <c r="AC716" s="380"/>
      <c r="AD716" s="68"/>
    </row>
    <row r="717" spans="3:30" ht="10.5" customHeight="1">
      <c r="C717" s="1463" t="s">
        <v>4509</v>
      </c>
      <c r="D717" s="1460">
        <v>1</v>
      </c>
      <c r="E717" s="1460">
        <v>1</v>
      </c>
      <c r="F717" s="1461">
        <v>2</v>
      </c>
      <c r="G717" s="1472" t="s">
        <v>4509</v>
      </c>
      <c r="H717" s="1458">
        <v>1</v>
      </c>
      <c r="I717" s="1458" t="s">
        <v>3911</v>
      </c>
      <c r="J717" s="1473">
        <v>1</v>
      </c>
      <c r="K717" s="1462"/>
      <c r="L717" s="1456">
        <v>13067030234</v>
      </c>
      <c r="M717" s="1457">
        <v>1</v>
      </c>
      <c r="N717" s="1457">
        <v>1</v>
      </c>
      <c r="O717" s="1457">
        <v>2</v>
      </c>
      <c r="P717" s="145"/>
      <c r="Q717" s="145"/>
      <c r="R717" s="145"/>
      <c r="S717" s="145"/>
      <c r="T717" s="392" t="s">
        <v>1014</v>
      </c>
      <c r="U717" s="392" t="s">
        <v>1555</v>
      </c>
      <c r="AA717"/>
      <c r="AB717"/>
      <c r="AC717" s="380"/>
      <c r="AD717" s="68"/>
    </row>
    <row r="718" spans="3:30" ht="10.5" customHeight="1">
      <c r="C718" s="1463" t="s">
        <v>4510</v>
      </c>
      <c r="D718" s="1460">
        <v>1</v>
      </c>
      <c r="E718" s="1460">
        <v>1</v>
      </c>
      <c r="F718" s="1461">
        <v>2</v>
      </c>
      <c r="G718" s="1472" t="s">
        <v>4510</v>
      </c>
      <c r="H718" s="1458">
        <v>1</v>
      </c>
      <c r="I718" s="1458">
        <v>1</v>
      </c>
      <c r="J718" s="1473">
        <v>2</v>
      </c>
      <c r="K718" s="1462"/>
      <c r="L718" s="1456">
        <v>13067030235</v>
      </c>
      <c r="M718" s="1457">
        <v>1</v>
      </c>
      <c r="N718" s="1457">
        <v>1</v>
      </c>
      <c r="O718" s="1457">
        <v>2</v>
      </c>
      <c r="P718" s="145"/>
      <c r="Q718" s="145"/>
      <c r="R718" s="145"/>
      <c r="S718" s="145"/>
      <c r="T718" s="392" t="s">
        <v>1577</v>
      </c>
      <c r="U718" s="392" t="s">
        <v>177</v>
      </c>
      <c r="AA718"/>
      <c r="AB718"/>
      <c r="AC718" s="380"/>
      <c r="AD718" s="68"/>
    </row>
    <row r="719" spans="3:30" ht="10.5" customHeight="1">
      <c r="C719" s="1463" t="s">
        <v>4511</v>
      </c>
      <c r="D719" s="1460">
        <v>1</v>
      </c>
      <c r="E719" s="1460">
        <v>1</v>
      </c>
      <c r="F719" s="1461">
        <v>2</v>
      </c>
      <c r="G719" s="1472" t="s">
        <v>4511</v>
      </c>
      <c r="H719" s="1458">
        <v>1</v>
      </c>
      <c r="I719" s="1458" t="s">
        <v>3911</v>
      </c>
      <c r="J719" s="1473">
        <v>1</v>
      </c>
      <c r="K719" s="1462"/>
      <c r="L719" s="1456">
        <v>13067030236</v>
      </c>
      <c r="M719" s="1457">
        <v>1</v>
      </c>
      <c r="N719" s="1457">
        <v>1</v>
      </c>
      <c r="O719" s="1457">
        <v>2</v>
      </c>
      <c r="P719" s="145"/>
      <c r="Q719" s="145"/>
      <c r="R719" s="145"/>
      <c r="S719" s="145"/>
      <c r="T719" s="392" t="s">
        <v>1578</v>
      </c>
      <c r="U719" s="392" t="s">
        <v>168</v>
      </c>
      <c r="AA719"/>
      <c r="AB719"/>
      <c r="AC719" s="380"/>
      <c r="AD719" s="68"/>
    </row>
    <row r="720" spans="3:30" ht="10.5" customHeight="1">
      <c r="C720" s="1463" t="s">
        <v>4512</v>
      </c>
      <c r="D720" s="1460">
        <v>1</v>
      </c>
      <c r="E720" s="1460">
        <v>1</v>
      </c>
      <c r="F720" s="1461">
        <v>2</v>
      </c>
      <c r="G720" s="1472" t="s">
        <v>4512</v>
      </c>
      <c r="H720" s="1458">
        <v>1</v>
      </c>
      <c r="I720" s="1458">
        <v>1</v>
      </c>
      <c r="J720" s="1473">
        <v>2</v>
      </c>
      <c r="K720" s="1462"/>
      <c r="L720" s="1456">
        <v>13067030238</v>
      </c>
      <c r="M720" s="1457">
        <v>1</v>
      </c>
      <c r="N720" s="1457">
        <v>1</v>
      </c>
      <c r="O720" s="1457">
        <v>2</v>
      </c>
      <c r="P720" s="145"/>
      <c r="Q720" s="145"/>
      <c r="R720" s="145"/>
      <c r="S720" s="145"/>
      <c r="T720" s="236" t="s">
        <v>1579</v>
      </c>
      <c r="U720" s="236" t="s">
        <v>1811</v>
      </c>
      <c r="AA720"/>
      <c r="AB720"/>
      <c r="AC720" s="68"/>
      <c r="AD720" s="68"/>
    </row>
    <row r="721" spans="3:30" ht="10.5" customHeight="1">
      <c r="C721" s="1463" t="s">
        <v>4513</v>
      </c>
      <c r="D721" s="1460">
        <v>1</v>
      </c>
      <c r="E721" s="1460">
        <v>1</v>
      </c>
      <c r="F721" s="1461">
        <v>2</v>
      </c>
      <c r="G721" s="1472" t="s">
        <v>4513</v>
      </c>
      <c r="H721" s="1458">
        <v>1</v>
      </c>
      <c r="I721" s="1458">
        <v>1</v>
      </c>
      <c r="J721" s="1473">
        <v>2</v>
      </c>
      <c r="K721" s="1462"/>
      <c r="L721" s="1456">
        <v>13067030239</v>
      </c>
      <c r="M721" s="1457">
        <v>1</v>
      </c>
      <c r="N721" s="1457">
        <v>1</v>
      </c>
      <c r="O721" s="1457">
        <v>2</v>
      </c>
      <c r="P721" s="145"/>
      <c r="Q721" s="145"/>
      <c r="R721" s="145"/>
      <c r="S721" s="145"/>
      <c r="T721" s="392" t="s">
        <v>1580</v>
      </c>
      <c r="U721" s="392" t="s">
        <v>152</v>
      </c>
      <c r="AA721"/>
      <c r="AB721"/>
      <c r="AC721" s="380"/>
      <c r="AD721" s="68"/>
    </row>
    <row r="722" spans="3:30" ht="10.5" customHeight="1">
      <c r="C722" s="1463" t="s">
        <v>4514</v>
      </c>
      <c r="D722" s="1460">
        <v>1</v>
      </c>
      <c r="E722" s="1460">
        <v>1</v>
      </c>
      <c r="F722" s="1461">
        <v>2</v>
      </c>
      <c r="G722" s="1472" t="s">
        <v>4514</v>
      </c>
      <c r="H722" s="1458">
        <v>1</v>
      </c>
      <c r="I722" s="1458">
        <v>0</v>
      </c>
      <c r="J722" s="1473">
        <v>1</v>
      </c>
      <c r="K722" s="1462"/>
      <c r="L722" s="1456">
        <v>13067030310</v>
      </c>
      <c r="M722" s="1457">
        <v>1</v>
      </c>
      <c r="N722" s="1457">
        <v>1</v>
      </c>
      <c r="O722" s="1457">
        <v>2</v>
      </c>
      <c r="P722" s="145"/>
      <c r="Q722" s="145"/>
      <c r="R722" s="145"/>
      <c r="S722" s="145"/>
      <c r="T722" s="392" t="s">
        <v>1581</v>
      </c>
      <c r="U722" s="392" t="s">
        <v>1770</v>
      </c>
      <c r="AA722"/>
      <c r="AB722"/>
      <c r="AC722" s="380"/>
      <c r="AD722" s="68"/>
    </row>
    <row r="723" spans="3:30" ht="10.5" customHeight="1">
      <c r="C723" s="1463" t="s">
        <v>4515</v>
      </c>
      <c r="D723" s="1460">
        <v>1</v>
      </c>
      <c r="E723" s="1460">
        <v>1</v>
      </c>
      <c r="F723" s="1461">
        <v>2</v>
      </c>
      <c r="G723" s="1472" t="s">
        <v>4515</v>
      </c>
      <c r="H723" s="1458">
        <v>1</v>
      </c>
      <c r="I723" s="1458">
        <v>1</v>
      </c>
      <c r="J723" s="1473">
        <v>2</v>
      </c>
      <c r="K723" s="1462"/>
      <c r="L723" s="1456">
        <v>13067030311</v>
      </c>
      <c r="M723" s="1457">
        <v>1</v>
      </c>
      <c r="N723" s="1457">
        <v>1</v>
      </c>
      <c r="O723" s="1457">
        <v>2</v>
      </c>
      <c r="P723" s="145"/>
      <c r="Q723" s="145"/>
      <c r="R723" s="145"/>
      <c r="S723" s="145"/>
      <c r="T723" s="392" t="s">
        <v>1582</v>
      </c>
      <c r="U723" s="392" t="s">
        <v>1252</v>
      </c>
      <c r="AA723"/>
      <c r="AB723"/>
      <c r="AC723" s="380"/>
      <c r="AD723" s="68"/>
    </row>
    <row r="724" spans="3:30" ht="10.5" customHeight="1">
      <c r="C724" s="1463" t="s">
        <v>4516</v>
      </c>
      <c r="D724" s="1460">
        <v>1</v>
      </c>
      <c r="E724" s="1460">
        <v>1</v>
      </c>
      <c r="F724" s="1461">
        <v>2</v>
      </c>
      <c r="G724" s="1472" t="s">
        <v>4516</v>
      </c>
      <c r="H724" s="1458">
        <v>1</v>
      </c>
      <c r="I724" s="1458">
        <v>1</v>
      </c>
      <c r="J724" s="1473">
        <v>2</v>
      </c>
      <c r="K724" s="1462"/>
      <c r="L724" s="1456">
        <v>13067030312</v>
      </c>
      <c r="M724" s="1457">
        <v>1</v>
      </c>
      <c r="N724" s="1457">
        <v>1</v>
      </c>
      <c r="O724" s="1457">
        <v>2</v>
      </c>
      <c r="P724" s="145"/>
      <c r="Q724" s="145"/>
      <c r="R724" s="145"/>
      <c r="S724" s="145"/>
      <c r="T724" s="236" t="s">
        <v>1583</v>
      </c>
      <c r="U724" s="236" t="s">
        <v>893</v>
      </c>
      <c r="AA724"/>
      <c r="AB724"/>
      <c r="AC724" s="68"/>
      <c r="AD724" s="68"/>
    </row>
    <row r="725" spans="3:30" ht="10.5" customHeight="1">
      <c r="C725" s="1463" t="s">
        <v>4517</v>
      </c>
      <c r="D725" s="1460">
        <v>1</v>
      </c>
      <c r="E725" s="1460">
        <v>1</v>
      </c>
      <c r="F725" s="1461">
        <v>2</v>
      </c>
      <c r="G725" s="1472" t="s">
        <v>4517</v>
      </c>
      <c r="H725" s="1458">
        <v>1</v>
      </c>
      <c r="I725" s="1458">
        <v>1</v>
      </c>
      <c r="J725" s="1473">
        <v>2</v>
      </c>
      <c r="K725" s="1462"/>
      <c r="L725" s="1456">
        <v>13067030313</v>
      </c>
      <c r="M725" s="1457">
        <v>1</v>
      </c>
      <c r="N725" s="1457">
        <v>1</v>
      </c>
      <c r="O725" s="1457">
        <v>2</v>
      </c>
      <c r="P725" s="145"/>
      <c r="Q725" s="145"/>
      <c r="R725" s="145"/>
      <c r="S725" s="145"/>
      <c r="T725" s="392" t="s">
        <v>1584</v>
      </c>
      <c r="U725" s="392" t="s">
        <v>686</v>
      </c>
      <c r="AA725"/>
      <c r="AB725"/>
      <c r="AC725" s="380"/>
      <c r="AD725" s="68"/>
    </row>
    <row r="726" spans="3:30" ht="10.5" customHeight="1">
      <c r="C726" s="1463" t="s">
        <v>4518</v>
      </c>
      <c r="D726" s="1460">
        <v>1</v>
      </c>
      <c r="E726" s="1460">
        <v>1</v>
      </c>
      <c r="F726" s="1461">
        <v>2</v>
      </c>
      <c r="G726" s="1472" t="s">
        <v>4518</v>
      </c>
      <c r="H726" s="1458">
        <v>1</v>
      </c>
      <c r="I726" s="1458">
        <v>1</v>
      </c>
      <c r="J726" s="1473">
        <v>2</v>
      </c>
      <c r="K726" s="1462"/>
      <c r="L726" s="1456">
        <v>13067030314</v>
      </c>
      <c r="M726" s="1457">
        <v>1</v>
      </c>
      <c r="N726" s="1457">
        <v>1</v>
      </c>
      <c r="O726" s="1457">
        <v>2</v>
      </c>
      <c r="P726" s="145"/>
      <c r="Q726" s="145"/>
      <c r="R726" s="145"/>
      <c r="S726" s="145"/>
      <c r="T726" s="392" t="s">
        <v>1015</v>
      </c>
      <c r="U726" s="392" t="s">
        <v>2291</v>
      </c>
      <c r="AA726"/>
      <c r="AB726"/>
      <c r="AC726" s="380"/>
      <c r="AD726" s="68"/>
    </row>
    <row r="727" spans="3:30" ht="10.5" customHeight="1">
      <c r="C727" s="1463" t="s">
        <v>4519</v>
      </c>
      <c r="D727" s="1460">
        <v>1</v>
      </c>
      <c r="E727" s="1460">
        <v>1</v>
      </c>
      <c r="F727" s="1461">
        <v>2</v>
      </c>
      <c r="G727" s="1472" t="s">
        <v>4519</v>
      </c>
      <c r="H727" s="1458">
        <v>1</v>
      </c>
      <c r="I727" s="1458">
        <v>1</v>
      </c>
      <c r="J727" s="1473">
        <v>2</v>
      </c>
      <c r="K727" s="1462"/>
      <c r="L727" s="1456">
        <v>13067030318</v>
      </c>
      <c r="M727" s="1457">
        <v>1</v>
      </c>
      <c r="N727" s="1457">
        <v>1</v>
      </c>
      <c r="O727" s="1457">
        <v>2</v>
      </c>
      <c r="P727" s="145"/>
      <c r="Q727" s="145"/>
      <c r="R727" s="145"/>
      <c r="S727" s="145"/>
      <c r="T727" s="392" t="s">
        <v>1585</v>
      </c>
      <c r="U727" s="392" t="s">
        <v>301</v>
      </c>
      <c r="AA727"/>
      <c r="AB727"/>
      <c r="AC727" s="380"/>
      <c r="AD727" s="68"/>
    </row>
    <row r="728" spans="3:30" ht="10.5" customHeight="1">
      <c r="C728" s="1463" t="s">
        <v>4520</v>
      </c>
      <c r="D728" s="1460">
        <v>1</v>
      </c>
      <c r="E728" s="1460">
        <v>1</v>
      </c>
      <c r="F728" s="1461">
        <v>2</v>
      </c>
      <c r="G728" s="1472" t="s">
        <v>4520</v>
      </c>
      <c r="H728" s="1458">
        <v>1</v>
      </c>
      <c r="I728" s="1458">
        <v>1</v>
      </c>
      <c r="J728" s="1473">
        <v>2</v>
      </c>
      <c r="K728" s="1462"/>
      <c r="L728" s="1456">
        <v>13067030319</v>
      </c>
      <c r="M728" s="1457">
        <v>1</v>
      </c>
      <c r="N728" s="1457">
        <v>1</v>
      </c>
      <c r="O728" s="1457">
        <v>2</v>
      </c>
      <c r="P728" s="145"/>
      <c r="Q728" s="145"/>
      <c r="R728" s="145"/>
      <c r="S728" s="145"/>
      <c r="T728" s="392" t="s">
        <v>1586</v>
      </c>
      <c r="U728" s="392" t="s">
        <v>315</v>
      </c>
      <c r="AA728"/>
      <c r="AB728"/>
      <c r="AC728" s="380"/>
      <c r="AD728" s="68"/>
    </row>
    <row r="729" spans="3:30" ht="10.5" customHeight="1">
      <c r="C729" s="1463" t="s">
        <v>4521</v>
      </c>
      <c r="D729" s="1460">
        <v>1</v>
      </c>
      <c r="E729" s="1460">
        <v>1</v>
      </c>
      <c r="F729" s="1461">
        <v>2</v>
      </c>
      <c r="G729" s="1472" t="s">
        <v>4521</v>
      </c>
      <c r="H729" s="1458">
        <v>1</v>
      </c>
      <c r="I729" s="1458">
        <v>1</v>
      </c>
      <c r="J729" s="1473">
        <v>2</v>
      </c>
      <c r="K729" s="1462"/>
      <c r="L729" s="1456">
        <v>13067030320</v>
      </c>
      <c r="M729" s="1457">
        <v>1</v>
      </c>
      <c r="N729" s="1457">
        <v>1</v>
      </c>
      <c r="O729" s="1457">
        <v>2</v>
      </c>
      <c r="P729" s="145"/>
      <c r="Q729" s="145"/>
      <c r="R729" s="145"/>
      <c r="S729" s="145"/>
      <c r="T729" s="392" t="s">
        <v>1587</v>
      </c>
      <c r="U729" s="392" t="s">
        <v>157</v>
      </c>
      <c r="AA729"/>
      <c r="AB729"/>
      <c r="AC729" s="380"/>
      <c r="AD729" s="68"/>
    </row>
    <row r="730" spans="3:30" ht="10.5" customHeight="1">
      <c r="C730" s="1463" t="s">
        <v>4522</v>
      </c>
      <c r="D730" s="1460">
        <v>1</v>
      </c>
      <c r="E730" s="1460">
        <v>1</v>
      </c>
      <c r="F730" s="1461">
        <v>2</v>
      </c>
      <c r="G730" s="1472" t="s">
        <v>4522</v>
      </c>
      <c r="H730" s="1458">
        <v>1</v>
      </c>
      <c r="I730" s="1458">
        <v>1</v>
      </c>
      <c r="J730" s="1473">
        <v>2</v>
      </c>
      <c r="K730" s="1462"/>
      <c r="L730" s="1456">
        <v>13067030322</v>
      </c>
      <c r="M730" s="1457">
        <v>1</v>
      </c>
      <c r="N730" s="1457">
        <v>1</v>
      </c>
      <c r="O730" s="1457">
        <v>2</v>
      </c>
      <c r="P730" s="145"/>
      <c r="Q730" s="145"/>
      <c r="R730" s="145"/>
      <c r="S730" s="145"/>
      <c r="T730" s="392" t="s">
        <v>1588</v>
      </c>
      <c r="U730" s="392" t="s">
        <v>1864</v>
      </c>
      <c r="AA730"/>
      <c r="AB730"/>
      <c r="AC730" s="380"/>
      <c r="AD730" s="68"/>
    </row>
    <row r="731" spans="3:30" ht="10.5" customHeight="1">
      <c r="C731" s="1463" t="s">
        <v>4523</v>
      </c>
      <c r="D731" s="1460">
        <v>1</v>
      </c>
      <c r="E731" s="1460">
        <v>1</v>
      </c>
      <c r="F731" s="1461">
        <v>2</v>
      </c>
      <c r="G731" s="1472" t="s">
        <v>4523</v>
      </c>
      <c r="H731" s="1458">
        <v>1</v>
      </c>
      <c r="I731" s="1458">
        <v>1</v>
      </c>
      <c r="J731" s="1473">
        <v>2</v>
      </c>
      <c r="K731" s="1462"/>
      <c r="L731" s="1456">
        <v>13067030324</v>
      </c>
      <c r="M731" s="1457">
        <v>1</v>
      </c>
      <c r="N731" s="1457">
        <v>1</v>
      </c>
      <c r="O731" s="1457">
        <v>2</v>
      </c>
      <c r="P731" s="145"/>
      <c r="Q731" s="145"/>
      <c r="R731" s="145"/>
      <c r="S731" s="145"/>
      <c r="T731" s="392" t="s">
        <v>1589</v>
      </c>
      <c r="U731" s="392" t="s">
        <v>1367</v>
      </c>
      <c r="AA731"/>
      <c r="AB731"/>
      <c r="AC731" s="380"/>
      <c r="AD731" s="68"/>
    </row>
    <row r="732" spans="3:30" ht="10.5" customHeight="1">
      <c r="C732" s="1463" t="s">
        <v>4524</v>
      </c>
      <c r="D732" s="1460">
        <v>1</v>
      </c>
      <c r="E732" s="1460">
        <v>1</v>
      </c>
      <c r="F732" s="1461">
        <v>2</v>
      </c>
      <c r="G732" s="1472" t="s">
        <v>4524</v>
      </c>
      <c r="H732" s="1458">
        <v>1</v>
      </c>
      <c r="I732" s="1458">
        <v>1</v>
      </c>
      <c r="J732" s="1473">
        <v>2</v>
      </c>
      <c r="K732" s="1462"/>
      <c r="L732" s="1456">
        <v>13067030326</v>
      </c>
      <c r="M732" s="1457">
        <v>1</v>
      </c>
      <c r="N732" s="1457">
        <v>1</v>
      </c>
      <c r="O732" s="1457">
        <v>2</v>
      </c>
      <c r="P732" s="145"/>
      <c r="Q732" s="145"/>
      <c r="R732" s="145"/>
      <c r="S732" s="145"/>
      <c r="T732" s="392" t="s">
        <v>1590</v>
      </c>
      <c r="U732" s="392" t="s">
        <v>1740</v>
      </c>
      <c r="AA732"/>
      <c r="AB732"/>
      <c r="AC732" s="380"/>
      <c r="AD732" s="68"/>
    </row>
    <row r="733" spans="3:30" ht="10.5" customHeight="1">
      <c r="C733" s="1463" t="s">
        <v>4525</v>
      </c>
      <c r="D733" s="1460">
        <v>1</v>
      </c>
      <c r="E733" s="1460">
        <v>1</v>
      </c>
      <c r="F733" s="1461">
        <v>2</v>
      </c>
      <c r="G733" s="1472" t="s">
        <v>4525</v>
      </c>
      <c r="H733" s="1458">
        <v>1</v>
      </c>
      <c r="I733" s="1458">
        <v>1</v>
      </c>
      <c r="J733" s="1473">
        <v>2</v>
      </c>
      <c r="K733" s="1462"/>
      <c r="L733" s="1456">
        <v>13067030327</v>
      </c>
      <c r="M733" s="1457">
        <v>1</v>
      </c>
      <c r="N733" s="1457">
        <v>1</v>
      </c>
      <c r="O733" s="1457">
        <v>2</v>
      </c>
      <c r="P733" s="145"/>
      <c r="Q733" s="145"/>
      <c r="R733" s="145"/>
      <c r="S733" s="145"/>
      <c r="T733" s="392" t="s">
        <v>1591</v>
      </c>
      <c r="U733" s="392" t="s">
        <v>307</v>
      </c>
      <c r="AA733"/>
      <c r="AB733"/>
      <c r="AC733" s="380"/>
      <c r="AD733" s="68"/>
    </row>
    <row r="734" spans="3:30" ht="10.5" customHeight="1">
      <c r="C734" s="1463" t="s">
        <v>4526</v>
      </c>
      <c r="D734" s="1460">
        <v>1</v>
      </c>
      <c r="E734" s="1460">
        <v>1</v>
      </c>
      <c r="F734" s="1461">
        <v>2</v>
      </c>
      <c r="G734" s="1472" t="s">
        <v>4526</v>
      </c>
      <c r="H734" s="1458">
        <v>1</v>
      </c>
      <c r="I734" s="1458">
        <v>1</v>
      </c>
      <c r="J734" s="1473">
        <v>2</v>
      </c>
      <c r="K734" s="1462"/>
      <c r="L734" s="1456">
        <v>13067030328</v>
      </c>
      <c r="M734" s="1457">
        <v>1</v>
      </c>
      <c r="N734" s="1457">
        <v>1</v>
      </c>
      <c r="O734" s="1457">
        <v>2</v>
      </c>
      <c r="P734" s="145"/>
      <c r="Q734" s="145"/>
      <c r="R734" s="145"/>
      <c r="S734" s="145"/>
      <c r="T734" s="392" t="s">
        <v>1592</v>
      </c>
      <c r="U734" s="392" t="s">
        <v>98</v>
      </c>
      <c r="AA734"/>
      <c r="AB734"/>
      <c r="AC734" s="380"/>
      <c r="AD734" s="68"/>
    </row>
    <row r="735" spans="3:30" ht="10.5" customHeight="1">
      <c r="C735" s="1463" t="s">
        <v>4527</v>
      </c>
      <c r="D735" s="1460">
        <v>1</v>
      </c>
      <c r="E735" s="1460">
        <v>1</v>
      </c>
      <c r="F735" s="1461">
        <v>2</v>
      </c>
      <c r="G735" s="1472" t="s">
        <v>4527</v>
      </c>
      <c r="H735" s="1458">
        <v>1</v>
      </c>
      <c r="I735" s="1458">
        <v>1</v>
      </c>
      <c r="J735" s="1473">
        <v>2</v>
      </c>
      <c r="K735" s="1462"/>
      <c r="L735" s="1456">
        <v>13067030329</v>
      </c>
      <c r="M735" s="1457">
        <v>1</v>
      </c>
      <c r="N735" s="1457">
        <v>1</v>
      </c>
      <c r="O735" s="1457">
        <v>2</v>
      </c>
      <c r="P735" s="145"/>
      <c r="Q735" s="145"/>
      <c r="R735" s="145"/>
      <c r="S735" s="145"/>
      <c r="T735" s="392" t="s">
        <v>281</v>
      </c>
      <c r="U735" s="392" t="s">
        <v>2213</v>
      </c>
      <c r="AA735"/>
      <c r="AB735"/>
      <c r="AC735" s="380"/>
      <c r="AD735" s="68"/>
    </row>
    <row r="736" spans="3:30" ht="10.5" customHeight="1">
      <c r="C736" s="1463" t="s">
        <v>4528</v>
      </c>
      <c r="D736" s="1460">
        <v>1</v>
      </c>
      <c r="E736" s="1460">
        <v>1</v>
      </c>
      <c r="F736" s="1461">
        <v>2</v>
      </c>
      <c r="G736" s="1472" t="s">
        <v>4528</v>
      </c>
      <c r="H736" s="1458">
        <v>1</v>
      </c>
      <c r="I736" s="1458">
        <v>1</v>
      </c>
      <c r="J736" s="1473">
        <v>2</v>
      </c>
      <c r="K736" s="1462"/>
      <c r="L736" s="1456">
        <v>13067030330</v>
      </c>
      <c r="M736" s="1457">
        <v>1</v>
      </c>
      <c r="N736" s="1457">
        <v>1</v>
      </c>
      <c r="O736" s="1457">
        <v>2</v>
      </c>
      <c r="P736" s="145"/>
      <c r="Q736" s="145"/>
      <c r="R736" s="145"/>
      <c r="S736" s="145"/>
      <c r="T736" s="392" t="s">
        <v>100</v>
      </c>
      <c r="U736" s="392" t="s">
        <v>2209</v>
      </c>
      <c r="AA736"/>
      <c r="AB736"/>
      <c r="AC736" s="380"/>
      <c r="AD736" s="68"/>
    </row>
    <row r="737" spans="3:30" ht="10.5" customHeight="1">
      <c r="C737" s="1463" t="s">
        <v>4529</v>
      </c>
      <c r="D737" s="1460">
        <v>1</v>
      </c>
      <c r="E737" s="1460">
        <v>1</v>
      </c>
      <c r="F737" s="1461">
        <v>2</v>
      </c>
      <c r="G737" s="1472" t="s">
        <v>4529</v>
      </c>
      <c r="H737" s="1458">
        <v>1</v>
      </c>
      <c r="I737" s="1458">
        <v>1</v>
      </c>
      <c r="J737" s="1473">
        <v>2</v>
      </c>
      <c r="K737" s="1462"/>
      <c r="L737" s="1456">
        <v>13067030331</v>
      </c>
      <c r="M737" s="1457">
        <v>1</v>
      </c>
      <c r="N737" s="1457">
        <v>1</v>
      </c>
      <c r="O737" s="1457">
        <v>2</v>
      </c>
      <c r="P737" s="145"/>
      <c r="Q737" s="145"/>
      <c r="R737" s="145"/>
      <c r="S737" s="145"/>
      <c r="T737" s="392" t="s">
        <v>282</v>
      </c>
      <c r="U737" s="392" t="s">
        <v>2385</v>
      </c>
      <c r="AA737"/>
      <c r="AB737"/>
      <c r="AC737" s="380"/>
      <c r="AD737" s="68"/>
    </row>
    <row r="738" spans="3:30" ht="10.5" customHeight="1">
      <c r="C738" s="1463" t="s">
        <v>4530</v>
      </c>
      <c r="D738" s="1460">
        <v>1</v>
      </c>
      <c r="E738" s="1460">
        <v>1</v>
      </c>
      <c r="F738" s="1461">
        <v>2</v>
      </c>
      <c r="G738" s="1472" t="s">
        <v>4530</v>
      </c>
      <c r="H738" s="1458">
        <v>1</v>
      </c>
      <c r="I738" s="1458">
        <v>1</v>
      </c>
      <c r="J738" s="1473">
        <v>2</v>
      </c>
      <c r="K738" s="1462"/>
      <c r="L738" s="1456">
        <v>13067030332</v>
      </c>
      <c r="M738" s="1457">
        <v>1</v>
      </c>
      <c r="N738" s="1457">
        <v>1</v>
      </c>
      <c r="O738" s="1457">
        <v>2</v>
      </c>
      <c r="P738" s="145"/>
      <c r="Q738" s="145"/>
      <c r="R738" s="145"/>
      <c r="S738" s="145"/>
      <c r="T738" s="236" t="s">
        <v>283</v>
      </c>
      <c r="U738" s="236" t="s">
        <v>302</v>
      </c>
      <c r="AA738"/>
      <c r="AB738"/>
      <c r="AC738" s="68"/>
      <c r="AD738" s="68"/>
    </row>
    <row r="739" spans="3:30" ht="10.5" customHeight="1">
      <c r="C739" s="1463" t="s">
        <v>4531</v>
      </c>
      <c r="D739" s="1460">
        <v>1</v>
      </c>
      <c r="E739" s="1460">
        <v>1</v>
      </c>
      <c r="F739" s="1461">
        <v>2</v>
      </c>
      <c r="G739" s="1472" t="s">
        <v>4531</v>
      </c>
      <c r="H739" s="1458">
        <v>1</v>
      </c>
      <c r="I739" s="1458">
        <v>1</v>
      </c>
      <c r="J739" s="1473">
        <v>2</v>
      </c>
      <c r="K739" s="1462"/>
      <c r="L739" s="1456">
        <v>13067030333</v>
      </c>
      <c r="M739" s="1457">
        <v>1</v>
      </c>
      <c r="N739" s="1457">
        <v>1</v>
      </c>
      <c r="O739" s="1457">
        <v>2</v>
      </c>
      <c r="P739" s="145"/>
      <c r="Q739" s="145"/>
      <c r="R739" s="145"/>
      <c r="S739" s="145"/>
      <c r="T739" s="392" t="s">
        <v>284</v>
      </c>
      <c r="U739" s="392" t="s">
        <v>1865</v>
      </c>
      <c r="AA739"/>
      <c r="AB739"/>
      <c r="AC739" s="380"/>
      <c r="AD739" s="68"/>
    </row>
    <row r="740" spans="3:30" ht="13.5">
      <c r="C740" s="1463" t="s">
        <v>4532</v>
      </c>
      <c r="D740" s="1460">
        <v>1</v>
      </c>
      <c r="E740" s="1460">
        <v>1</v>
      </c>
      <c r="F740" s="1461">
        <v>2</v>
      </c>
      <c r="G740" s="1472" t="s">
        <v>4532</v>
      </c>
      <c r="H740" s="1458">
        <v>1</v>
      </c>
      <c r="I740" s="1458">
        <v>1</v>
      </c>
      <c r="J740" s="1473">
        <v>2</v>
      </c>
      <c r="K740" s="1462"/>
      <c r="L740" s="1456">
        <v>13067030334</v>
      </c>
      <c r="M740" s="1457">
        <v>1</v>
      </c>
      <c r="N740" s="1457">
        <v>1</v>
      </c>
      <c r="O740" s="1457">
        <v>2</v>
      </c>
      <c r="P740" s="145"/>
      <c r="Q740" s="145"/>
      <c r="R740" s="145"/>
      <c r="S740" s="145"/>
      <c r="T740" s="392" t="s">
        <v>285</v>
      </c>
      <c r="U740" s="236" t="s">
        <v>1252</v>
      </c>
      <c r="AA740"/>
      <c r="AB740"/>
      <c r="AC740" s="380"/>
      <c r="AD740" s="68"/>
    </row>
    <row r="741" spans="3:30" ht="13.5">
      <c r="C741" s="1463" t="s">
        <v>4533</v>
      </c>
      <c r="D741" s="1460">
        <v>1</v>
      </c>
      <c r="E741" s="1460">
        <v>1</v>
      </c>
      <c r="F741" s="1461">
        <v>2</v>
      </c>
      <c r="G741" s="1472" t="s">
        <v>4533</v>
      </c>
      <c r="H741" s="1458">
        <v>1</v>
      </c>
      <c r="I741" s="1458">
        <v>1</v>
      </c>
      <c r="J741" s="1473">
        <v>2</v>
      </c>
      <c r="K741" s="1462"/>
      <c r="L741" s="1456">
        <v>13067030335</v>
      </c>
      <c r="M741" s="1457">
        <v>1</v>
      </c>
      <c r="N741" s="1457">
        <v>1</v>
      </c>
      <c r="O741" s="1457">
        <v>2</v>
      </c>
      <c r="P741" s="145"/>
      <c r="Q741" s="145"/>
      <c r="R741" s="145"/>
      <c r="S741" s="145"/>
      <c r="T741" s="236" t="s">
        <v>286</v>
      </c>
      <c r="U741" s="236" t="s">
        <v>1776</v>
      </c>
      <c r="AA741"/>
      <c r="AB741"/>
      <c r="AC741" s="68"/>
      <c r="AD741" s="68"/>
    </row>
    <row r="742" spans="3:30" ht="13.5">
      <c r="C742" s="1463" t="s">
        <v>4534</v>
      </c>
      <c r="D742" s="1460">
        <v>1</v>
      </c>
      <c r="E742" s="1460">
        <v>1</v>
      </c>
      <c r="F742" s="1461">
        <v>2</v>
      </c>
      <c r="G742" s="1472" t="s">
        <v>4534</v>
      </c>
      <c r="H742" s="1458">
        <v>1</v>
      </c>
      <c r="I742" s="1458" t="s">
        <v>3911</v>
      </c>
      <c r="J742" s="1473">
        <v>1</v>
      </c>
      <c r="K742" s="1462"/>
      <c r="L742" s="1456">
        <v>13067030336</v>
      </c>
      <c r="M742" s="1457">
        <v>1</v>
      </c>
      <c r="N742" s="1457">
        <v>1</v>
      </c>
      <c r="O742" s="1457">
        <v>2</v>
      </c>
      <c r="P742" s="145"/>
      <c r="Q742" s="145"/>
      <c r="R742" s="145"/>
      <c r="S742" s="145"/>
      <c r="T742" s="236" t="s">
        <v>287</v>
      </c>
      <c r="U742" s="236" t="s">
        <v>104</v>
      </c>
      <c r="AA742"/>
      <c r="AB742"/>
      <c r="AC742" s="68"/>
      <c r="AD742" s="68"/>
    </row>
    <row r="743" spans="3:30" ht="13.5">
      <c r="C743" s="1463" t="s">
        <v>4535</v>
      </c>
      <c r="D743" s="1460">
        <v>1</v>
      </c>
      <c r="E743" s="1460">
        <v>1</v>
      </c>
      <c r="F743" s="1461">
        <v>2</v>
      </c>
      <c r="G743" s="1472" t="s">
        <v>4535</v>
      </c>
      <c r="H743" s="1458">
        <v>1</v>
      </c>
      <c r="I743" s="1458">
        <v>1</v>
      </c>
      <c r="J743" s="1473">
        <v>2</v>
      </c>
      <c r="K743" s="1462"/>
      <c r="L743" s="1456">
        <v>13067030337</v>
      </c>
      <c r="M743" s="1457">
        <v>1</v>
      </c>
      <c r="N743" s="1457">
        <v>1</v>
      </c>
      <c r="O743" s="1457">
        <v>2</v>
      </c>
      <c r="P743" s="145"/>
      <c r="Q743" s="145"/>
      <c r="R743" s="145"/>
      <c r="S743" s="145"/>
      <c r="T743" s="236" t="s">
        <v>288</v>
      </c>
      <c r="U743" s="236" t="s">
        <v>623</v>
      </c>
      <c r="AA743"/>
      <c r="AB743"/>
      <c r="AC743" s="68"/>
      <c r="AD743" s="68"/>
    </row>
    <row r="744" spans="3:30" ht="13.5">
      <c r="C744" s="1463" t="s">
        <v>4536</v>
      </c>
      <c r="D744" s="1460">
        <v>1</v>
      </c>
      <c r="E744" s="1460">
        <v>1</v>
      </c>
      <c r="F744" s="1461">
        <v>2</v>
      </c>
      <c r="G744" s="1472" t="s">
        <v>4536</v>
      </c>
      <c r="H744" s="1458">
        <v>1</v>
      </c>
      <c r="I744" s="1458" t="s">
        <v>3911</v>
      </c>
      <c r="J744" s="1473">
        <v>1</v>
      </c>
      <c r="K744" s="1462"/>
      <c r="L744" s="1456">
        <v>13067030339</v>
      </c>
      <c r="M744" s="1457">
        <v>1</v>
      </c>
      <c r="N744" s="1457">
        <v>1</v>
      </c>
      <c r="O744" s="1457">
        <v>2</v>
      </c>
      <c r="P744" s="145"/>
      <c r="Q744" s="145"/>
      <c r="R744" s="145"/>
      <c r="S744" s="145"/>
      <c r="T744" s="236" t="s">
        <v>108</v>
      </c>
      <c r="U744" s="236" t="s">
        <v>1237</v>
      </c>
      <c r="AA744"/>
      <c r="AB744"/>
      <c r="AC744" s="68"/>
      <c r="AD744" s="68"/>
    </row>
    <row r="745" spans="3:30" ht="13.5">
      <c r="C745" s="1463" t="s">
        <v>4537</v>
      </c>
      <c r="D745" s="1460">
        <v>1</v>
      </c>
      <c r="E745" s="1460">
        <v>1</v>
      </c>
      <c r="F745" s="1461">
        <v>2</v>
      </c>
      <c r="G745" s="1472" t="s">
        <v>4537</v>
      </c>
      <c r="H745" s="1458">
        <v>1</v>
      </c>
      <c r="I745" s="1458">
        <v>1</v>
      </c>
      <c r="J745" s="1473">
        <v>2</v>
      </c>
      <c r="K745" s="1462"/>
      <c r="L745" s="1456">
        <v>13067030340</v>
      </c>
      <c r="M745" s="1457">
        <v>1</v>
      </c>
      <c r="N745" s="1457">
        <v>1</v>
      </c>
      <c r="O745" s="1457">
        <v>2</v>
      </c>
      <c r="P745" s="145"/>
      <c r="Q745" s="145"/>
      <c r="R745" s="145"/>
      <c r="S745" s="145"/>
      <c r="T745" s="236" t="s">
        <v>1439</v>
      </c>
      <c r="U745" s="236" t="s">
        <v>625</v>
      </c>
      <c r="AA745"/>
      <c r="AB745"/>
      <c r="AC745" s="68"/>
      <c r="AD745" s="68"/>
    </row>
    <row r="746" spans="3:30" ht="13.5">
      <c r="C746" s="1463" t="s">
        <v>4538</v>
      </c>
      <c r="D746" s="1460">
        <v>1</v>
      </c>
      <c r="E746" s="1460">
        <v>1</v>
      </c>
      <c r="F746" s="1461">
        <v>2</v>
      </c>
      <c r="G746" s="1472" t="s">
        <v>4538</v>
      </c>
      <c r="H746" s="1458">
        <v>1</v>
      </c>
      <c r="I746" s="1458">
        <v>1</v>
      </c>
      <c r="J746" s="1473">
        <v>2</v>
      </c>
      <c r="K746" s="1462"/>
      <c r="L746" s="1456">
        <v>13067030341</v>
      </c>
      <c r="M746" s="1457">
        <v>1</v>
      </c>
      <c r="N746" s="1457">
        <v>1</v>
      </c>
      <c r="O746" s="1457">
        <v>2</v>
      </c>
      <c r="P746" s="145"/>
      <c r="Q746" s="145"/>
      <c r="R746" s="145"/>
      <c r="S746" s="145"/>
      <c r="T746" s="236" t="s">
        <v>1016</v>
      </c>
      <c r="U746" s="236" t="s">
        <v>152</v>
      </c>
      <c r="AA746"/>
      <c r="AB746"/>
      <c r="AC746" s="68"/>
      <c r="AD746" s="68"/>
    </row>
    <row r="747" spans="3:30" ht="13.5">
      <c r="C747" s="1463" t="s">
        <v>4539</v>
      </c>
      <c r="D747" s="1460">
        <v>1</v>
      </c>
      <c r="E747" s="1460">
        <v>1</v>
      </c>
      <c r="F747" s="1461">
        <v>2</v>
      </c>
      <c r="G747" s="1472" t="s">
        <v>4539</v>
      </c>
      <c r="H747" s="1458">
        <v>1</v>
      </c>
      <c r="I747" s="1458">
        <v>1</v>
      </c>
      <c r="J747" s="1473">
        <v>2</v>
      </c>
      <c r="K747" s="1462"/>
      <c r="L747" s="1456">
        <v>13067030342</v>
      </c>
      <c r="M747" s="1457">
        <v>1</v>
      </c>
      <c r="N747" s="1457">
        <v>1</v>
      </c>
      <c r="O747" s="1457">
        <v>2</v>
      </c>
      <c r="P747" s="145"/>
      <c r="Q747" s="145"/>
      <c r="R747" s="145"/>
      <c r="S747" s="145"/>
      <c r="T747" s="236" t="s">
        <v>1440</v>
      </c>
      <c r="U747" s="236" t="s">
        <v>686</v>
      </c>
      <c r="AA747"/>
      <c r="AB747"/>
      <c r="AC747" s="68"/>
      <c r="AD747" s="68"/>
    </row>
    <row r="748" spans="3:30" ht="13.5">
      <c r="C748" s="1463" t="s">
        <v>4540</v>
      </c>
      <c r="D748" s="1460">
        <v>1</v>
      </c>
      <c r="E748" s="1460">
        <v>1</v>
      </c>
      <c r="F748" s="1461">
        <v>2</v>
      </c>
      <c r="G748" s="1472" t="s">
        <v>4540</v>
      </c>
      <c r="H748" s="1458">
        <v>1</v>
      </c>
      <c r="I748" s="1458">
        <v>1</v>
      </c>
      <c r="J748" s="1473">
        <v>2</v>
      </c>
      <c r="K748" s="1462"/>
      <c r="L748" s="1456">
        <v>13067030343</v>
      </c>
      <c r="M748" s="1457">
        <v>1</v>
      </c>
      <c r="N748" s="1457">
        <v>1</v>
      </c>
      <c r="O748" s="1457">
        <v>2</v>
      </c>
      <c r="P748" s="145"/>
      <c r="Q748" s="145"/>
      <c r="R748" s="145"/>
      <c r="S748" s="145"/>
      <c r="T748" s="236" t="s">
        <v>1441</v>
      </c>
      <c r="U748" s="236" t="s">
        <v>1653</v>
      </c>
      <c r="AA748"/>
      <c r="AB748"/>
      <c r="AC748" s="68"/>
      <c r="AD748" s="68"/>
    </row>
    <row r="749" spans="3:30" ht="13.5">
      <c r="C749" s="1463" t="s">
        <v>4541</v>
      </c>
      <c r="D749" s="1460">
        <v>1</v>
      </c>
      <c r="E749" s="1460">
        <v>1</v>
      </c>
      <c r="F749" s="1461">
        <v>2</v>
      </c>
      <c r="G749" s="1472" t="s">
        <v>4541</v>
      </c>
      <c r="H749" s="1458">
        <v>1</v>
      </c>
      <c r="I749" s="1458">
        <v>0</v>
      </c>
      <c r="J749" s="1473">
        <v>1</v>
      </c>
      <c r="K749" s="1462"/>
      <c r="L749" s="1456">
        <v>13067030344</v>
      </c>
      <c r="M749" s="1457">
        <v>1</v>
      </c>
      <c r="N749" s="1457">
        <v>1</v>
      </c>
      <c r="O749" s="1457">
        <v>2</v>
      </c>
      <c r="P749" s="145"/>
      <c r="Q749" s="145"/>
      <c r="R749" s="145"/>
      <c r="S749" s="145"/>
      <c r="T749" s="236" t="s">
        <v>1442</v>
      </c>
      <c r="U749" s="236" t="s">
        <v>1032</v>
      </c>
      <c r="AA749"/>
      <c r="AB749"/>
      <c r="AC749" s="68"/>
      <c r="AD749" s="68"/>
    </row>
    <row r="750" spans="3:30" ht="13.5">
      <c r="C750" s="1463" t="s">
        <v>4542</v>
      </c>
      <c r="D750" s="1460">
        <v>1</v>
      </c>
      <c r="E750" s="1460">
        <v>1</v>
      </c>
      <c r="F750" s="1461">
        <v>2</v>
      </c>
      <c r="G750" s="1472" t="s">
        <v>4542</v>
      </c>
      <c r="H750" s="1458">
        <v>1</v>
      </c>
      <c r="I750" s="1458">
        <v>0</v>
      </c>
      <c r="J750" s="1473">
        <v>1</v>
      </c>
      <c r="K750" s="1462"/>
      <c r="L750" s="1456">
        <v>13067030345</v>
      </c>
      <c r="M750" s="1457">
        <v>1</v>
      </c>
      <c r="N750" s="1457">
        <v>1</v>
      </c>
      <c r="O750" s="1457">
        <v>2</v>
      </c>
      <c r="P750" s="145"/>
      <c r="Q750" s="145"/>
      <c r="R750" s="145"/>
      <c r="S750" s="145"/>
      <c r="T750" s="236" t="s">
        <v>1017</v>
      </c>
      <c r="U750" s="236" t="s">
        <v>152</v>
      </c>
      <c r="AA750"/>
      <c r="AB750"/>
      <c r="AC750" s="68"/>
      <c r="AD750" s="68"/>
    </row>
    <row r="751" spans="3:30" ht="13.5">
      <c r="C751" s="1463" t="s">
        <v>4543</v>
      </c>
      <c r="D751" s="1460">
        <v>1</v>
      </c>
      <c r="E751" s="1460">
        <v>0</v>
      </c>
      <c r="F751" s="1461">
        <v>1</v>
      </c>
      <c r="G751" s="1472" t="s">
        <v>4543</v>
      </c>
      <c r="H751" s="1458">
        <v>1</v>
      </c>
      <c r="I751" s="1458">
        <v>0</v>
      </c>
      <c r="J751" s="1473">
        <v>1</v>
      </c>
      <c r="K751" s="1462"/>
      <c r="L751" s="1456">
        <v>13067030405</v>
      </c>
      <c r="M751" s="1457">
        <v>1</v>
      </c>
      <c r="N751" s="1457">
        <v>0</v>
      </c>
      <c r="O751" s="1457">
        <v>1</v>
      </c>
      <c r="P751" s="145"/>
      <c r="Q751" s="145"/>
      <c r="R751" s="145"/>
      <c r="S751" s="145"/>
      <c r="T751" s="236" t="s">
        <v>1443</v>
      </c>
      <c r="U751" s="236" t="s">
        <v>1236</v>
      </c>
      <c r="AA751"/>
      <c r="AB751"/>
      <c r="AC751" s="68"/>
      <c r="AD751" s="68"/>
    </row>
    <row r="752" spans="3:30" ht="13.5">
      <c r="C752" s="1463" t="s">
        <v>4544</v>
      </c>
      <c r="D752" s="1460">
        <v>1</v>
      </c>
      <c r="E752" s="1460">
        <v>1</v>
      </c>
      <c r="F752" s="1461">
        <v>2</v>
      </c>
      <c r="G752" s="1472" t="s">
        <v>4544</v>
      </c>
      <c r="H752" s="1458">
        <v>1</v>
      </c>
      <c r="I752" s="1458">
        <v>1</v>
      </c>
      <c r="J752" s="1473">
        <v>2</v>
      </c>
      <c r="K752" s="1462"/>
      <c r="L752" s="1456">
        <v>13067030407</v>
      </c>
      <c r="M752" s="1457">
        <v>1</v>
      </c>
      <c r="N752" s="1457">
        <v>1</v>
      </c>
      <c r="O752" s="1457">
        <v>2</v>
      </c>
      <c r="P752" s="145"/>
      <c r="Q752" s="145"/>
      <c r="R752" s="145"/>
      <c r="S752" s="145"/>
      <c r="T752" s="236" t="s">
        <v>1444</v>
      </c>
      <c r="U752" s="236" t="s">
        <v>158</v>
      </c>
      <c r="AA752"/>
      <c r="AB752"/>
      <c r="AC752" s="68"/>
      <c r="AD752" s="68"/>
    </row>
    <row r="753" spans="3:30" ht="13.5">
      <c r="C753" s="1463" t="s">
        <v>4545</v>
      </c>
      <c r="D753" s="1460">
        <v>1</v>
      </c>
      <c r="E753" s="1460">
        <v>1</v>
      </c>
      <c r="F753" s="1461">
        <v>2</v>
      </c>
      <c r="G753" s="1472" t="s">
        <v>4545</v>
      </c>
      <c r="H753" s="1458">
        <v>1</v>
      </c>
      <c r="I753" s="1458">
        <v>1</v>
      </c>
      <c r="J753" s="1473">
        <v>2</v>
      </c>
      <c r="K753" s="1462"/>
      <c r="L753" s="1456">
        <v>13067030408</v>
      </c>
      <c r="M753" s="1457">
        <v>1</v>
      </c>
      <c r="N753" s="1457">
        <v>1</v>
      </c>
      <c r="O753" s="1457">
        <v>2</v>
      </c>
      <c r="P753" s="145"/>
      <c r="Q753" s="145"/>
      <c r="R753" s="145"/>
      <c r="S753" s="145"/>
      <c r="T753" s="236" t="s">
        <v>1445</v>
      </c>
      <c r="U753" s="236" t="s">
        <v>1257</v>
      </c>
      <c r="AA753"/>
      <c r="AB753"/>
      <c r="AC753" s="68"/>
      <c r="AD753" s="68"/>
    </row>
    <row r="754" spans="3:30" ht="13.5">
      <c r="C754" s="1463" t="s">
        <v>4546</v>
      </c>
      <c r="D754" s="1460">
        <v>1</v>
      </c>
      <c r="E754" s="1460">
        <v>1</v>
      </c>
      <c r="F754" s="1461">
        <v>2</v>
      </c>
      <c r="G754" s="1472" t="s">
        <v>4546</v>
      </c>
      <c r="H754" s="1458">
        <v>1</v>
      </c>
      <c r="I754" s="1458">
        <v>1</v>
      </c>
      <c r="J754" s="1473">
        <v>2</v>
      </c>
      <c r="K754" s="1462"/>
      <c r="L754" s="1456">
        <v>13067030409</v>
      </c>
      <c r="M754" s="1457">
        <v>1</v>
      </c>
      <c r="N754" s="1457">
        <v>1</v>
      </c>
      <c r="O754" s="1457">
        <v>2</v>
      </c>
      <c r="P754" s="145"/>
      <c r="Q754" s="145"/>
      <c r="R754" s="145"/>
      <c r="S754" s="145"/>
      <c r="T754" s="236" t="s">
        <v>1446</v>
      </c>
      <c r="U754" s="236" t="s">
        <v>1740</v>
      </c>
      <c r="AA754"/>
      <c r="AB754"/>
      <c r="AC754" s="68"/>
      <c r="AD754" s="68"/>
    </row>
    <row r="755" spans="3:30" ht="13.5">
      <c r="C755" s="1463" t="s">
        <v>4547</v>
      </c>
      <c r="D755" s="1460">
        <v>1</v>
      </c>
      <c r="E755" s="1460">
        <v>1</v>
      </c>
      <c r="F755" s="1461">
        <v>2</v>
      </c>
      <c r="G755" s="1472" t="s">
        <v>4547</v>
      </c>
      <c r="H755" s="1458">
        <v>1</v>
      </c>
      <c r="I755" s="1458">
        <v>1</v>
      </c>
      <c r="J755" s="1473">
        <v>2</v>
      </c>
      <c r="K755" s="1462"/>
      <c r="L755" s="1456">
        <v>13067030410</v>
      </c>
      <c r="M755" s="1457">
        <v>1</v>
      </c>
      <c r="N755" s="1457">
        <v>1</v>
      </c>
      <c r="O755" s="1457">
        <v>2</v>
      </c>
      <c r="P755" s="145"/>
      <c r="Q755" s="145"/>
      <c r="R755" s="145"/>
      <c r="S755" s="145"/>
      <c r="T755" s="236" t="s">
        <v>1447</v>
      </c>
      <c r="U755" s="236" t="s">
        <v>2023</v>
      </c>
      <c r="AA755"/>
      <c r="AB755"/>
      <c r="AC755" s="68"/>
      <c r="AD755" s="68"/>
    </row>
    <row r="756" spans="3:30" ht="13.5">
      <c r="C756" s="1463" t="s">
        <v>4548</v>
      </c>
      <c r="D756" s="1460">
        <v>0</v>
      </c>
      <c r="E756" s="1460">
        <v>0</v>
      </c>
      <c r="F756" s="1461">
        <v>0</v>
      </c>
      <c r="G756" s="1472" t="s">
        <v>4548</v>
      </c>
      <c r="H756" s="1458">
        <v>0</v>
      </c>
      <c r="I756" s="1458" t="s">
        <v>3911</v>
      </c>
      <c r="J756" s="1473">
        <v>0</v>
      </c>
      <c r="K756" s="1462"/>
      <c r="L756" s="1456">
        <v>13067030411</v>
      </c>
      <c r="M756" s="1457">
        <v>0</v>
      </c>
      <c r="N756" s="1457">
        <v>0</v>
      </c>
      <c r="O756" s="1457">
        <v>0</v>
      </c>
      <c r="P756" s="145"/>
      <c r="Q756" s="145"/>
      <c r="R756" s="145"/>
      <c r="S756" s="145"/>
      <c r="T756" s="236" t="s">
        <v>1448</v>
      </c>
      <c r="U756" s="236" t="s">
        <v>157</v>
      </c>
      <c r="AA756"/>
      <c r="AB756"/>
      <c r="AC756" s="68"/>
      <c r="AD756" s="68"/>
    </row>
    <row r="757" spans="3:30" ht="13.5">
      <c r="C757" s="1463" t="s">
        <v>4549</v>
      </c>
      <c r="D757" s="1460">
        <v>0</v>
      </c>
      <c r="E757" s="1460">
        <v>0</v>
      </c>
      <c r="F757" s="1461">
        <v>0</v>
      </c>
      <c r="G757" s="1472" t="s">
        <v>4549</v>
      </c>
      <c r="H757" s="1458">
        <v>0</v>
      </c>
      <c r="I757" s="1458">
        <v>0</v>
      </c>
      <c r="J757" s="1473">
        <v>0</v>
      </c>
      <c r="K757" s="1462"/>
      <c r="L757" s="1456">
        <v>13067030412</v>
      </c>
      <c r="M757" s="1457">
        <v>0</v>
      </c>
      <c r="N757" s="1457">
        <v>0</v>
      </c>
      <c r="O757" s="1457">
        <v>0</v>
      </c>
      <c r="P757" s="145"/>
      <c r="Q757" s="145"/>
      <c r="R757" s="145"/>
      <c r="S757" s="145"/>
      <c r="T757" s="236" t="s">
        <v>2197</v>
      </c>
      <c r="U757" s="236" t="s">
        <v>625</v>
      </c>
      <c r="AA757"/>
      <c r="AB757"/>
      <c r="AC757" s="68"/>
      <c r="AD757" s="68"/>
    </row>
    <row r="758" spans="3:30" ht="13.5">
      <c r="C758" s="1463" t="s">
        <v>4550</v>
      </c>
      <c r="D758" s="1460">
        <v>0</v>
      </c>
      <c r="E758" s="1460">
        <v>0</v>
      </c>
      <c r="F758" s="1461">
        <v>0</v>
      </c>
      <c r="G758" s="1472" t="s">
        <v>4550</v>
      </c>
      <c r="H758" s="1458">
        <v>1</v>
      </c>
      <c r="I758" s="1458" t="s">
        <v>3911</v>
      </c>
      <c r="J758" s="1473">
        <v>1</v>
      </c>
      <c r="K758" s="1462"/>
      <c r="L758" s="1456">
        <v>13067030413</v>
      </c>
      <c r="M758" s="1457">
        <v>1</v>
      </c>
      <c r="N758" s="1457">
        <v>0</v>
      </c>
      <c r="O758" s="1457">
        <v>1</v>
      </c>
      <c r="P758" s="145"/>
      <c r="Q758" s="145"/>
      <c r="R758" s="145"/>
      <c r="S758" s="145"/>
      <c r="T758" s="236" t="s">
        <v>2198</v>
      </c>
      <c r="U758" s="236" t="s">
        <v>611</v>
      </c>
      <c r="AA758"/>
      <c r="AB758"/>
      <c r="AC758" s="68"/>
      <c r="AD758" s="68"/>
    </row>
    <row r="759" spans="3:30" ht="13.5">
      <c r="C759" s="1463" t="s">
        <v>4551</v>
      </c>
      <c r="D759" s="1460">
        <v>0</v>
      </c>
      <c r="E759" s="1460">
        <v>0</v>
      </c>
      <c r="F759" s="1461">
        <v>0</v>
      </c>
      <c r="G759" s="1472" t="s">
        <v>4551</v>
      </c>
      <c r="H759" s="1458">
        <v>0</v>
      </c>
      <c r="I759" s="1458" t="s">
        <v>3911</v>
      </c>
      <c r="J759" s="1473">
        <v>0</v>
      </c>
      <c r="K759" s="1462"/>
      <c r="L759" s="1456">
        <v>13067030414</v>
      </c>
      <c r="M759" s="1457">
        <v>0</v>
      </c>
      <c r="N759" s="1457">
        <v>0</v>
      </c>
      <c r="O759" s="1457">
        <v>0</v>
      </c>
      <c r="P759" s="145"/>
      <c r="Q759" s="145"/>
      <c r="R759" s="145"/>
      <c r="S759" s="145"/>
      <c r="T759" s="236" t="s">
        <v>2199</v>
      </c>
      <c r="U759" s="236" t="s">
        <v>315</v>
      </c>
      <c r="AA759"/>
      <c r="AB759"/>
      <c r="AC759" s="68"/>
      <c r="AD759" s="68"/>
    </row>
    <row r="760" spans="3:30" ht="13.5">
      <c r="C760" s="1463" t="s">
        <v>4552</v>
      </c>
      <c r="D760" s="1460">
        <v>1</v>
      </c>
      <c r="E760" s="1460">
        <v>1</v>
      </c>
      <c r="F760" s="1461">
        <v>2</v>
      </c>
      <c r="G760" s="1472" t="s">
        <v>4552</v>
      </c>
      <c r="H760" s="1458">
        <v>1</v>
      </c>
      <c r="I760" s="1458">
        <v>1</v>
      </c>
      <c r="J760" s="1473">
        <v>2</v>
      </c>
      <c r="K760" s="1462"/>
      <c r="L760" s="1456">
        <v>13067030502</v>
      </c>
      <c r="M760" s="1457">
        <v>1</v>
      </c>
      <c r="N760" s="1457">
        <v>1</v>
      </c>
      <c r="O760" s="1457">
        <v>2</v>
      </c>
      <c r="P760" s="145"/>
      <c r="Q760" s="145"/>
      <c r="R760" s="145"/>
      <c r="S760" s="145"/>
      <c r="T760" s="236" t="s">
        <v>777</v>
      </c>
      <c r="U760" s="236" t="s">
        <v>319</v>
      </c>
      <c r="AA760"/>
      <c r="AB760"/>
      <c r="AC760" s="68"/>
      <c r="AD760" s="68"/>
    </row>
    <row r="761" spans="3:30" ht="13.5">
      <c r="C761" s="1463" t="s">
        <v>4553</v>
      </c>
      <c r="D761" s="1460">
        <v>1</v>
      </c>
      <c r="E761" s="1460">
        <v>0</v>
      </c>
      <c r="F761" s="1461">
        <v>1</v>
      </c>
      <c r="G761" s="1472" t="s">
        <v>4553</v>
      </c>
      <c r="H761" s="1458">
        <v>1</v>
      </c>
      <c r="I761" s="1458">
        <v>0</v>
      </c>
      <c r="J761" s="1473">
        <v>1</v>
      </c>
      <c r="K761" s="1462"/>
      <c r="L761" s="1456">
        <v>13067030504</v>
      </c>
      <c r="M761" s="1457">
        <v>1</v>
      </c>
      <c r="N761" s="1457">
        <v>0</v>
      </c>
      <c r="O761" s="1457">
        <v>1</v>
      </c>
      <c r="P761" s="145"/>
      <c r="Q761" s="145"/>
      <c r="R761" s="145"/>
      <c r="S761" s="145"/>
      <c r="T761" s="236" t="s">
        <v>778</v>
      </c>
      <c r="U761" s="236" t="s">
        <v>1861</v>
      </c>
      <c r="AA761"/>
      <c r="AB761"/>
      <c r="AC761" s="68"/>
      <c r="AD761" s="68"/>
    </row>
    <row r="762" spans="3:30" ht="13.5">
      <c r="C762" s="1463" t="s">
        <v>4554</v>
      </c>
      <c r="D762" s="1460">
        <v>1</v>
      </c>
      <c r="E762" s="1460">
        <v>0</v>
      </c>
      <c r="F762" s="1461">
        <v>1</v>
      </c>
      <c r="G762" s="1472" t="s">
        <v>4554</v>
      </c>
      <c r="H762" s="1458">
        <v>1</v>
      </c>
      <c r="I762" s="1458">
        <v>0</v>
      </c>
      <c r="J762" s="1473">
        <v>1</v>
      </c>
      <c r="K762" s="1462"/>
      <c r="L762" s="1456">
        <v>13067030505</v>
      </c>
      <c r="M762" s="1457">
        <v>1</v>
      </c>
      <c r="N762" s="1457">
        <v>0</v>
      </c>
      <c r="O762" s="1457">
        <v>1</v>
      </c>
      <c r="P762" s="145"/>
      <c r="Q762" s="145"/>
      <c r="R762" s="145"/>
      <c r="S762" s="145"/>
      <c r="T762" s="236" t="s">
        <v>2558</v>
      </c>
      <c r="U762" s="236" t="s">
        <v>108</v>
      </c>
      <c r="AA762"/>
      <c r="AB762"/>
      <c r="AC762" s="68"/>
      <c r="AD762" s="68"/>
    </row>
    <row r="763" spans="3:30" ht="13.5">
      <c r="C763" s="1463" t="s">
        <v>4555</v>
      </c>
      <c r="D763" s="1460">
        <v>1</v>
      </c>
      <c r="E763" s="1460">
        <v>1</v>
      </c>
      <c r="F763" s="1461">
        <v>2</v>
      </c>
      <c r="G763" s="1472" t="s">
        <v>4555</v>
      </c>
      <c r="H763" s="1458">
        <v>1</v>
      </c>
      <c r="I763" s="1458">
        <v>0</v>
      </c>
      <c r="J763" s="1473">
        <v>1</v>
      </c>
      <c r="K763" s="1462"/>
      <c r="L763" s="1456">
        <v>13067030506</v>
      </c>
      <c r="M763" s="1457">
        <v>1</v>
      </c>
      <c r="N763" s="1457">
        <v>1</v>
      </c>
      <c r="O763" s="1457">
        <v>2</v>
      </c>
      <c r="P763" s="145"/>
      <c r="Q763" s="145"/>
      <c r="R763" s="145"/>
      <c r="S763" s="145"/>
      <c r="T763" s="236" t="s">
        <v>779</v>
      </c>
      <c r="U763" s="236" t="s">
        <v>1772</v>
      </c>
      <c r="AA763"/>
      <c r="AB763"/>
      <c r="AC763" s="68"/>
      <c r="AD763" s="68"/>
    </row>
    <row r="764" spans="3:30" ht="13.5">
      <c r="C764" s="1463" t="s">
        <v>4556</v>
      </c>
      <c r="D764" s="1460">
        <v>1</v>
      </c>
      <c r="E764" s="1460">
        <v>1</v>
      </c>
      <c r="F764" s="1461">
        <v>2</v>
      </c>
      <c r="G764" s="1472" t="s">
        <v>4556</v>
      </c>
      <c r="H764" s="1458">
        <v>1</v>
      </c>
      <c r="I764" s="1458">
        <v>1</v>
      </c>
      <c r="J764" s="1473">
        <v>2</v>
      </c>
      <c r="K764" s="1462"/>
      <c r="L764" s="1456">
        <v>13067030507</v>
      </c>
      <c r="M764" s="1457">
        <v>1</v>
      </c>
      <c r="N764" s="1457">
        <v>1</v>
      </c>
      <c r="O764" s="1457">
        <v>2</v>
      </c>
      <c r="P764" s="145"/>
      <c r="Q764" s="145"/>
      <c r="R764" s="145"/>
      <c r="S764" s="145"/>
      <c r="T764" s="236" t="s">
        <v>780</v>
      </c>
      <c r="U764" s="236" t="s">
        <v>1032</v>
      </c>
      <c r="AA764"/>
      <c r="AB764"/>
      <c r="AC764" s="68"/>
      <c r="AD764" s="68"/>
    </row>
    <row r="765" spans="3:30" ht="13.5">
      <c r="C765" s="1463" t="s">
        <v>4557</v>
      </c>
      <c r="D765" s="1460">
        <v>1</v>
      </c>
      <c r="E765" s="1460">
        <v>1</v>
      </c>
      <c r="F765" s="1461">
        <v>2</v>
      </c>
      <c r="G765" s="1472" t="s">
        <v>4557</v>
      </c>
      <c r="H765" s="1458">
        <v>1</v>
      </c>
      <c r="I765" s="1458" t="s">
        <v>3911</v>
      </c>
      <c r="J765" s="1473">
        <v>1</v>
      </c>
      <c r="K765" s="1462"/>
      <c r="L765" s="1456">
        <v>13067030601</v>
      </c>
      <c r="M765" s="1457">
        <v>1</v>
      </c>
      <c r="N765" s="1457">
        <v>1</v>
      </c>
      <c r="O765" s="1457">
        <v>2</v>
      </c>
      <c r="P765" s="145"/>
      <c r="Q765" s="145"/>
      <c r="R765" s="145"/>
      <c r="S765" s="145"/>
      <c r="T765" s="236"/>
      <c r="U765" s="236"/>
      <c r="AA765"/>
      <c r="AB765"/>
      <c r="AC765" s="68"/>
      <c r="AD765" s="68"/>
    </row>
    <row r="766" spans="3:30" ht="13.5">
      <c r="C766" s="1463" t="s">
        <v>4558</v>
      </c>
      <c r="D766" s="1460">
        <v>1</v>
      </c>
      <c r="E766" s="1460">
        <v>1</v>
      </c>
      <c r="F766" s="1461">
        <v>2</v>
      </c>
      <c r="G766" s="1472" t="s">
        <v>4558</v>
      </c>
      <c r="H766" s="1458">
        <v>1</v>
      </c>
      <c r="I766" s="1458">
        <v>1</v>
      </c>
      <c r="J766" s="1473">
        <v>2</v>
      </c>
      <c r="K766" s="1462"/>
      <c r="L766" s="1456">
        <v>13067030602</v>
      </c>
      <c r="M766" s="1457">
        <v>1</v>
      </c>
      <c r="N766" s="1457">
        <v>1</v>
      </c>
      <c r="O766" s="1457">
        <v>2</v>
      </c>
      <c r="P766" s="145"/>
      <c r="Q766" s="145"/>
      <c r="R766" s="145"/>
      <c r="S766" s="145"/>
      <c r="T766" s="236"/>
      <c r="U766" s="236"/>
      <c r="AA766"/>
      <c r="AB766"/>
      <c r="AC766" s="68"/>
      <c r="AD766" s="68"/>
    </row>
    <row r="767" spans="3:30" ht="13.5">
      <c r="C767" s="1463" t="s">
        <v>4559</v>
      </c>
      <c r="D767" s="1460">
        <v>1</v>
      </c>
      <c r="E767" s="1460">
        <v>0</v>
      </c>
      <c r="F767" s="1461">
        <v>1</v>
      </c>
      <c r="G767" s="1472" t="s">
        <v>4559</v>
      </c>
      <c r="H767" s="1458">
        <v>1</v>
      </c>
      <c r="I767" s="1458">
        <v>0</v>
      </c>
      <c r="J767" s="1473">
        <v>0</v>
      </c>
      <c r="K767" s="1462"/>
      <c r="L767" s="1456">
        <v>13067030700</v>
      </c>
      <c r="M767" s="1457">
        <v>1</v>
      </c>
      <c r="N767" s="1457">
        <v>0</v>
      </c>
      <c r="O767" s="1457">
        <v>1</v>
      </c>
      <c r="P767" s="145"/>
      <c r="T767" s="236"/>
      <c r="U767" s="236"/>
      <c r="AA767"/>
      <c r="AB767"/>
      <c r="AC767" s="68"/>
      <c r="AD767" s="68"/>
    </row>
    <row r="768" spans="3:30" ht="13.5">
      <c r="C768" s="1463" t="s">
        <v>4560</v>
      </c>
      <c r="D768" s="1460">
        <v>0</v>
      </c>
      <c r="E768" s="1460">
        <v>0</v>
      </c>
      <c r="F768" s="1461">
        <v>0</v>
      </c>
      <c r="G768" s="1472" t="s">
        <v>4560</v>
      </c>
      <c r="H768" s="1458">
        <v>0</v>
      </c>
      <c r="I768" s="1458" t="s">
        <v>3911</v>
      </c>
      <c r="J768" s="1473">
        <v>0</v>
      </c>
      <c r="K768" s="1462"/>
      <c r="L768" s="1456">
        <v>13067030800</v>
      </c>
      <c r="M768" s="1457">
        <v>0</v>
      </c>
      <c r="N768" s="1457">
        <v>0</v>
      </c>
      <c r="O768" s="1457">
        <v>0</v>
      </c>
      <c r="T768" s="44"/>
      <c r="U768" s="44"/>
      <c r="AA768"/>
      <c r="AB768"/>
      <c r="AC768" s="68"/>
      <c r="AD768" s="68"/>
    </row>
    <row r="769" spans="3:30" ht="13.5">
      <c r="C769" s="1463" t="s">
        <v>4561</v>
      </c>
      <c r="D769" s="1460">
        <v>1</v>
      </c>
      <c r="E769" s="1460">
        <v>1</v>
      </c>
      <c r="F769" s="1461">
        <v>2</v>
      </c>
      <c r="G769" s="1472" t="s">
        <v>4561</v>
      </c>
      <c r="H769" s="1458">
        <v>1</v>
      </c>
      <c r="I769" s="1458">
        <v>1</v>
      </c>
      <c r="J769" s="1473">
        <v>2</v>
      </c>
      <c r="K769" s="1462"/>
      <c r="L769" s="1456">
        <v>13067030901</v>
      </c>
      <c r="M769" s="1457">
        <v>1</v>
      </c>
      <c r="N769" s="1457">
        <v>1</v>
      </c>
      <c r="O769" s="1457">
        <v>2</v>
      </c>
      <c r="T769" s="44"/>
      <c r="U769" s="44"/>
      <c r="AA769"/>
      <c r="AB769"/>
      <c r="AC769" s="68"/>
      <c r="AD769" s="68"/>
    </row>
    <row r="770" spans="3:30" ht="13.5">
      <c r="C770" s="1463" t="s">
        <v>4562</v>
      </c>
      <c r="D770" s="1460">
        <v>1</v>
      </c>
      <c r="E770" s="1460">
        <v>0</v>
      </c>
      <c r="F770" s="1461">
        <v>1</v>
      </c>
      <c r="G770" s="1472" t="s">
        <v>4562</v>
      </c>
      <c r="H770" s="1458">
        <v>1</v>
      </c>
      <c r="I770" s="1458">
        <v>0</v>
      </c>
      <c r="J770" s="1473">
        <v>1</v>
      </c>
      <c r="K770" s="1462"/>
      <c r="L770" s="1456">
        <v>13067030902</v>
      </c>
      <c r="M770" s="1457">
        <v>1</v>
      </c>
      <c r="N770" s="1457">
        <v>0</v>
      </c>
      <c r="O770" s="1457">
        <v>1</v>
      </c>
      <c r="T770" s="44"/>
      <c r="U770" s="44"/>
      <c r="AA770"/>
      <c r="AB770"/>
      <c r="AC770" s="68"/>
      <c r="AD770" s="68"/>
    </row>
    <row r="771" spans="3:30" ht="13.5">
      <c r="C771" s="1463" t="s">
        <v>4563</v>
      </c>
      <c r="D771" s="1460">
        <v>0</v>
      </c>
      <c r="E771" s="1460">
        <v>0</v>
      </c>
      <c r="F771" s="1461">
        <v>0</v>
      </c>
      <c r="G771" s="1472" t="s">
        <v>4563</v>
      </c>
      <c r="H771" s="1458">
        <v>0</v>
      </c>
      <c r="I771" s="1458">
        <v>0</v>
      </c>
      <c r="J771" s="1473">
        <v>0</v>
      </c>
      <c r="K771" s="1462"/>
      <c r="L771" s="1456">
        <v>13067030904</v>
      </c>
      <c r="M771" s="1457">
        <v>0</v>
      </c>
      <c r="N771" s="1457">
        <v>0</v>
      </c>
      <c r="O771" s="1457">
        <v>0</v>
      </c>
      <c r="T771" s="44"/>
      <c r="U771" s="44"/>
      <c r="AA771"/>
      <c r="AB771"/>
      <c r="AC771" s="68"/>
      <c r="AD771" s="68"/>
    </row>
    <row r="772" spans="3:30" ht="13.5">
      <c r="C772" s="1463" t="s">
        <v>4564</v>
      </c>
      <c r="D772" s="1460">
        <v>0</v>
      </c>
      <c r="E772" s="1460">
        <v>0</v>
      </c>
      <c r="F772" s="1461">
        <v>0</v>
      </c>
      <c r="G772" s="1472" t="s">
        <v>4564</v>
      </c>
      <c r="H772" s="1458">
        <v>0</v>
      </c>
      <c r="I772" s="1458">
        <v>0</v>
      </c>
      <c r="J772" s="1473">
        <v>0</v>
      </c>
      <c r="K772" s="1462"/>
      <c r="L772" s="1456">
        <v>13067030905</v>
      </c>
      <c r="M772" s="1457">
        <v>0</v>
      </c>
      <c r="N772" s="1457">
        <v>0</v>
      </c>
      <c r="O772" s="1457">
        <v>0</v>
      </c>
      <c r="AA772"/>
      <c r="AB772"/>
      <c r="AC772" s="68"/>
      <c r="AD772" s="68"/>
    </row>
    <row r="773" spans="3:30" ht="13.5">
      <c r="C773" s="1463" t="s">
        <v>4565</v>
      </c>
      <c r="D773" s="1460">
        <v>0</v>
      </c>
      <c r="E773" s="1460">
        <v>0</v>
      </c>
      <c r="F773" s="1461">
        <v>0</v>
      </c>
      <c r="G773" s="1472" t="s">
        <v>4565</v>
      </c>
      <c r="H773" s="1458">
        <v>0</v>
      </c>
      <c r="I773" s="1458">
        <v>0</v>
      </c>
      <c r="J773" s="1473">
        <v>0</v>
      </c>
      <c r="K773" s="1462"/>
      <c r="L773" s="1456">
        <v>13067031001</v>
      </c>
      <c r="M773" s="1457">
        <v>0</v>
      </c>
      <c r="N773" s="1457">
        <v>0</v>
      </c>
      <c r="O773" s="1457">
        <v>0</v>
      </c>
      <c r="AA773"/>
      <c r="AB773"/>
      <c r="AC773" s="68"/>
      <c r="AD773" s="68"/>
    </row>
    <row r="774" spans="3:30" ht="13.5">
      <c r="C774" s="1463" t="s">
        <v>4566</v>
      </c>
      <c r="D774" s="1460">
        <v>0</v>
      </c>
      <c r="E774" s="1460">
        <v>0</v>
      </c>
      <c r="F774" s="1461">
        <v>0</v>
      </c>
      <c r="G774" s="1472" t="s">
        <v>4566</v>
      </c>
      <c r="H774" s="1458">
        <v>0</v>
      </c>
      <c r="I774" s="1458">
        <v>0</v>
      </c>
      <c r="J774" s="1473">
        <v>0</v>
      </c>
      <c r="K774" s="1462"/>
      <c r="L774" s="1456">
        <v>13067031002</v>
      </c>
      <c r="M774" s="1457">
        <v>0</v>
      </c>
      <c r="N774" s="1457">
        <v>0</v>
      </c>
      <c r="O774" s="1457">
        <v>0</v>
      </c>
      <c r="AA774"/>
      <c r="AB774"/>
      <c r="AC774" s="68"/>
      <c r="AD774" s="68"/>
    </row>
    <row r="775" spans="3:30" ht="13.5">
      <c r="C775" s="1463" t="s">
        <v>4567</v>
      </c>
      <c r="D775" s="1460">
        <v>0</v>
      </c>
      <c r="E775" s="1460">
        <v>0</v>
      </c>
      <c r="F775" s="1461">
        <v>0</v>
      </c>
      <c r="G775" s="1472" t="s">
        <v>4567</v>
      </c>
      <c r="H775" s="1458">
        <v>0</v>
      </c>
      <c r="I775" s="1458">
        <v>0</v>
      </c>
      <c r="J775" s="1473">
        <v>0</v>
      </c>
      <c r="K775" s="1462"/>
      <c r="L775" s="1456">
        <v>13067031004</v>
      </c>
      <c r="M775" s="1457">
        <v>0</v>
      </c>
      <c r="N775" s="1457">
        <v>0</v>
      </c>
      <c r="O775" s="1457">
        <v>0</v>
      </c>
      <c r="AA775"/>
      <c r="AB775"/>
      <c r="AC775" s="68"/>
      <c r="AD775" s="68"/>
    </row>
    <row r="776" spans="3:30" ht="13.5">
      <c r="C776" s="1463" t="s">
        <v>4568</v>
      </c>
      <c r="D776" s="1460">
        <v>0</v>
      </c>
      <c r="E776" s="1460">
        <v>0</v>
      </c>
      <c r="F776" s="1461">
        <v>0</v>
      </c>
      <c r="G776" s="1472" t="s">
        <v>4568</v>
      </c>
      <c r="H776" s="1458">
        <v>0</v>
      </c>
      <c r="I776" s="1458">
        <v>0</v>
      </c>
      <c r="J776" s="1473">
        <v>0</v>
      </c>
      <c r="K776" s="1462"/>
      <c r="L776" s="1456">
        <v>13067031005</v>
      </c>
      <c r="M776" s="1457">
        <v>0</v>
      </c>
      <c r="N776" s="1457">
        <v>0</v>
      </c>
      <c r="O776" s="1457">
        <v>0</v>
      </c>
      <c r="AA776"/>
      <c r="AB776"/>
      <c r="AC776" s="68"/>
      <c r="AD776" s="68"/>
    </row>
    <row r="777" spans="3:30" ht="13.5">
      <c r="C777" s="1463" t="s">
        <v>4569</v>
      </c>
      <c r="D777" s="1460">
        <v>0</v>
      </c>
      <c r="E777" s="1460">
        <v>0</v>
      </c>
      <c r="F777" s="1461">
        <v>0</v>
      </c>
      <c r="G777" s="1472" t="s">
        <v>4569</v>
      </c>
      <c r="H777" s="1458">
        <v>0</v>
      </c>
      <c r="I777" s="1458">
        <v>0</v>
      </c>
      <c r="J777" s="1473">
        <v>0</v>
      </c>
      <c r="K777" s="1462"/>
      <c r="L777" s="1456">
        <v>13067031101</v>
      </c>
      <c r="M777" s="1457">
        <v>0</v>
      </c>
      <c r="N777" s="1457">
        <v>0</v>
      </c>
      <c r="O777" s="1457">
        <v>0</v>
      </c>
      <c r="AA777"/>
      <c r="AB777"/>
      <c r="AC777" s="68"/>
      <c r="AD777" s="68"/>
    </row>
    <row r="778" spans="3:30" ht="13.5">
      <c r="C778" s="1463" t="s">
        <v>4570</v>
      </c>
      <c r="D778" s="1460">
        <v>1</v>
      </c>
      <c r="E778" s="1460">
        <v>0</v>
      </c>
      <c r="F778" s="1461">
        <v>1</v>
      </c>
      <c r="G778" s="1472" t="s">
        <v>4570</v>
      </c>
      <c r="H778" s="1458">
        <v>1</v>
      </c>
      <c r="I778" s="1458">
        <v>1</v>
      </c>
      <c r="J778" s="1473">
        <v>2</v>
      </c>
      <c r="K778" s="1462"/>
      <c r="L778" s="1456">
        <v>13067031106</v>
      </c>
      <c r="M778" s="1457">
        <v>1</v>
      </c>
      <c r="N778" s="1457">
        <v>1</v>
      </c>
      <c r="O778" s="1457">
        <v>2</v>
      </c>
      <c r="AA778"/>
      <c r="AB778"/>
      <c r="AC778" s="68"/>
      <c r="AD778" s="68"/>
    </row>
    <row r="779" spans="3:30" ht="13.5">
      <c r="C779" s="1463" t="s">
        <v>4571</v>
      </c>
      <c r="D779" s="1460">
        <v>1</v>
      </c>
      <c r="E779" s="1460">
        <v>0</v>
      </c>
      <c r="F779" s="1461">
        <v>1</v>
      </c>
      <c r="G779" s="1472" t="s">
        <v>4571</v>
      </c>
      <c r="H779" s="1458">
        <v>1</v>
      </c>
      <c r="I779" s="1458">
        <v>1</v>
      </c>
      <c r="J779" s="1473">
        <v>2</v>
      </c>
      <c r="K779" s="1462"/>
      <c r="L779" s="1456">
        <v>13067031108</v>
      </c>
      <c r="M779" s="1457">
        <v>1</v>
      </c>
      <c r="N779" s="1457">
        <v>1</v>
      </c>
      <c r="O779" s="1457">
        <v>2</v>
      </c>
      <c r="AA779"/>
      <c r="AB779"/>
      <c r="AC779" s="68"/>
      <c r="AD779" s="68"/>
    </row>
    <row r="780" spans="3:30" ht="13.5">
      <c r="C780" s="1463" t="s">
        <v>4572</v>
      </c>
      <c r="D780" s="1460">
        <v>1</v>
      </c>
      <c r="E780" s="1460">
        <v>0</v>
      </c>
      <c r="F780" s="1461">
        <v>1</v>
      </c>
      <c r="G780" s="1472" t="s">
        <v>4572</v>
      </c>
      <c r="H780" s="1458">
        <v>1</v>
      </c>
      <c r="I780" s="1458">
        <v>0</v>
      </c>
      <c r="J780" s="1473">
        <v>1</v>
      </c>
      <c r="K780" s="1462"/>
      <c r="L780" s="1456">
        <v>13067031110</v>
      </c>
      <c r="M780" s="1457">
        <v>1</v>
      </c>
      <c r="N780" s="1457">
        <v>0</v>
      </c>
      <c r="O780" s="1457">
        <v>1</v>
      </c>
      <c r="AA780"/>
      <c r="AB780"/>
      <c r="AC780" s="68"/>
      <c r="AD780" s="68"/>
    </row>
    <row r="781" spans="3:30" ht="13.5">
      <c r="C781" s="1463" t="s">
        <v>4573</v>
      </c>
      <c r="D781" s="1460">
        <v>1</v>
      </c>
      <c r="E781" s="1460">
        <v>1</v>
      </c>
      <c r="F781" s="1461">
        <v>2</v>
      </c>
      <c r="G781" s="1472" t="s">
        <v>4573</v>
      </c>
      <c r="H781" s="1458">
        <v>1</v>
      </c>
      <c r="I781" s="1458">
        <v>1</v>
      </c>
      <c r="J781" s="1473">
        <v>2</v>
      </c>
      <c r="K781" s="1462"/>
      <c r="L781" s="1456">
        <v>13067031111</v>
      </c>
      <c r="M781" s="1457">
        <v>1</v>
      </c>
      <c r="N781" s="1457">
        <v>1</v>
      </c>
      <c r="O781" s="1457">
        <v>2</v>
      </c>
      <c r="AA781"/>
      <c r="AB781"/>
      <c r="AC781" s="68"/>
      <c r="AD781" s="68"/>
    </row>
    <row r="782" spans="3:30" ht="13.5">
      <c r="C782" s="1463" t="s">
        <v>4574</v>
      </c>
      <c r="D782" s="1460">
        <v>1</v>
      </c>
      <c r="E782" s="1460">
        <v>1</v>
      </c>
      <c r="F782" s="1461">
        <v>2</v>
      </c>
      <c r="G782" s="1472" t="s">
        <v>4574</v>
      </c>
      <c r="H782" s="1458">
        <v>1</v>
      </c>
      <c r="I782" s="1458">
        <v>1</v>
      </c>
      <c r="J782" s="1473">
        <v>2</v>
      </c>
      <c r="K782" s="1462"/>
      <c r="L782" s="1456">
        <v>13067031112</v>
      </c>
      <c r="M782" s="1457">
        <v>1</v>
      </c>
      <c r="N782" s="1457">
        <v>1</v>
      </c>
      <c r="O782" s="1457">
        <v>2</v>
      </c>
      <c r="AA782"/>
      <c r="AB782"/>
      <c r="AC782" s="68"/>
      <c r="AD782" s="68"/>
    </row>
    <row r="783" spans="3:30" ht="13.5">
      <c r="C783" s="1463" t="s">
        <v>4575</v>
      </c>
      <c r="D783" s="1460">
        <v>0</v>
      </c>
      <c r="E783" s="1460">
        <v>0</v>
      </c>
      <c r="F783" s="1461">
        <v>0</v>
      </c>
      <c r="G783" s="1472" t="s">
        <v>4575</v>
      </c>
      <c r="H783" s="1458">
        <v>1</v>
      </c>
      <c r="I783" s="1458" t="s">
        <v>3911</v>
      </c>
      <c r="J783" s="1473">
        <v>1</v>
      </c>
      <c r="K783" s="1462"/>
      <c r="L783" s="1456">
        <v>13067031113</v>
      </c>
      <c r="M783" s="1457">
        <v>1</v>
      </c>
      <c r="N783" s="1457">
        <v>0</v>
      </c>
      <c r="O783" s="1457">
        <v>1</v>
      </c>
      <c r="AA783"/>
      <c r="AB783"/>
      <c r="AC783" s="68"/>
      <c r="AD783" s="68"/>
    </row>
    <row r="784" spans="3:30" ht="13.5">
      <c r="C784" s="1463" t="s">
        <v>4576</v>
      </c>
      <c r="D784" s="1460">
        <v>0</v>
      </c>
      <c r="E784" s="1460">
        <v>0</v>
      </c>
      <c r="F784" s="1461">
        <v>0</v>
      </c>
      <c r="G784" s="1472" t="s">
        <v>4576</v>
      </c>
      <c r="H784" s="1458">
        <v>1</v>
      </c>
      <c r="I784" s="1458">
        <v>0</v>
      </c>
      <c r="J784" s="1473">
        <v>1</v>
      </c>
      <c r="K784" s="1462"/>
      <c r="L784" s="1456">
        <v>13067031114</v>
      </c>
      <c r="M784" s="1457">
        <v>1</v>
      </c>
      <c r="N784" s="1457">
        <v>0</v>
      </c>
      <c r="O784" s="1457">
        <v>1</v>
      </c>
      <c r="AA784"/>
      <c r="AB784"/>
      <c r="AC784" s="68"/>
      <c r="AD784" s="68"/>
    </row>
    <row r="785" spans="3:30" ht="13.5">
      <c r="C785" s="1463" t="s">
        <v>4577</v>
      </c>
      <c r="D785" s="1460">
        <v>1</v>
      </c>
      <c r="E785" s="1460">
        <v>0</v>
      </c>
      <c r="F785" s="1461">
        <v>1</v>
      </c>
      <c r="G785" s="1472" t="s">
        <v>4577</v>
      </c>
      <c r="H785" s="1458">
        <v>1</v>
      </c>
      <c r="I785" s="1458">
        <v>0</v>
      </c>
      <c r="J785" s="1473">
        <v>1</v>
      </c>
      <c r="K785" s="1462"/>
      <c r="L785" s="1456">
        <v>13067031115</v>
      </c>
      <c r="M785" s="1457">
        <v>1</v>
      </c>
      <c r="N785" s="1457">
        <v>0</v>
      </c>
      <c r="O785" s="1457">
        <v>1</v>
      </c>
      <c r="AA785"/>
      <c r="AB785"/>
      <c r="AC785" s="68"/>
      <c r="AD785" s="68"/>
    </row>
    <row r="786" spans="3:30" ht="13.5">
      <c r="C786" s="1463" t="s">
        <v>4578</v>
      </c>
      <c r="D786" s="1460">
        <v>0</v>
      </c>
      <c r="E786" s="1460">
        <v>0</v>
      </c>
      <c r="F786" s="1461">
        <v>0</v>
      </c>
      <c r="G786" s="1472" t="s">
        <v>4578</v>
      </c>
      <c r="H786" s="1458">
        <v>0</v>
      </c>
      <c r="I786" s="1458" t="s">
        <v>3911</v>
      </c>
      <c r="J786" s="1473">
        <v>0</v>
      </c>
      <c r="K786" s="1462"/>
      <c r="L786" s="1456">
        <v>13067031116</v>
      </c>
      <c r="M786" s="1457">
        <v>0</v>
      </c>
      <c r="N786" s="1457">
        <v>0</v>
      </c>
      <c r="O786" s="1457">
        <v>0</v>
      </c>
      <c r="AA786"/>
      <c r="AB786"/>
      <c r="AC786" s="68"/>
      <c r="AD786" s="68"/>
    </row>
    <row r="787" spans="3:30" ht="13.5">
      <c r="C787" s="1463" t="s">
        <v>4579</v>
      </c>
      <c r="D787" s="1460">
        <v>1</v>
      </c>
      <c r="E787" s="1460">
        <v>1</v>
      </c>
      <c r="F787" s="1461">
        <v>2</v>
      </c>
      <c r="G787" s="1472" t="s">
        <v>4579</v>
      </c>
      <c r="H787" s="1458">
        <v>1</v>
      </c>
      <c r="I787" s="1458">
        <v>1</v>
      </c>
      <c r="J787" s="1473">
        <v>2</v>
      </c>
      <c r="K787" s="1462"/>
      <c r="L787" s="1456">
        <v>13067031117</v>
      </c>
      <c r="M787" s="1457">
        <v>1</v>
      </c>
      <c r="N787" s="1457">
        <v>1</v>
      </c>
      <c r="O787" s="1457">
        <v>2</v>
      </c>
      <c r="AA787"/>
      <c r="AB787"/>
      <c r="AC787" s="68"/>
      <c r="AD787" s="68"/>
    </row>
    <row r="788" spans="3:30" ht="13.5">
      <c r="C788" s="1463" t="s">
        <v>4580</v>
      </c>
      <c r="D788" s="1460">
        <v>1</v>
      </c>
      <c r="E788" s="1460">
        <v>1</v>
      </c>
      <c r="F788" s="1461">
        <v>2</v>
      </c>
      <c r="G788" s="1472" t="s">
        <v>4580</v>
      </c>
      <c r="H788" s="1458">
        <v>1</v>
      </c>
      <c r="I788" s="1458">
        <v>1</v>
      </c>
      <c r="J788" s="1473">
        <v>2</v>
      </c>
      <c r="K788" s="1462"/>
      <c r="L788" s="1456">
        <v>13067031118</v>
      </c>
      <c r="M788" s="1457">
        <v>1</v>
      </c>
      <c r="N788" s="1457">
        <v>1</v>
      </c>
      <c r="O788" s="1457">
        <v>2</v>
      </c>
      <c r="AA788"/>
      <c r="AB788"/>
      <c r="AC788" s="68"/>
      <c r="AD788" s="68"/>
    </row>
    <row r="789" spans="3:30" ht="13.5">
      <c r="C789" s="1463" t="s">
        <v>4581</v>
      </c>
      <c r="D789" s="1460">
        <v>1</v>
      </c>
      <c r="E789" s="1460">
        <v>1</v>
      </c>
      <c r="F789" s="1461">
        <v>2</v>
      </c>
      <c r="G789" s="1472" t="s">
        <v>4581</v>
      </c>
      <c r="H789" s="1458">
        <v>1</v>
      </c>
      <c r="I789" s="1458">
        <v>1</v>
      </c>
      <c r="J789" s="1473">
        <v>2</v>
      </c>
      <c r="K789" s="1462"/>
      <c r="L789" s="1456">
        <v>13067031205</v>
      </c>
      <c r="M789" s="1457">
        <v>1</v>
      </c>
      <c r="N789" s="1457">
        <v>1</v>
      </c>
      <c r="O789" s="1457">
        <v>2</v>
      </c>
      <c r="AA789"/>
      <c r="AB789"/>
      <c r="AC789" s="68"/>
      <c r="AD789" s="68"/>
    </row>
    <row r="790" spans="3:30" ht="13.5">
      <c r="C790" s="1463" t="s">
        <v>4582</v>
      </c>
      <c r="D790" s="1460">
        <v>1</v>
      </c>
      <c r="E790" s="1460">
        <v>1</v>
      </c>
      <c r="F790" s="1461">
        <v>2</v>
      </c>
      <c r="G790" s="1472" t="s">
        <v>4582</v>
      </c>
      <c r="H790" s="1458">
        <v>1</v>
      </c>
      <c r="I790" s="1458">
        <v>1</v>
      </c>
      <c r="J790" s="1473">
        <v>2</v>
      </c>
      <c r="K790" s="1462"/>
      <c r="L790" s="1456">
        <v>13067031206</v>
      </c>
      <c r="M790" s="1457">
        <v>1</v>
      </c>
      <c r="N790" s="1457">
        <v>1</v>
      </c>
      <c r="O790" s="1457">
        <v>2</v>
      </c>
      <c r="AA790"/>
      <c r="AB790"/>
      <c r="AC790" s="68"/>
      <c r="AD790" s="68"/>
    </row>
    <row r="791" spans="3:30" ht="13.5">
      <c r="C791" s="1463" t="s">
        <v>4583</v>
      </c>
      <c r="D791" s="1460">
        <v>1</v>
      </c>
      <c r="E791" s="1460">
        <v>1</v>
      </c>
      <c r="F791" s="1461">
        <v>2</v>
      </c>
      <c r="G791" s="1472" t="s">
        <v>4583</v>
      </c>
      <c r="H791" s="1458">
        <v>1</v>
      </c>
      <c r="I791" s="1458" t="s">
        <v>3911</v>
      </c>
      <c r="J791" s="1473">
        <v>1</v>
      </c>
      <c r="K791" s="1462"/>
      <c r="L791" s="1456">
        <v>13067031207</v>
      </c>
      <c r="M791" s="1457">
        <v>1</v>
      </c>
      <c r="N791" s="1457">
        <v>1</v>
      </c>
      <c r="O791" s="1457">
        <v>2</v>
      </c>
      <c r="AA791"/>
      <c r="AB791"/>
      <c r="AC791" s="68"/>
      <c r="AD791" s="68"/>
    </row>
    <row r="792" spans="3:30" ht="13.5">
      <c r="C792" s="1463" t="s">
        <v>4584</v>
      </c>
      <c r="D792" s="1460">
        <v>1</v>
      </c>
      <c r="E792" s="1460">
        <v>1</v>
      </c>
      <c r="F792" s="1461">
        <v>2</v>
      </c>
      <c r="G792" s="1472" t="s">
        <v>4584</v>
      </c>
      <c r="H792" s="1458">
        <v>1</v>
      </c>
      <c r="I792" s="1458">
        <v>1</v>
      </c>
      <c r="J792" s="1473">
        <v>2</v>
      </c>
      <c r="K792" s="1462"/>
      <c r="L792" s="1456">
        <v>13067031208</v>
      </c>
      <c r="M792" s="1457">
        <v>1</v>
      </c>
      <c r="N792" s="1457">
        <v>1</v>
      </c>
      <c r="O792" s="1457">
        <v>2</v>
      </c>
      <c r="AA792"/>
      <c r="AB792"/>
      <c r="AC792" s="68"/>
      <c r="AD792" s="68"/>
    </row>
    <row r="793" spans="3:30" ht="13.5">
      <c r="C793" s="1463" t="s">
        <v>4585</v>
      </c>
      <c r="D793" s="1460">
        <v>1</v>
      </c>
      <c r="E793" s="1460">
        <v>1</v>
      </c>
      <c r="F793" s="1461">
        <v>2</v>
      </c>
      <c r="G793" s="1472" t="s">
        <v>4585</v>
      </c>
      <c r="H793" s="1458">
        <v>1</v>
      </c>
      <c r="I793" s="1458">
        <v>1</v>
      </c>
      <c r="J793" s="1473">
        <v>2</v>
      </c>
      <c r="K793" s="1462"/>
      <c r="L793" s="1456">
        <v>13067031209</v>
      </c>
      <c r="M793" s="1457">
        <v>1</v>
      </c>
      <c r="N793" s="1457">
        <v>1</v>
      </c>
      <c r="O793" s="1457">
        <v>2</v>
      </c>
      <c r="AA793"/>
      <c r="AB793"/>
      <c r="AC793" s="68"/>
      <c r="AD793" s="68"/>
    </row>
    <row r="794" spans="3:30" ht="13.5">
      <c r="C794" s="1463" t="s">
        <v>4586</v>
      </c>
      <c r="D794" s="1460">
        <v>1</v>
      </c>
      <c r="E794" s="1460">
        <v>1</v>
      </c>
      <c r="F794" s="1461">
        <v>2</v>
      </c>
      <c r="G794" s="1472" t="s">
        <v>4586</v>
      </c>
      <c r="H794" s="1458">
        <v>1</v>
      </c>
      <c r="I794" s="1458">
        <v>1</v>
      </c>
      <c r="J794" s="1473">
        <v>2</v>
      </c>
      <c r="K794" s="1462"/>
      <c r="L794" s="1456">
        <v>13067031211</v>
      </c>
      <c r="M794" s="1457">
        <v>1</v>
      </c>
      <c r="N794" s="1457">
        <v>1</v>
      </c>
      <c r="O794" s="1457">
        <v>2</v>
      </c>
      <c r="AA794"/>
      <c r="AB794"/>
      <c r="AC794" s="68"/>
      <c r="AD794" s="68"/>
    </row>
    <row r="795" spans="3:30" ht="13.5">
      <c r="C795" s="1463" t="s">
        <v>4587</v>
      </c>
      <c r="D795" s="1460">
        <v>1</v>
      </c>
      <c r="E795" s="1460">
        <v>1</v>
      </c>
      <c r="F795" s="1461">
        <v>2</v>
      </c>
      <c r="G795" s="1472" t="s">
        <v>4587</v>
      </c>
      <c r="H795" s="1458">
        <v>1</v>
      </c>
      <c r="I795" s="1458">
        <v>1</v>
      </c>
      <c r="J795" s="1473">
        <v>2</v>
      </c>
      <c r="K795" s="1462"/>
      <c r="L795" s="1456">
        <v>13067031212</v>
      </c>
      <c r="M795" s="1457">
        <v>1</v>
      </c>
      <c r="N795" s="1457">
        <v>1</v>
      </c>
      <c r="O795" s="1457">
        <v>2</v>
      </c>
      <c r="AA795"/>
      <c r="AB795"/>
      <c r="AC795" s="68"/>
      <c r="AD795" s="68"/>
    </row>
    <row r="796" spans="3:30" ht="13.5">
      <c r="C796" s="1463" t="s">
        <v>4588</v>
      </c>
      <c r="D796" s="1460">
        <v>1</v>
      </c>
      <c r="E796" s="1460">
        <v>0</v>
      </c>
      <c r="F796" s="1461">
        <v>1</v>
      </c>
      <c r="G796" s="1472" t="s">
        <v>4588</v>
      </c>
      <c r="H796" s="1458">
        <v>1</v>
      </c>
      <c r="I796" s="1458">
        <v>0</v>
      </c>
      <c r="J796" s="1473">
        <v>1</v>
      </c>
      <c r="K796" s="1462"/>
      <c r="L796" s="1456">
        <v>13067031306</v>
      </c>
      <c r="M796" s="1457">
        <v>1</v>
      </c>
      <c r="N796" s="1457">
        <v>0</v>
      </c>
      <c r="O796" s="1457">
        <v>1</v>
      </c>
      <c r="AA796"/>
      <c r="AB796"/>
      <c r="AC796" s="68"/>
      <c r="AD796" s="68"/>
    </row>
    <row r="797" spans="3:30" ht="13.5">
      <c r="C797" s="1463" t="s">
        <v>4589</v>
      </c>
      <c r="D797" s="1460">
        <v>1</v>
      </c>
      <c r="E797" s="1460">
        <v>1</v>
      </c>
      <c r="F797" s="1461">
        <v>2</v>
      </c>
      <c r="G797" s="1472" t="s">
        <v>4589</v>
      </c>
      <c r="H797" s="1458">
        <v>1</v>
      </c>
      <c r="I797" s="1458">
        <v>1</v>
      </c>
      <c r="J797" s="1473">
        <v>2</v>
      </c>
      <c r="K797" s="1462"/>
      <c r="L797" s="1456">
        <v>13067031307</v>
      </c>
      <c r="M797" s="1457">
        <v>1</v>
      </c>
      <c r="N797" s="1457">
        <v>1</v>
      </c>
      <c r="O797" s="1457">
        <v>2</v>
      </c>
      <c r="AA797"/>
      <c r="AB797"/>
      <c r="AC797" s="68"/>
      <c r="AD797" s="68"/>
    </row>
    <row r="798" spans="3:30" ht="13.5">
      <c r="C798" s="1463" t="s">
        <v>4590</v>
      </c>
      <c r="D798" s="1460">
        <v>0</v>
      </c>
      <c r="E798" s="1460">
        <v>0</v>
      </c>
      <c r="F798" s="1461">
        <v>0</v>
      </c>
      <c r="G798" s="1472" t="s">
        <v>4590</v>
      </c>
      <c r="H798" s="1458">
        <v>0</v>
      </c>
      <c r="I798" s="1458">
        <v>0</v>
      </c>
      <c r="J798" s="1473">
        <v>0</v>
      </c>
      <c r="K798" s="1462"/>
      <c r="L798" s="1456">
        <v>13067031308</v>
      </c>
      <c r="M798" s="1457">
        <v>0</v>
      </c>
      <c r="N798" s="1457">
        <v>0</v>
      </c>
      <c r="O798" s="1457">
        <v>0</v>
      </c>
      <c r="AA798"/>
      <c r="AB798"/>
      <c r="AC798" s="68"/>
      <c r="AD798" s="68"/>
    </row>
    <row r="799" spans="3:30" ht="13.5">
      <c r="C799" s="1463" t="s">
        <v>4591</v>
      </c>
      <c r="D799" s="1460">
        <v>0</v>
      </c>
      <c r="E799" s="1460">
        <v>0</v>
      </c>
      <c r="F799" s="1461">
        <v>0</v>
      </c>
      <c r="G799" s="1472" t="s">
        <v>4591</v>
      </c>
      <c r="H799" s="1458">
        <v>1</v>
      </c>
      <c r="I799" s="1458">
        <v>0</v>
      </c>
      <c r="J799" s="1473">
        <v>1</v>
      </c>
      <c r="K799" s="1462"/>
      <c r="L799" s="1456">
        <v>13067031309</v>
      </c>
      <c r="M799" s="1457">
        <v>1</v>
      </c>
      <c r="N799" s="1457">
        <v>0</v>
      </c>
      <c r="O799" s="1457">
        <v>1</v>
      </c>
      <c r="AA799"/>
      <c r="AB799"/>
      <c r="AC799" s="68"/>
      <c r="AD799" s="68"/>
    </row>
    <row r="800" spans="3:30" ht="13.5">
      <c r="C800" s="1463" t="s">
        <v>4592</v>
      </c>
      <c r="D800" s="1460">
        <v>0</v>
      </c>
      <c r="E800" s="1460">
        <v>0</v>
      </c>
      <c r="F800" s="1461">
        <v>0</v>
      </c>
      <c r="G800" s="1472" t="s">
        <v>4592</v>
      </c>
      <c r="H800" s="1458">
        <v>0</v>
      </c>
      <c r="I800" s="1458">
        <v>0</v>
      </c>
      <c r="J800" s="1473">
        <v>0</v>
      </c>
      <c r="K800" s="1462"/>
      <c r="L800" s="1456">
        <v>13067031310</v>
      </c>
      <c r="M800" s="1457">
        <v>0</v>
      </c>
      <c r="N800" s="1457">
        <v>0</v>
      </c>
      <c r="O800" s="1457">
        <v>0</v>
      </c>
      <c r="AA800"/>
      <c r="AC800" s="68"/>
    </row>
    <row r="801" spans="3:29" ht="13.5">
      <c r="C801" s="1463" t="s">
        <v>4593</v>
      </c>
      <c r="D801" s="1460">
        <v>0</v>
      </c>
      <c r="E801" s="1460">
        <v>0</v>
      </c>
      <c r="F801" s="1461">
        <v>0</v>
      </c>
      <c r="G801" s="1472" t="s">
        <v>4593</v>
      </c>
      <c r="H801" s="1458">
        <v>0</v>
      </c>
      <c r="I801" s="1458">
        <v>0</v>
      </c>
      <c r="J801" s="1473">
        <v>0</v>
      </c>
      <c r="K801" s="1462"/>
      <c r="L801" s="1456">
        <v>13067031311</v>
      </c>
      <c r="M801" s="1457">
        <v>0</v>
      </c>
      <c r="N801" s="1457">
        <v>0</v>
      </c>
      <c r="O801" s="1457">
        <v>0</v>
      </c>
      <c r="AA801"/>
      <c r="AC801" s="68"/>
    </row>
    <row r="802" spans="3:29" ht="13.5">
      <c r="C802" s="1463" t="s">
        <v>4594</v>
      </c>
      <c r="D802" s="1460">
        <v>1</v>
      </c>
      <c r="E802" s="1460">
        <v>1</v>
      </c>
      <c r="F802" s="1461">
        <v>2</v>
      </c>
      <c r="G802" s="1472" t="s">
        <v>4594</v>
      </c>
      <c r="H802" s="1458">
        <v>1</v>
      </c>
      <c r="I802" s="1458">
        <v>1</v>
      </c>
      <c r="J802" s="1473">
        <v>2</v>
      </c>
      <c r="K802" s="1462"/>
      <c r="L802" s="1456">
        <v>13067031312</v>
      </c>
      <c r="M802" s="1457">
        <v>1</v>
      </c>
      <c r="N802" s="1457">
        <v>1</v>
      </c>
      <c r="O802" s="1457">
        <v>2</v>
      </c>
      <c r="AA802"/>
      <c r="AC802" s="68"/>
    </row>
    <row r="803" spans="3:29" ht="13.5">
      <c r="C803" s="1463" t="s">
        <v>4595</v>
      </c>
      <c r="D803" s="1460">
        <v>1</v>
      </c>
      <c r="E803" s="1460">
        <v>1</v>
      </c>
      <c r="F803" s="1461">
        <v>2</v>
      </c>
      <c r="G803" s="1472" t="s">
        <v>4595</v>
      </c>
      <c r="H803" s="1458">
        <v>1</v>
      </c>
      <c r="I803" s="1458">
        <v>1</v>
      </c>
      <c r="J803" s="1473">
        <v>2</v>
      </c>
      <c r="K803" s="1462"/>
      <c r="L803" s="1456">
        <v>13067031313</v>
      </c>
      <c r="M803" s="1457">
        <v>1</v>
      </c>
      <c r="N803" s="1457">
        <v>1</v>
      </c>
      <c r="O803" s="1457">
        <v>2</v>
      </c>
      <c r="AA803"/>
      <c r="AC803" s="68"/>
    </row>
    <row r="804" spans="3:29" ht="13.5">
      <c r="C804" s="1463" t="s">
        <v>4596</v>
      </c>
      <c r="D804" s="1460">
        <v>1</v>
      </c>
      <c r="E804" s="1460">
        <v>1</v>
      </c>
      <c r="F804" s="1461">
        <v>2</v>
      </c>
      <c r="G804" s="1472" t="s">
        <v>4596</v>
      </c>
      <c r="H804" s="1458">
        <v>1</v>
      </c>
      <c r="I804" s="1458">
        <v>1</v>
      </c>
      <c r="J804" s="1473">
        <v>2</v>
      </c>
      <c r="K804" s="1462"/>
      <c r="L804" s="1456">
        <v>13067031404</v>
      </c>
      <c r="M804" s="1457">
        <v>1</v>
      </c>
      <c r="N804" s="1457">
        <v>1</v>
      </c>
      <c r="O804" s="1457">
        <v>2</v>
      </c>
      <c r="AA804"/>
      <c r="AC804" s="68"/>
    </row>
    <row r="805" spans="3:29" ht="13.5">
      <c r="C805" s="1463" t="s">
        <v>4597</v>
      </c>
      <c r="D805" s="1460">
        <v>0</v>
      </c>
      <c r="E805" s="1460">
        <v>1</v>
      </c>
      <c r="F805" s="1461">
        <v>1</v>
      </c>
      <c r="G805" s="1472" t="s">
        <v>4597</v>
      </c>
      <c r="H805" s="1458">
        <v>1</v>
      </c>
      <c r="I805" s="1458">
        <v>0</v>
      </c>
      <c r="J805" s="1473">
        <v>1</v>
      </c>
      <c r="K805" s="1462"/>
      <c r="L805" s="1456">
        <v>13067031405</v>
      </c>
      <c r="M805" s="1457">
        <v>1</v>
      </c>
      <c r="N805" s="1457">
        <v>1</v>
      </c>
      <c r="O805" s="1457">
        <v>1</v>
      </c>
      <c r="AA805"/>
      <c r="AC805" s="68"/>
    </row>
    <row r="806" spans="3:29" ht="13.5">
      <c r="C806" s="1463" t="s">
        <v>4598</v>
      </c>
      <c r="D806" s="1460">
        <v>0</v>
      </c>
      <c r="E806" s="1460">
        <v>0</v>
      </c>
      <c r="F806" s="1461">
        <v>0</v>
      </c>
      <c r="G806" s="1472" t="s">
        <v>4598</v>
      </c>
      <c r="H806" s="1458">
        <v>0</v>
      </c>
      <c r="I806" s="1458">
        <v>0</v>
      </c>
      <c r="J806" s="1473">
        <v>0</v>
      </c>
      <c r="K806" s="1462"/>
      <c r="L806" s="1456">
        <v>13067031406</v>
      </c>
      <c r="M806" s="1457">
        <v>0</v>
      </c>
      <c r="N806" s="1457">
        <v>0</v>
      </c>
      <c r="O806" s="1457">
        <v>0</v>
      </c>
      <c r="AA806"/>
      <c r="AC806" s="68"/>
    </row>
    <row r="807" spans="3:29" ht="13.5">
      <c r="C807" s="1463" t="s">
        <v>4599</v>
      </c>
      <c r="D807" s="1460">
        <v>0</v>
      </c>
      <c r="E807" s="1460">
        <v>0</v>
      </c>
      <c r="F807" s="1461">
        <v>0</v>
      </c>
      <c r="G807" s="1472" t="s">
        <v>4599</v>
      </c>
      <c r="H807" s="1458">
        <v>1</v>
      </c>
      <c r="I807" s="1458">
        <v>0</v>
      </c>
      <c r="J807" s="1473">
        <v>0</v>
      </c>
      <c r="K807" s="1462"/>
      <c r="L807" s="1456">
        <v>13067031408</v>
      </c>
      <c r="M807" s="1457">
        <v>1</v>
      </c>
      <c r="N807" s="1457">
        <v>0</v>
      </c>
      <c r="O807" s="1457">
        <v>0</v>
      </c>
      <c r="AA807"/>
      <c r="AC807" s="68"/>
    </row>
    <row r="808" spans="3:29" ht="13.5">
      <c r="C808" s="1463" t="s">
        <v>4600</v>
      </c>
      <c r="D808" s="1460">
        <v>0</v>
      </c>
      <c r="E808" s="1460">
        <v>0</v>
      </c>
      <c r="F808" s="1461">
        <v>0</v>
      </c>
      <c r="G808" s="1472" t="s">
        <v>4600</v>
      </c>
      <c r="H808" s="1458">
        <v>0</v>
      </c>
      <c r="I808" s="1458">
        <v>0</v>
      </c>
      <c r="J808" s="1473">
        <v>0</v>
      </c>
      <c r="K808" s="1462"/>
      <c r="L808" s="1456">
        <v>13067031409</v>
      </c>
      <c r="M808" s="1457">
        <v>0</v>
      </c>
      <c r="N808" s="1457">
        <v>0</v>
      </c>
      <c r="O808" s="1457">
        <v>0</v>
      </c>
      <c r="AA808"/>
      <c r="AC808" s="68"/>
    </row>
    <row r="809" spans="3:29" ht="13.5">
      <c r="C809" s="1463" t="s">
        <v>4601</v>
      </c>
      <c r="D809" s="1460">
        <v>1</v>
      </c>
      <c r="E809" s="1460">
        <v>0</v>
      </c>
      <c r="F809" s="1461">
        <v>1</v>
      </c>
      <c r="G809" s="1472" t="s">
        <v>4601</v>
      </c>
      <c r="H809" s="1458">
        <v>1</v>
      </c>
      <c r="I809" s="1458">
        <v>1</v>
      </c>
      <c r="J809" s="1473">
        <v>2</v>
      </c>
      <c r="K809" s="1462"/>
      <c r="L809" s="1456">
        <v>13067031503</v>
      </c>
      <c r="M809" s="1457">
        <v>1</v>
      </c>
      <c r="N809" s="1457">
        <v>1</v>
      </c>
      <c r="O809" s="1457">
        <v>2</v>
      </c>
      <c r="AA809"/>
      <c r="AC809" s="68"/>
    </row>
    <row r="810" spans="3:29" ht="13.5">
      <c r="C810" s="1463" t="s">
        <v>4602</v>
      </c>
      <c r="D810" s="1460">
        <v>1</v>
      </c>
      <c r="E810" s="1460">
        <v>1</v>
      </c>
      <c r="F810" s="1461">
        <v>2</v>
      </c>
      <c r="G810" s="1472" t="s">
        <v>4602</v>
      </c>
      <c r="H810" s="1458">
        <v>1</v>
      </c>
      <c r="I810" s="1458">
        <v>1</v>
      </c>
      <c r="J810" s="1473">
        <v>2</v>
      </c>
      <c r="K810" s="1462"/>
      <c r="L810" s="1456">
        <v>13067031505</v>
      </c>
      <c r="M810" s="1457">
        <v>1</v>
      </c>
      <c r="N810" s="1457">
        <v>1</v>
      </c>
      <c r="O810" s="1457">
        <v>2</v>
      </c>
      <c r="AA810"/>
      <c r="AC810" s="68"/>
    </row>
    <row r="811" spans="3:29" ht="13.5">
      <c r="C811" s="1463" t="s">
        <v>4603</v>
      </c>
      <c r="D811" s="1460">
        <v>0</v>
      </c>
      <c r="E811" s="1460">
        <v>1</v>
      </c>
      <c r="F811" s="1461">
        <v>1</v>
      </c>
      <c r="G811" s="1472" t="s">
        <v>4603</v>
      </c>
      <c r="H811" s="1458">
        <v>0</v>
      </c>
      <c r="I811" s="1458">
        <v>0</v>
      </c>
      <c r="J811" s="1473">
        <v>0</v>
      </c>
      <c r="K811" s="1462"/>
      <c r="L811" s="1456">
        <v>13067031506</v>
      </c>
      <c r="M811" s="1457">
        <v>0</v>
      </c>
      <c r="N811" s="1457">
        <v>1</v>
      </c>
      <c r="O811" s="1457">
        <v>1</v>
      </c>
      <c r="AA811"/>
      <c r="AC811" s="68"/>
    </row>
    <row r="812" spans="3:29" ht="13.5">
      <c r="C812" s="1463" t="s">
        <v>4604</v>
      </c>
      <c r="D812" s="1460">
        <v>0</v>
      </c>
      <c r="E812" s="1460">
        <v>0</v>
      </c>
      <c r="F812" s="1461">
        <v>0</v>
      </c>
      <c r="G812" s="1472" t="s">
        <v>4604</v>
      </c>
      <c r="H812" s="1458">
        <v>0</v>
      </c>
      <c r="I812" s="1458">
        <v>1</v>
      </c>
      <c r="J812" s="1473">
        <v>1</v>
      </c>
      <c r="K812" s="1462"/>
      <c r="L812" s="1456">
        <v>13067031507</v>
      </c>
      <c r="M812" s="1457">
        <v>0</v>
      </c>
      <c r="N812" s="1457">
        <v>1</v>
      </c>
      <c r="O812" s="1457">
        <v>1</v>
      </c>
      <c r="AA812"/>
      <c r="AC812" s="68"/>
    </row>
    <row r="813" spans="3:29" ht="13.5">
      <c r="C813" s="1463" t="s">
        <v>4605</v>
      </c>
      <c r="D813" s="1460">
        <v>1</v>
      </c>
      <c r="E813" s="1460">
        <v>1</v>
      </c>
      <c r="F813" s="1461">
        <v>2</v>
      </c>
      <c r="G813" s="1472" t="s">
        <v>4605</v>
      </c>
      <c r="H813" s="1458">
        <v>1</v>
      </c>
      <c r="I813" s="1458">
        <v>1</v>
      </c>
      <c r="J813" s="1473">
        <v>2</v>
      </c>
      <c r="K813" s="1462"/>
      <c r="L813" s="1456">
        <v>13067031508</v>
      </c>
      <c r="M813" s="1457">
        <v>1</v>
      </c>
      <c r="N813" s="1457">
        <v>1</v>
      </c>
      <c r="O813" s="1457">
        <v>2</v>
      </c>
      <c r="AA813"/>
      <c r="AC813" s="68"/>
    </row>
    <row r="814" spans="3:29" ht="13.5">
      <c r="C814" s="1463" t="s">
        <v>4606</v>
      </c>
      <c r="D814" s="1460">
        <v>1</v>
      </c>
      <c r="E814" s="1460">
        <v>1</v>
      </c>
      <c r="F814" s="1461">
        <v>2</v>
      </c>
      <c r="G814" s="1472" t="s">
        <v>4606</v>
      </c>
      <c r="H814" s="1458">
        <v>1</v>
      </c>
      <c r="I814" s="1458">
        <v>1</v>
      </c>
      <c r="J814" s="1473">
        <v>2</v>
      </c>
      <c r="K814" s="1462"/>
      <c r="L814" s="1456">
        <v>13067031509</v>
      </c>
      <c r="M814" s="1457">
        <v>1</v>
      </c>
      <c r="N814" s="1457">
        <v>1</v>
      </c>
      <c r="O814" s="1457">
        <v>2</v>
      </c>
      <c r="AA814"/>
      <c r="AC814" s="68"/>
    </row>
    <row r="815" spans="3:29" ht="13.5">
      <c r="C815" s="1463" t="s">
        <v>4607</v>
      </c>
      <c r="D815" s="1460">
        <v>0</v>
      </c>
      <c r="E815" s="1460">
        <v>0</v>
      </c>
      <c r="F815" s="1461">
        <v>0</v>
      </c>
      <c r="G815" s="1472" t="s">
        <v>4607</v>
      </c>
      <c r="H815" s="1458">
        <v>0</v>
      </c>
      <c r="I815" s="1458">
        <v>0</v>
      </c>
      <c r="J815" s="1473">
        <v>0</v>
      </c>
      <c r="K815" s="1462"/>
      <c r="L815" s="1456">
        <v>13069010100</v>
      </c>
      <c r="M815" s="1457">
        <v>0</v>
      </c>
      <c r="N815" s="1457">
        <v>0</v>
      </c>
      <c r="O815" s="1457">
        <v>0</v>
      </c>
      <c r="AA815"/>
      <c r="AC815" s="68"/>
    </row>
    <row r="816" spans="3:29" ht="13.5">
      <c r="C816" s="1463" t="s">
        <v>4608</v>
      </c>
      <c r="D816" s="1460">
        <v>0</v>
      </c>
      <c r="E816" s="1460">
        <v>0</v>
      </c>
      <c r="F816" s="1461">
        <v>0</v>
      </c>
      <c r="G816" s="1472" t="s">
        <v>4608</v>
      </c>
      <c r="H816" s="1458">
        <v>0</v>
      </c>
      <c r="I816" s="1458" t="s">
        <v>3911</v>
      </c>
      <c r="J816" s="1473">
        <v>0</v>
      </c>
      <c r="K816" s="1462"/>
      <c r="L816" s="1456">
        <v>13069010200</v>
      </c>
      <c r="M816" s="1457">
        <v>0</v>
      </c>
      <c r="N816" s="1457">
        <v>0</v>
      </c>
      <c r="O816" s="1457">
        <v>0</v>
      </c>
      <c r="AA816"/>
      <c r="AC816" s="68"/>
    </row>
    <row r="817" spans="3:29" ht="13.5">
      <c r="C817" s="1463" t="s">
        <v>4609</v>
      </c>
      <c r="D817" s="1460">
        <v>0</v>
      </c>
      <c r="E817" s="1460">
        <v>0</v>
      </c>
      <c r="F817" s="1461">
        <v>0</v>
      </c>
      <c r="G817" s="1472" t="s">
        <v>4609</v>
      </c>
      <c r="H817" s="1458">
        <v>0</v>
      </c>
      <c r="I817" s="1458">
        <v>0</v>
      </c>
      <c r="J817" s="1473">
        <v>0</v>
      </c>
      <c r="K817" s="1462"/>
      <c r="L817" s="1456">
        <v>13069010300</v>
      </c>
      <c r="M817" s="1457">
        <v>0</v>
      </c>
      <c r="N817" s="1457">
        <v>0</v>
      </c>
      <c r="O817" s="1457">
        <v>0</v>
      </c>
      <c r="AA817"/>
      <c r="AC817" s="68"/>
    </row>
    <row r="818" spans="3:29" ht="13.5">
      <c r="C818" s="1463" t="s">
        <v>4610</v>
      </c>
      <c r="D818" s="1460">
        <v>0</v>
      </c>
      <c r="E818" s="1460">
        <v>0</v>
      </c>
      <c r="F818" s="1461">
        <v>0</v>
      </c>
      <c r="G818" s="1472" t="s">
        <v>4610</v>
      </c>
      <c r="H818" s="1458">
        <v>0</v>
      </c>
      <c r="I818" s="1458">
        <v>0</v>
      </c>
      <c r="J818" s="1473">
        <v>0</v>
      </c>
      <c r="K818" s="1462"/>
      <c r="L818" s="1456">
        <v>13069010400</v>
      </c>
      <c r="M818" s="1457">
        <v>0</v>
      </c>
      <c r="N818" s="1457">
        <v>0</v>
      </c>
      <c r="O818" s="1457">
        <v>0</v>
      </c>
      <c r="AA818"/>
      <c r="AC818" s="68"/>
    </row>
    <row r="819" spans="3:29" ht="13.5">
      <c r="C819" s="1463" t="s">
        <v>4611</v>
      </c>
      <c r="D819" s="1460">
        <v>0</v>
      </c>
      <c r="E819" s="1460">
        <v>0</v>
      </c>
      <c r="F819" s="1461">
        <v>0</v>
      </c>
      <c r="G819" s="1472" t="s">
        <v>4611</v>
      </c>
      <c r="H819" s="1458">
        <v>0</v>
      </c>
      <c r="I819" s="1458">
        <v>0</v>
      </c>
      <c r="J819" s="1473">
        <v>0</v>
      </c>
      <c r="K819" s="1462"/>
      <c r="L819" s="1456">
        <v>13069010500</v>
      </c>
      <c r="M819" s="1457">
        <v>0</v>
      </c>
      <c r="N819" s="1457">
        <v>0</v>
      </c>
      <c r="O819" s="1457">
        <v>0</v>
      </c>
      <c r="AA819"/>
      <c r="AC819" s="68"/>
    </row>
    <row r="820" spans="3:29" ht="13.5">
      <c r="C820" s="1463" t="s">
        <v>4612</v>
      </c>
      <c r="D820" s="1460">
        <v>1</v>
      </c>
      <c r="E820" s="1460">
        <v>1</v>
      </c>
      <c r="F820" s="1461">
        <v>2</v>
      </c>
      <c r="G820" s="1472" t="s">
        <v>4612</v>
      </c>
      <c r="H820" s="1458">
        <v>0</v>
      </c>
      <c r="I820" s="1458">
        <v>0</v>
      </c>
      <c r="J820" s="1473">
        <v>0</v>
      </c>
      <c r="K820" s="1462"/>
      <c r="L820" s="1456">
        <v>13069010600</v>
      </c>
      <c r="M820" s="1457">
        <v>1</v>
      </c>
      <c r="N820" s="1457">
        <v>1</v>
      </c>
      <c r="O820" s="1457">
        <v>2</v>
      </c>
      <c r="AA820"/>
      <c r="AC820" s="68"/>
    </row>
    <row r="821" spans="3:29" ht="13.5">
      <c r="C821" s="1463" t="s">
        <v>4613</v>
      </c>
      <c r="D821" s="1460">
        <v>0</v>
      </c>
      <c r="E821" s="1460">
        <v>0</v>
      </c>
      <c r="F821" s="1461">
        <v>0</v>
      </c>
      <c r="G821" s="1472" t="s">
        <v>4613</v>
      </c>
      <c r="H821" s="1458">
        <v>0</v>
      </c>
      <c r="I821" s="1458">
        <v>0</v>
      </c>
      <c r="J821" s="1473">
        <v>0</v>
      </c>
      <c r="K821" s="1462"/>
      <c r="L821" s="1456">
        <v>13069010700</v>
      </c>
      <c r="M821" s="1457">
        <v>0</v>
      </c>
      <c r="N821" s="1457">
        <v>0</v>
      </c>
      <c r="O821" s="1457">
        <v>0</v>
      </c>
      <c r="AA821"/>
      <c r="AC821" s="68"/>
    </row>
    <row r="822" spans="3:29" ht="13.5">
      <c r="C822" s="1463" t="s">
        <v>4614</v>
      </c>
      <c r="D822" s="1460">
        <v>0</v>
      </c>
      <c r="E822" s="1460">
        <v>0</v>
      </c>
      <c r="F822" s="1461">
        <v>0</v>
      </c>
      <c r="G822" s="1472" t="s">
        <v>4614</v>
      </c>
      <c r="H822" s="1458">
        <v>0</v>
      </c>
      <c r="I822" s="1458">
        <v>0</v>
      </c>
      <c r="J822" s="1473">
        <v>0</v>
      </c>
      <c r="K822" s="1462"/>
      <c r="L822" s="1456">
        <v>13069010801</v>
      </c>
      <c r="M822" s="1457">
        <v>0</v>
      </c>
      <c r="N822" s="1457">
        <v>0</v>
      </c>
      <c r="O822" s="1457">
        <v>0</v>
      </c>
      <c r="AA822"/>
      <c r="AC822" s="68"/>
    </row>
    <row r="823" spans="3:29" ht="13.5">
      <c r="C823" s="1463" t="s">
        <v>4615</v>
      </c>
      <c r="D823" s="1460">
        <v>0</v>
      </c>
      <c r="E823" s="1460">
        <v>0</v>
      </c>
      <c r="F823" s="1461">
        <v>0</v>
      </c>
      <c r="G823" s="1472" t="s">
        <v>4615</v>
      </c>
      <c r="H823" s="1458">
        <v>0</v>
      </c>
      <c r="I823" s="1458">
        <v>0</v>
      </c>
      <c r="J823" s="1473">
        <v>0</v>
      </c>
      <c r="K823" s="1462"/>
      <c r="L823" s="1456">
        <v>13069010802</v>
      </c>
      <c r="M823" s="1457">
        <v>0</v>
      </c>
      <c r="N823" s="1457">
        <v>0</v>
      </c>
      <c r="O823" s="1457">
        <v>0</v>
      </c>
      <c r="AA823"/>
      <c r="AC823" s="68"/>
    </row>
    <row r="824" spans="3:29" ht="13.5">
      <c r="C824" s="1463" t="s">
        <v>4616</v>
      </c>
      <c r="D824" s="1460">
        <v>0</v>
      </c>
      <c r="E824" s="1460">
        <v>0</v>
      </c>
      <c r="F824" s="1461">
        <v>0</v>
      </c>
      <c r="G824" s="1472" t="s">
        <v>4616</v>
      </c>
      <c r="H824" s="1458">
        <v>0</v>
      </c>
      <c r="I824" s="1458">
        <v>0</v>
      </c>
      <c r="J824" s="1473">
        <v>0</v>
      </c>
      <c r="K824" s="1462"/>
      <c r="L824" s="1456">
        <v>13071970100</v>
      </c>
      <c r="M824" s="1457">
        <v>0</v>
      </c>
      <c r="N824" s="1457">
        <v>0</v>
      </c>
      <c r="O824" s="1457">
        <v>0</v>
      </c>
      <c r="AA824"/>
      <c r="AC824" s="68"/>
    </row>
    <row r="825" spans="3:29" ht="13.5">
      <c r="C825" s="1463" t="s">
        <v>4617</v>
      </c>
      <c r="D825" s="1460">
        <v>0</v>
      </c>
      <c r="E825" s="1460">
        <v>0</v>
      </c>
      <c r="F825" s="1461">
        <v>0</v>
      </c>
      <c r="G825" s="1472" t="s">
        <v>4617</v>
      </c>
      <c r="H825" s="1458">
        <v>0</v>
      </c>
      <c r="I825" s="1458">
        <v>0</v>
      </c>
      <c r="J825" s="1473">
        <v>0</v>
      </c>
      <c r="K825" s="1462"/>
      <c r="L825" s="1456">
        <v>13071970200</v>
      </c>
      <c r="M825" s="1457">
        <v>0</v>
      </c>
      <c r="N825" s="1457">
        <v>0</v>
      </c>
      <c r="O825" s="1457">
        <v>0</v>
      </c>
      <c r="AA825"/>
      <c r="AC825" s="68"/>
    </row>
    <row r="826" spans="3:29" ht="13.5">
      <c r="C826" s="1463" t="s">
        <v>4618</v>
      </c>
      <c r="D826" s="1460">
        <v>0</v>
      </c>
      <c r="E826" s="1460">
        <v>0</v>
      </c>
      <c r="F826" s="1461">
        <v>0</v>
      </c>
      <c r="G826" s="1472" t="s">
        <v>4618</v>
      </c>
      <c r="H826" s="1458">
        <v>0</v>
      </c>
      <c r="I826" s="1458">
        <v>0</v>
      </c>
      <c r="J826" s="1473">
        <v>0</v>
      </c>
      <c r="K826" s="1462"/>
      <c r="L826" s="1456">
        <v>13071970300</v>
      </c>
      <c r="M826" s="1457">
        <v>0</v>
      </c>
      <c r="N826" s="1457">
        <v>0</v>
      </c>
      <c r="O826" s="1457">
        <v>0</v>
      </c>
      <c r="AA826"/>
      <c r="AC826" s="68"/>
    </row>
    <row r="827" spans="3:29" ht="13.5">
      <c r="C827" s="1463" t="s">
        <v>4619</v>
      </c>
      <c r="D827" s="1460">
        <v>0</v>
      </c>
      <c r="E827" s="1460">
        <v>0</v>
      </c>
      <c r="F827" s="1461">
        <v>0</v>
      </c>
      <c r="G827" s="1472" t="s">
        <v>4619</v>
      </c>
      <c r="H827" s="1458">
        <v>0</v>
      </c>
      <c r="I827" s="1458">
        <v>0</v>
      </c>
      <c r="J827" s="1473">
        <v>0</v>
      </c>
      <c r="K827" s="1462"/>
      <c r="L827" s="1456">
        <v>13071970400</v>
      </c>
      <c r="M827" s="1457">
        <v>0</v>
      </c>
      <c r="N827" s="1457">
        <v>0</v>
      </c>
      <c r="O827" s="1457">
        <v>0</v>
      </c>
      <c r="AA827"/>
      <c r="AC827" s="68"/>
    </row>
    <row r="828" spans="3:29" ht="13.5">
      <c r="C828" s="1463" t="s">
        <v>4620</v>
      </c>
      <c r="D828" s="1460">
        <v>0</v>
      </c>
      <c r="E828" s="1460">
        <v>0</v>
      </c>
      <c r="F828" s="1461">
        <v>0</v>
      </c>
      <c r="G828" s="1472" t="s">
        <v>4620</v>
      </c>
      <c r="H828" s="1458">
        <v>0</v>
      </c>
      <c r="I828" s="1458">
        <v>0</v>
      </c>
      <c r="J828" s="1473">
        <v>0</v>
      </c>
      <c r="K828" s="1462"/>
      <c r="L828" s="1456">
        <v>13071970500</v>
      </c>
      <c r="M828" s="1457">
        <v>0</v>
      </c>
      <c r="N828" s="1457">
        <v>0</v>
      </c>
      <c r="O828" s="1457">
        <v>0</v>
      </c>
      <c r="AA828"/>
      <c r="AC828" s="68"/>
    </row>
    <row r="829" spans="3:29" ht="13.5">
      <c r="C829" s="1463" t="s">
        <v>4621</v>
      </c>
      <c r="D829" s="1460">
        <v>0</v>
      </c>
      <c r="E829" s="1460">
        <v>0</v>
      </c>
      <c r="F829" s="1461">
        <v>0</v>
      </c>
      <c r="G829" s="1472" t="s">
        <v>4621</v>
      </c>
      <c r="H829" s="1458">
        <v>0</v>
      </c>
      <c r="I829" s="1458">
        <v>0</v>
      </c>
      <c r="J829" s="1473">
        <v>0</v>
      </c>
      <c r="K829" s="1462"/>
      <c r="L829" s="1456">
        <v>13071970600</v>
      </c>
      <c r="M829" s="1457">
        <v>0</v>
      </c>
      <c r="N829" s="1457">
        <v>0</v>
      </c>
      <c r="O829" s="1457">
        <v>0</v>
      </c>
      <c r="AA829"/>
      <c r="AC829" s="68"/>
    </row>
    <row r="830" spans="3:29" ht="13.5">
      <c r="C830" s="1463" t="s">
        <v>4622</v>
      </c>
      <c r="D830" s="1460">
        <v>0</v>
      </c>
      <c r="E830" s="1460">
        <v>0</v>
      </c>
      <c r="F830" s="1461">
        <v>0</v>
      </c>
      <c r="G830" s="1472" t="s">
        <v>4622</v>
      </c>
      <c r="H830" s="1458">
        <v>0</v>
      </c>
      <c r="I830" s="1458">
        <v>0</v>
      </c>
      <c r="J830" s="1473">
        <v>0</v>
      </c>
      <c r="K830" s="1462"/>
      <c r="L830" s="1456">
        <v>13071970701</v>
      </c>
      <c r="M830" s="1457">
        <v>0</v>
      </c>
      <c r="N830" s="1457">
        <v>0</v>
      </c>
      <c r="O830" s="1457">
        <v>0</v>
      </c>
      <c r="AA830"/>
      <c r="AC830" s="68"/>
    </row>
    <row r="831" spans="3:29" ht="13.5">
      <c r="C831" s="1463" t="s">
        <v>4623</v>
      </c>
      <c r="D831" s="1460">
        <v>0</v>
      </c>
      <c r="E831" s="1460">
        <v>0</v>
      </c>
      <c r="F831" s="1461">
        <v>0</v>
      </c>
      <c r="G831" s="1472" t="s">
        <v>4623</v>
      </c>
      <c r="H831" s="1458">
        <v>0</v>
      </c>
      <c r="I831" s="1458">
        <v>0</v>
      </c>
      <c r="J831" s="1473">
        <v>0</v>
      </c>
      <c r="K831" s="1462"/>
      <c r="L831" s="1456">
        <v>13071970702</v>
      </c>
      <c r="M831" s="1457">
        <v>0</v>
      </c>
      <c r="N831" s="1457">
        <v>0</v>
      </c>
      <c r="O831" s="1457">
        <v>0</v>
      </c>
      <c r="AA831"/>
      <c r="AC831" s="68"/>
    </row>
    <row r="832" spans="3:29" ht="13.5">
      <c r="C832" s="1463" t="s">
        <v>4624</v>
      </c>
      <c r="D832" s="1460">
        <v>0</v>
      </c>
      <c r="E832" s="1460">
        <v>0</v>
      </c>
      <c r="F832" s="1461">
        <v>0</v>
      </c>
      <c r="G832" s="1472" t="s">
        <v>4624</v>
      </c>
      <c r="H832" s="1458">
        <v>0</v>
      </c>
      <c r="I832" s="1458">
        <v>0</v>
      </c>
      <c r="J832" s="1473">
        <v>0</v>
      </c>
      <c r="K832" s="1462"/>
      <c r="L832" s="1456">
        <v>13071970800</v>
      </c>
      <c r="M832" s="1457">
        <v>0</v>
      </c>
      <c r="N832" s="1457">
        <v>0</v>
      </c>
      <c r="O832" s="1457">
        <v>0</v>
      </c>
      <c r="AA832"/>
      <c r="AC832" s="68"/>
    </row>
    <row r="833" spans="3:29" ht="13.5">
      <c r="C833" s="1463" t="s">
        <v>4625</v>
      </c>
      <c r="D833" s="1460">
        <v>0</v>
      </c>
      <c r="E833" s="1460">
        <v>0</v>
      </c>
      <c r="F833" s="1461">
        <v>0</v>
      </c>
      <c r="G833" s="1472" t="s">
        <v>4625</v>
      </c>
      <c r="H833" s="1458">
        <v>0</v>
      </c>
      <c r="I833" s="1458">
        <v>0</v>
      </c>
      <c r="J833" s="1473">
        <v>0</v>
      </c>
      <c r="K833" s="1462"/>
      <c r="L833" s="1456">
        <v>13071970900</v>
      </c>
      <c r="M833" s="1457">
        <v>0</v>
      </c>
      <c r="N833" s="1457">
        <v>0</v>
      </c>
      <c r="O833" s="1457">
        <v>0</v>
      </c>
      <c r="AA833"/>
      <c r="AC833" s="68"/>
    </row>
    <row r="834" spans="3:29" ht="13.5">
      <c r="C834" s="1463" t="s">
        <v>4626</v>
      </c>
      <c r="D834" s="1460">
        <v>1</v>
      </c>
      <c r="E834" s="1460">
        <v>1</v>
      </c>
      <c r="F834" s="1461">
        <v>2</v>
      </c>
      <c r="G834" s="1472" t="s">
        <v>4626</v>
      </c>
      <c r="H834" s="1458">
        <v>1</v>
      </c>
      <c r="I834" s="1458" t="s">
        <v>3911</v>
      </c>
      <c r="J834" s="1473">
        <v>1</v>
      </c>
      <c r="K834" s="1462"/>
      <c r="L834" s="1456">
        <v>13073030102</v>
      </c>
      <c r="M834" s="1457">
        <v>1</v>
      </c>
      <c r="N834" s="1457">
        <v>1</v>
      </c>
      <c r="O834" s="1457">
        <v>2</v>
      </c>
      <c r="AA834"/>
      <c r="AC834" s="68"/>
    </row>
    <row r="835" spans="3:29" ht="13.5">
      <c r="C835" s="1463" t="s">
        <v>4627</v>
      </c>
      <c r="D835" s="1460">
        <v>1</v>
      </c>
      <c r="E835" s="1460">
        <v>1</v>
      </c>
      <c r="F835" s="1461">
        <v>2</v>
      </c>
      <c r="G835" s="1472" t="s">
        <v>4627</v>
      </c>
      <c r="H835" s="1458">
        <v>1</v>
      </c>
      <c r="I835" s="1458">
        <v>1</v>
      </c>
      <c r="J835" s="1473">
        <v>2</v>
      </c>
      <c r="K835" s="1462"/>
      <c r="L835" s="1456">
        <v>13073030103</v>
      </c>
      <c r="M835" s="1457">
        <v>1</v>
      </c>
      <c r="N835" s="1457">
        <v>1</v>
      </c>
      <c r="O835" s="1457">
        <v>2</v>
      </c>
      <c r="AA835"/>
      <c r="AC835" s="68"/>
    </row>
    <row r="836" spans="3:29" ht="13.5">
      <c r="C836" s="1463" t="s">
        <v>4628</v>
      </c>
      <c r="D836" s="1460">
        <v>1</v>
      </c>
      <c r="E836" s="1460">
        <v>1</v>
      </c>
      <c r="F836" s="1461">
        <v>2</v>
      </c>
      <c r="G836" s="1472" t="s">
        <v>4628</v>
      </c>
      <c r="H836" s="1458">
        <v>1</v>
      </c>
      <c r="I836" s="1458">
        <v>1</v>
      </c>
      <c r="J836" s="1473">
        <v>2</v>
      </c>
      <c r="K836" s="1462"/>
      <c r="L836" s="1456">
        <v>13073030105</v>
      </c>
      <c r="M836" s="1457">
        <v>1</v>
      </c>
      <c r="N836" s="1457">
        <v>1</v>
      </c>
      <c r="O836" s="1457">
        <v>2</v>
      </c>
      <c r="AA836"/>
      <c r="AC836" s="68"/>
    </row>
    <row r="837" spans="3:29" ht="13.5">
      <c r="C837" s="1463" t="s">
        <v>4629</v>
      </c>
      <c r="D837" s="1460">
        <v>1</v>
      </c>
      <c r="E837" s="1460">
        <v>1</v>
      </c>
      <c r="F837" s="1461">
        <v>2</v>
      </c>
      <c r="G837" s="1472" t="s">
        <v>4629</v>
      </c>
      <c r="H837" s="1458">
        <v>1</v>
      </c>
      <c r="I837" s="1458">
        <v>1</v>
      </c>
      <c r="J837" s="1473">
        <v>2</v>
      </c>
      <c r="K837" s="1462"/>
      <c r="L837" s="1456">
        <v>13073030106</v>
      </c>
      <c r="M837" s="1457">
        <v>1</v>
      </c>
      <c r="N837" s="1457">
        <v>1</v>
      </c>
      <c r="O837" s="1457">
        <v>2</v>
      </c>
      <c r="AA837"/>
      <c r="AC837" s="68"/>
    </row>
    <row r="838" spans="3:29" ht="13.5">
      <c r="C838" s="1463" t="s">
        <v>4630</v>
      </c>
      <c r="D838" s="1460">
        <v>1</v>
      </c>
      <c r="E838" s="1460">
        <v>1</v>
      </c>
      <c r="F838" s="1461">
        <v>2</v>
      </c>
      <c r="G838" s="1472" t="s">
        <v>4630</v>
      </c>
      <c r="H838" s="1458">
        <v>0</v>
      </c>
      <c r="I838" s="1458">
        <v>1</v>
      </c>
      <c r="J838" s="1473">
        <v>1</v>
      </c>
      <c r="K838" s="1462"/>
      <c r="L838" s="1456">
        <v>13073030201</v>
      </c>
      <c r="M838" s="1457">
        <v>1</v>
      </c>
      <c r="N838" s="1457">
        <v>1</v>
      </c>
      <c r="O838" s="1457">
        <v>2</v>
      </c>
      <c r="AA838"/>
      <c r="AC838" s="68"/>
    </row>
    <row r="839" spans="3:29" ht="13.5">
      <c r="C839" s="1463" t="s">
        <v>4631</v>
      </c>
      <c r="D839" s="1460">
        <v>0</v>
      </c>
      <c r="E839" s="1460">
        <v>1</v>
      </c>
      <c r="F839" s="1461">
        <v>1</v>
      </c>
      <c r="G839" s="1472" t="s">
        <v>4631</v>
      </c>
      <c r="H839" s="1458">
        <v>0</v>
      </c>
      <c r="I839" s="1458">
        <v>1</v>
      </c>
      <c r="J839" s="1473">
        <v>1</v>
      </c>
      <c r="K839" s="1462"/>
      <c r="L839" s="1456">
        <v>13073030202</v>
      </c>
      <c r="M839" s="1457">
        <v>0</v>
      </c>
      <c r="N839" s="1457">
        <v>1</v>
      </c>
      <c r="O839" s="1457">
        <v>1</v>
      </c>
      <c r="AA839"/>
      <c r="AC839" s="68"/>
    </row>
    <row r="840" spans="3:29" ht="13.5">
      <c r="C840" s="1463" t="s">
        <v>4632</v>
      </c>
      <c r="D840" s="1460">
        <v>1</v>
      </c>
      <c r="E840" s="1460">
        <v>1</v>
      </c>
      <c r="F840" s="1461">
        <v>2</v>
      </c>
      <c r="G840" s="1472" t="s">
        <v>4632</v>
      </c>
      <c r="H840" s="1458">
        <v>1</v>
      </c>
      <c r="I840" s="1458">
        <v>1</v>
      </c>
      <c r="J840" s="1473">
        <v>2</v>
      </c>
      <c r="K840" s="1462"/>
      <c r="L840" s="1456">
        <v>13073030203</v>
      </c>
      <c r="M840" s="1457">
        <v>1</v>
      </c>
      <c r="N840" s="1457">
        <v>1</v>
      </c>
      <c r="O840" s="1457">
        <v>2</v>
      </c>
      <c r="AA840"/>
      <c r="AC840" s="68"/>
    </row>
    <row r="841" spans="3:29" ht="13.5">
      <c r="C841" s="1463" t="s">
        <v>4633</v>
      </c>
      <c r="D841" s="1460">
        <v>1</v>
      </c>
      <c r="E841" s="1460">
        <v>1</v>
      </c>
      <c r="F841" s="1461">
        <v>2</v>
      </c>
      <c r="G841" s="1472" t="s">
        <v>4633</v>
      </c>
      <c r="H841" s="1458">
        <v>1</v>
      </c>
      <c r="I841" s="1458">
        <v>1</v>
      </c>
      <c r="J841" s="1473">
        <v>2</v>
      </c>
      <c r="K841" s="1462"/>
      <c r="L841" s="1456">
        <v>13073030302</v>
      </c>
      <c r="M841" s="1457">
        <v>1</v>
      </c>
      <c r="N841" s="1457">
        <v>1</v>
      </c>
      <c r="O841" s="1457">
        <v>2</v>
      </c>
      <c r="AA841"/>
      <c r="AC841" s="68"/>
    </row>
    <row r="842" spans="3:29" ht="13.5">
      <c r="C842" s="1463" t="s">
        <v>4634</v>
      </c>
      <c r="D842" s="1460">
        <v>1</v>
      </c>
      <c r="E842" s="1460">
        <v>1</v>
      </c>
      <c r="F842" s="1461">
        <v>2</v>
      </c>
      <c r="G842" s="1472" t="s">
        <v>4634</v>
      </c>
      <c r="H842" s="1458">
        <v>1</v>
      </c>
      <c r="I842" s="1458">
        <v>1</v>
      </c>
      <c r="J842" s="1473">
        <v>2</v>
      </c>
      <c r="K842" s="1462"/>
      <c r="L842" s="1456">
        <v>13073030304</v>
      </c>
      <c r="M842" s="1457">
        <v>1</v>
      </c>
      <c r="N842" s="1457">
        <v>1</v>
      </c>
      <c r="O842" s="1457">
        <v>2</v>
      </c>
    </row>
    <row r="843" spans="3:29" ht="13.5">
      <c r="C843" s="1463" t="s">
        <v>4635</v>
      </c>
      <c r="D843" s="1460">
        <v>1</v>
      </c>
      <c r="E843" s="1460">
        <v>1</v>
      </c>
      <c r="F843" s="1461">
        <v>2</v>
      </c>
      <c r="G843" s="1472" t="s">
        <v>4635</v>
      </c>
      <c r="H843" s="1458">
        <v>1</v>
      </c>
      <c r="I843" s="1458">
        <v>1</v>
      </c>
      <c r="J843" s="1473">
        <v>2</v>
      </c>
      <c r="K843" s="1462"/>
      <c r="L843" s="1456">
        <v>13073030306</v>
      </c>
      <c r="M843" s="1457">
        <v>1</v>
      </c>
      <c r="N843" s="1457">
        <v>1</v>
      </c>
      <c r="O843" s="1457">
        <v>2</v>
      </c>
    </row>
    <row r="844" spans="3:29" ht="13.5">
      <c r="C844" s="1463" t="s">
        <v>4636</v>
      </c>
      <c r="D844" s="1460">
        <v>1</v>
      </c>
      <c r="E844" s="1460">
        <v>1</v>
      </c>
      <c r="F844" s="1461">
        <v>2</v>
      </c>
      <c r="G844" s="1472" t="s">
        <v>4636</v>
      </c>
      <c r="H844" s="1458">
        <v>1</v>
      </c>
      <c r="I844" s="1458">
        <v>1</v>
      </c>
      <c r="J844" s="1473">
        <v>2</v>
      </c>
      <c r="K844" s="1462"/>
      <c r="L844" s="1456">
        <v>13073030307</v>
      </c>
      <c r="M844" s="1457">
        <v>1</v>
      </c>
      <c r="N844" s="1457">
        <v>1</v>
      </c>
      <c r="O844" s="1457">
        <v>2</v>
      </c>
    </row>
    <row r="845" spans="3:29" ht="13.5">
      <c r="C845" s="1463" t="s">
        <v>4637</v>
      </c>
      <c r="D845" s="1460">
        <v>1</v>
      </c>
      <c r="E845" s="1460">
        <v>1</v>
      </c>
      <c r="F845" s="1461">
        <v>2</v>
      </c>
      <c r="G845" s="1472" t="s">
        <v>4637</v>
      </c>
      <c r="H845" s="1458">
        <v>1</v>
      </c>
      <c r="I845" s="1458">
        <v>1</v>
      </c>
      <c r="J845" s="1473">
        <v>2</v>
      </c>
      <c r="K845" s="1462"/>
      <c r="L845" s="1456">
        <v>13073030308</v>
      </c>
      <c r="M845" s="1457">
        <v>1</v>
      </c>
      <c r="N845" s="1457">
        <v>1</v>
      </c>
      <c r="O845" s="1457">
        <v>2</v>
      </c>
    </row>
    <row r="846" spans="3:29" ht="13.5">
      <c r="C846" s="1463" t="s">
        <v>4638</v>
      </c>
      <c r="D846" s="1460">
        <v>1</v>
      </c>
      <c r="E846" s="1460">
        <v>1</v>
      </c>
      <c r="F846" s="1461">
        <v>2</v>
      </c>
      <c r="G846" s="1472" t="s">
        <v>4638</v>
      </c>
      <c r="H846" s="1458">
        <v>1</v>
      </c>
      <c r="I846" s="1458">
        <v>1</v>
      </c>
      <c r="J846" s="1473">
        <v>2</v>
      </c>
      <c r="K846" s="1462"/>
      <c r="L846" s="1456">
        <v>13073030309</v>
      </c>
      <c r="M846" s="1457">
        <v>1</v>
      </c>
      <c r="N846" s="1457">
        <v>1</v>
      </c>
      <c r="O846" s="1457">
        <v>2</v>
      </c>
    </row>
    <row r="847" spans="3:29" ht="13.5">
      <c r="C847" s="1463" t="s">
        <v>4639</v>
      </c>
      <c r="D847" s="1460">
        <v>0</v>
      </c>
      <c r="E847" s="1460">
        <v>0</v>
      </c>
      <c r="F847" s="1461">
        <v>0</v>
      </c>
      <c r="G847" s="1472" t="s">
        <v>4639</v>
      </c>
      <c r="H847" s="1458">
        <v>0</v>
      </c>
      <c r="I847" s="1458">
        <v>0</v>
      </c>
      <c r="J847" s="1473">
        <v>0</v>
      </c>
      <c r="K847" s="1462"/>
      <c r="L847" s="1456">
        <v>13073030401</v>
      </c>
      <c r="M847" s="1457">
        <v>0</v>
      </c>
      <c r="N847" s="1457">
        <v>0</v>
      </c>
      <c r="O847" s="1457">
        <v>0</v>
      </c>
    </row>
    <row r="848" spans="3:29" ht="13.5">
      <c r="C848" s="1463" t="s">
        <v>4640</v>
      </c>
      <c r="D848" s="1460">
        <v>1</v>
      </c>
      <c r="E848" s="1460">
        <v>1</v>
      </c>
      <c r="F848" s="1461">
        <v>2</v>
      </c>
      <c r="G848" s="1472" t="s">
        <v>4640</v>
      </c>
      <c r="H848" s="1458">
        <v>1</v>
      </c>
      <c r="I848" s="1458">
        <v>1</v>
      </c>
      <c r="J848" s="1473">
        <v>2</v>
      </c>
      <c r="K848" s="1462"/>
      <c r="L848" s="1456">
        <v>13073030402</v>
      </c>
      <c r="M848" s="1457">
        <v>1</v>
      </c>
      <c r="N848" s="1457">
        <v>1</v>
      </c>
      <c r="O848" s="1457">
        <v>2</v>
      </c>
    </row>
    <row r="849" spans="3:15" ht="13.5">
      <c r="C849" s="1463" t="s">
        <v>4641</v>
      </c>
      <c r="D849" s="1460">
        <v>1</v>
      </c>
      <c r="E849" s="1460">
        <v>1</v>
      </c>
      <c r="F849" s="1461">
        <v>2</v>
      </c>
      <c r="G849" s="1472" t="s">
        <v>4641</v>
      </c>
      <c r="H849" s="1458">
        <v>1</v>
      </c>
      <c r="I849" s="1458">
        <v>0</v>
      </c>
      <c r="J849" s="1473">
        <v>1</v>
      </c>
      <c r="K849" s="1462"/>
      <c r="L849" s="1456">
        <v>13073030503</v>
      </c>
      <c r="M849" s="1457">
        <v>1</v>
      </c>
      <c r="N849" s="1457">
        <v>1</v>
      </c>
      <c r="O849" s="1457">
        <v>2</v>
      </c>
    </row>
    <row r="850" spans="3:15" ht="13.5">
      <c r="C850" s="1463" t="s">
        <v>4642</v>
      </c>
      <c r="D850" s="1460">
        <v>1</v>
      </c>
      <c r="E850" s="1460">
        <v>1</v>
      </c>
      <c r="F850" s="1461">
        <v>2</v>
      </c>
      <c r="G850" s="1472" t="s">
        <v>4642</v>
      </c>
      <c r="H850" s="1458">
        <v>0</v>
      </c>
      <c r="I850" s="1458">
        <v>1</v>
      </c>
      <c r="J850" s="1473">
        <v>1</v>
      </c>
      <c r="K850" s="1462"/>
      <c r="L850" s="1456">
        <v>13073030504</v>
      </c>
      <c r="M850" s="1457">
        <v>1</v>
      </c>
      <c r="N850" s="1457">
        <v>1</v>
      </c>
      <c r="O850" s="1457">
        <v>2</v>
      </c>
    </row>
    <row r="851" spans="3:15" ht="13.5">
      <c r="C851" s="1463" t="s">
        <v>4643</v>
      </c>
      <c r="D851" s="1460">
        <v>1</v>
      </c>
      <c r="E851" s="1460">
        <v>1</v>
      </c>
      <c r="F851" s="1461">
        <v>2</v>
      </c>
      <c r="G851" s="1472" t="s">
        <v>4643</v>
      </c>
      <c r="H851" s="1458">
        <v>0</v>
      </c>
      <c r="I851" s="1458" t="s">
        <v>3911</v>
      </c>
      <c r="J851" s="1473">
        <v>0</v>
      </c>
      <c r="K851" s="1462"/>
      <c r="L851" s="1456">
        <v>13073030505</v>
      </c>
      <c r="M851" s="1457">
        <v>1</v>
      </c>
      <c r="N851" s="1457">
        <v>1</v>
      </c>
      <c r="O851" s="1457">
        <v>2</v>
      </c>
    </row>
    <row r="852" spans="3:15" ht="13.5">
      <c r="C852" s="1463" t="s">
        <v>4644</v>
      </c>
      <c r="D852" s="1460">
        <v>0</v>
      </c>
      <c r="E852" s="1460">
        <v>1</v>
      </c>
      <c r="F852" s="1461">
        <v>1</v>
      </c>
      <c r="G852" s="1472" t="s">
        <v>4644</v>
      </c>
      <c r="H852" s="1458">
        <v>0</v>
      </c>
      <c r="I852" s="1458">
        <v>0</v>
      </c>
      <c r="J852" s="1473">
        <v>0</v>
      </c>
      <c r="K852" s="1462"/>
      <c r="L852" s="1456">
        <v>13073030506</v>
      </c>
      <c r="M852" s="1457">
        <v>0</v>
      </c>
      <c r="N852" s="1457">
        <v>1</v>
      </c>
      <c r="O852" s="1457">
        <v>1</v>
      </c>
    </row>
    <row r="853" spans="3:15" ht="13.5">
      <c r="C853" s="1463" t="s">
        <v>4645</v>
      </c>
      <c r="D853" s="1460">
        <v>0</v>
      </c>
      <c r="E853" s="1460">
        <v>0</v>
      </c>
      <c r="F853" s="1461">
        <v>0</v>
      </c>
      <c r="G853" s="1472" t="s">
        <v>4645</v>
      </c>
      <c r="H853" s="1458">
        <v>0</v>
      </c>
      <c r="I853" s="1458">
        <v>0</v>
      </c>
      <c r="J853" s="1473">
        <v>0</v>
      </c>
      <c r="K853" s="1462"/>
      <c r="L853" s="1456">
        <v>13073030603</v>
      </c>
      <c r="M853" s="1457">
        <v>0</v>
      </c>
      <c r="N853" s="1457">
        <v>0</v>
      </c>
      <c r="O853" s="1457">
        <v>0</v>
      </c>
    </row>
    <row r="854" spans="3:15" ht="13.5">
      <c r="C854" s="1463" t="s">
        <v>4646</v>
      </c>
      <c r="D854" s="1460">
        <v>0</v>
      </c>
      <c r="E854" s="1460">
        <v>0</v>
      </c>
      <c r="F854" s="1461">
        <v>0</v>
      </c>
      <c r="G854" s="1472" t="s">
        <v>4646</v>
      </c>
      <c r="H854" s="1458">
        <v>0</v>
      </c>
      <c r="I854" s="1458">
        <v>0</v>
      </c>
      <c r="J854" s="1473">
        <v>0</v>
      </c>
      <c r="K854" s="1462"/>
      <c r="L854" s="1456">
        <v>13075960100</v>
      </c>
      <c r="M854" s="1457">
        <v>0</v>
      </c>
      <c r="N854" s="1457">
        <v>0</v>
      </c>
      <c r="O854" s="1457">
        <v>0</v>
      </c>
    </row>
    <row r="855" spans="3:15" ht="13.5">
      <c r="C855" s="1463" t="s">
        <v>4647</v>
      </c>
      <c r="D855" s="1460">
        <v>0</v>
      </c>
      <c r="E855" s="1460">
        <v>0</v>
      </c>
      <c r="F855" s="1461">
        <v>0</v>
      </c>
      <c r="G855" s="1472" t="s">
        <v>4647</v>
      </c>
      <c r="H855" s="1458">
        <v>0</v>
      </c>
      <c r="I855" s="1458">
        <v>0</v>
      </c>
      <c r="J855" s="1473">
        <v>0</v>
      </c>
      <c r="K855" s="1462"/>
      <c r="L855" s="1456">
        <v>13075960200</v>
      </c>
      <c r="M855" s="1457">
        <v>0</v>
      </c>
      <c r="N855" s="1457">
        <v>0</v>
      </c>
      <c r="O855" s="1457">
        <v>0</v>
      </c>
    </row>
    <row r="856" spans="3:15" ht="13.5">
      <c r="C856" s="1463" t="s">
        <v>4648</v>
      </c>
      <c r="D856" s="1460">
        <v>0</v>
      </c>
      <c r="E856" s="1460">
        <v>0</v>
      </c>
      <c r="F856" s="1461">
        <v>0</v>
      </c>
      <c r="G856" s="1472" t="s">
        <v>4648</v>
      </c>
      <c r="H856" s="1458">
        <v>0</v>
      </c>
      <c r="I856" s="1458">
        <v>0</v>
      </c>
      <c r="J856" s="1473">
        <v>0</v>
      </c>
      <c r="K856" s="1462"/>
      <c r="L856" s="1456">
        <v>13075960300</v>
      </c>
      <c r="M856" s="1457">
        <v>0</v>
      </c>
      <c r="N856" s="1457">
        <v>0</v>
      </c>
      <c r="O856" s="1457">
        <v>0</v>
      </c>
    </row>
    <row r="857" spans="3:15" ht="13.5">
      <c r="C857" s="1463" t="s">
        <v>4649</v>
      </c>
      <c r="D857" s="1460">
        <v>0</v>
      </c>
      <c r="E857" s="1460">
        <v>0</v>
      </c>
      <c r="F857" s="1461">
        <v>0</v>
      </c>
      <c r="G857" s="1472" t="s">
        <v>4649</v>
      </c>
      <c r="H857" s="1458">
        <v>0</v>
      </c>
      <c r="I857" s="1458">
        <v>0</v>
      </c>
      <c r="J857" s="1473">
        <v>0</v>
      </c>
      <c r="K857" s="1462"/>
      <c r="L857" s="1456">
        <v>13075960400</v>
      </c>
      <c r="M857" s="1457">
        <v>0</v>
      </c>
      <c r="N857" s="1457">
        <v>0</v>
      </c>
      <c r="O857" s="1457">
        <v>0</v>
      </c>
    </row>
    <row r="858" spans="3:15" ht="13.5">
      <c r="C858" s="1463" t="s">
        <v>4650</v>
      </c>
      <c r="D858" s="1460">
        <v>1</v>
      </c>
      <c r="E858" s="1460">
        <v>1</v>
      </c>
      <c r="F858" s="1461">
        <v>2</v>
      </c>
      <c r="G858" s="1472" t="s">
        <v>4650</v>
      </c>
      <c r="H858" s="1458">
        <v>1</v>
      </c>
      <c r="I858" s="1458">
        <v>0</v>
      </c>
      <c r="J858" s="1473">
        <v>1</v>
      </c>
      <c r="K858" s="1462"/>
      <c r="L858" s="1456">
        <v>13077170100</v>
      </c>
      <c r="M858" s="1457">
        <v>1</v>
      </c>
      <c r="N858" s="1457">
        <v>1</v>
      </c>
      <c r="O858" s="1457">
        <v>2</v>
      </c>
    </row>
    <row r="859" spans="3:15" ht="13.5">
      <c r="C859" s="1463" t="s">
        <v>4651</v>
      </c>
      <c r="D859" s="1460">
        <v>1</v>
      </c>
      <c r="E859" s="1460">
        <v>0</v>
      </c>
      <c r="F859" s="1461">
        <v>1</v>
      </c>
      <c r="G859" s="1472" t="s">
        <v>4651</v>
      </c>
      <c r="H859" s="1458">
        <v>1</v>
      </c>
      <c r="I859" s="1458">
        <v>0</v>
      </c>
      <c r="J859" s="1473">
        <v>1</v>
      </c>
      <c r="K859" s="1462"/>
      <c r="L859" s="1456">
        <v>13077170200</v>
      </c>
      <c r="M859" s="1457">
        <v>1</v>
      </c>
      <c r="N859" s="1457">
        <v>0</v>
      </c>
      <c r="O859" s="1457">
        <v>1</v>
      </c>
    </row>
    <row r="860" spans="3:15" ht="13.5">
      <c r="C860" s="1463" t="s">
        <v>4652</v>
      </c>
      <c r="D860" s="1460">
        <v>1</v>
      </c>
      <c r="E860" s="1460">
        <v>1</v>
      </c>
      <c r="F860" s="1461">
        <v>2</v>
      </c>
      <c r="G860" s="1472" t="s">
        <v>4652</v>
      </c>
      <c r="H860" s="1458">
        <v>1</v>
      </c>
      <c r="I860" s="1458">
        <v>1</v>
      </c>
      <c r="J860" s="1473">
        <v>2</v>
      </c>
      <c r="K860" s="1462"/>
      <c r="L860" s="1456">
        <v>13077170303</v>
      </c>
      <c r="M860" s="1457">
        <v>1</v>
      </c>
      <c r="N860" s="1457">
        <v>1</v>
      </c>
      <c r="O860" s="1457">
        <v>2</v>
      </c>
    </row>
    <row r="861" spans="3:15" ht="13.5">
      <c r="C861" s="1463" t="s">
        <v>4653</v>
      </c>
      <c r="D861" s="1460">
        <v>1</v>
      </c>
      <c r="E861" s="1460">
        <v>1</v>
      </c>
      <c r="F861" s="1461">
        <v>2</v>
      </c>
      <c r="G861" s="1472" t="s">
        <v>4653</v>
      </c>
      <c r="H861" s="1458">
        <v>1</v>
      </c>
      <c r="I861" s="1458">
        <v>1</v>
      </c>
      <c r="J861" s="1473">
        <v>2</v>
      </c>
      <c r="K861" s="1462"/>
      <c r="L861" s="1456">
        <v>13077170304</v>
      </c>
      <c r="M861" s="1457">
        <v>1</v>
      </c>
      <c r="N861" s="1457">
        <v>1</v>
      </c>
      <c r="O861" s="1457">
        <v>2</v>
      </c>
    </row>
    <row r="862" spans="3:15" ht="13.5">
      <c r="C862" s="1463" t="s">
        <v>4654</v>
      </c>
      <c r="D862" s="1460">
        <v>0</v>
      </c>
      <c r="E862" s="1460">
        <v>0</v>
      </c>
      <c r="F862" s="1461">
        <v>0</v>
      </c>
      <c r="G862" s="1472" t="s">
        <v>4654</v>
      </c>
      <c r="H862" s="1458">
        <v>0</v>
      </c>
      <c r="I862" s="1458">
        <v>0</v>
      </c>
      <c r="J862" s="1473">
        <v>0</v>
      </c>
      <c r="K862" s="1462"/>
      <c r="L862" s="1456">
        <v>13077170305</v>
      </c>
      <c r="M862" s="1457">
        <v>0</v>
      </c>
      <c r="N862" s="1457">
        <v>0</v>
      </c>
      <c r="O862" s="1457">
        <v>0</v>
      </c>
    </row>
    <row r="863" spans="3:15" ht="13.5">
      <c r="C863" s="1463" t="s">
        <v>4655</v>
      </c>
      <c r="D863" s="1460">
        <v>1</v>
      </c>
      <c r="E863" s="1460">
        <v>1</v>
      </c>
      <c r="F863" s="1461">
        <v>2</v>
      </c>
      <c r="G863" s="1472" t="s">
        <v>4655</v>
      </c>
      <c r="H863" s="1458">
        <v>1</v>
      </c>
      <c r="I863" s="1458">
        <v>1</v>
      </c>
      <c r="J863" s="1473">
        <v>2</v>
      </c>
      <c r="K863" s="1462"/>
      <c r="L863" s="1456">
        <v>13077170306</v>
      </c>
      <c r="M863" s="1457">
        <v>1</v>
      </c>
      <c r="N863" s="1457">
        <v>1</v>
      </c>
      <c r="O863" s="1457">
        <v>2</v>
      </c>
    </row>
    <row r="864" spans="3:15" ht="13.5">
      <c r="C864" s="1463" t="s">
        <v>4656</v>
      </c>
      <c r="D864" s="1460">
        <v>1</v>
      </c>
      <c r="E864" s="1460">
        <v>1</v>
      </c>
      <c r="F864" s="1461">
        <v>2</v>
      </c>
      <c r="G864" s="1472" t="s">
        <v>4656</v>
      </c>
      <c r="H864" s="1458">
        <v>1</v>
      </c>
      <c r="I864" s="1458">
        <v>1</v>
      </c>
      <c r="J864" s="1473">
        <v>2</v>
      </c>
      <c r="K864" s="1462"/>
      <c r="L864" s="1456">
        <v>13077170402</v>
      </c>
      <c r="M864" s="1457">
        <v>1</v>
      </c>
      <c r="N864" s="1457">
        <v>1</v>
      </c>
      <c r="O864" s="1457">
        <v>2</v>
      </c>
    </row>
    <row r="865" spans="3:15" ht="13.5">
      <c r="C865" s="1463" t="s">
        <v>4657</v>
      </c>
      <c r="D865" s="1460">
        <v>1</v>
      </c>
      <c r="E865" s="1460">
        <v>1</v>
      </c>
      <c r="F865" s="1461">
        <v>2</v>
      </c>
      <c r="G865" s="1472" t="s">
        <v>4657</v>
      </c>
      <c r="H865" s="1458">
        <v>1</v>
      </c>
      <c r="I865" s="1458">
        <v>1</v>
      </c>
      <c r="J865" s="1473">
        <v>2</v>
      </c>
      <c r="K865" s="1462"/>
      <c r="L865" s="1456">
        <v>13077170403</v>
      </c>
      <c r="M865" s="1457">
        <v>1</v>
      </c>
      <c r="N865" s="1457">
        <v>1</v>
      </c>
      <c r="O865" s="1457">
        <v>2</v>
      </c>
    </row>
    <row r="866" spans="3:15" ht="13.5">
      <c r="C866" s="1463" t="s">
        <v>4658</v>
      </c>
      <c r="D866" s="1460">
        <v>1</v>
      </c>
      <c r="E866" s="1460">
        <v>1</v>
      </c>
      <c r="F866" s="1461">
        <v>2</v>
      </c>
      <c r="G866" s="1472" t="s">
        <v>4658</v>
      </c>
      <c r="H866" s="1458">
        <v>1</v>
      </c>
      <c r="I866" s="1458">
        <v>1</v>
      </c>
      <c r="J866" s="1473">
        <v>2</v>
      </c>
      <c r="K866" s="1462"/>
      <c r="L866" s="1456">
        <v>13077170404</v>
      </c>
      <c r="M866" s="1457">
        <v>1</v>
      </c>
      <c r="N866" s="1457">
        <v>1</v>
      </c>
      <c r="O866" s="1457">
        <v>2</v>
      </c>
    </row>
    <row r="867" spans="3:15" ht="13.5">
      <c r="C867" s="1463" t="s">
        <v>4659</v>
      </c>
      <c r="D867" s="1460">
        <v>1</v>
      </c>
      <c r="E867" s="1460">
        <v>1</v>
      </c>
      <c r="F867" s="1461">
        <v>2</v>
      </c>
      <c r="G867" s="1472" t="s">
        <v>4659</v>
      </c>
      <c r="H867" s="1458">
        <v>1</v>
      </c>
      <c r="I867" s="1458">
        <v>1</v>
      </c>
      <c r="J867" s="1473">
        <v>2</v>
      </c>
      <c r="K867" s="1462"/>
      <c r="L867" s="1456">
        <v>13077170405</v>
      </c>
      <c r="M867" s="1457">
        <v>1</v>
      </c>
      <c r="N867" s="1457">
        <v>1</v>
      </c>
      <c r="O867" s="1457">
        <v>2</v>
      </c>
    </row>
    <row r="868" spans="3:15" ht="13.5">
      <c r="C868" s="1463" t="s">
        <v>4660</v>
      </c>
      <c r="D868" s="1460">
        <v>1</v>
      </c>
      <c r="E868" s="1460">
        <v>1</v>
      </c>
      <c r="F868" s="1461">
        <v>2</v>
      </c>
      <c r="G868" s="1472" t="s">
        <v>4660</v>
      </c>
      <c r="H868" s="1458">
        <v>1</v>
      </c>
      <c r="I868" s="1458">
        <v>1</v>
      </c>
      <c r="J868" s="1473">
        <v>2</v>
      </c>
      <c r="K868" s="1462"/>
      <c r="L868" s="1456">
        <v>13077170406</v>
      </c>
      <c r="M868" s="1457">
        <v>1</v>
      </c>
      <c r="N868" s="1457">
        <v>1</v>
      </c>
      <c r="O868" s="1457">
        <v>2</v>
      </c>
    </row>
    <row r="869" spans="3:15" ht="13.5">
      <c r="C869" s="1463" t="s">
        <v>4661</v>
      </c>
      <c r="D869" s="1460">
        <v>1</v>
      </c>
      <c r="E869" s="1460">
        <v>1</v>
      </c>
      <c r="F869" s="1461">
        <v>2</v>
      </c>
      <c r="G869" s="1472" t="s">
        <v>4661</v>
      </c>
      <c r="H869" s="1458">
        <v>1</v>
      </c>
      <c r="I869" s="1458">
        <v>1</v>
      </c>
      <c r="J869" s="1473">
        <v>2</v>
      </c>
      <c r="K869" s="1462"/>
      <c r="L869" s="1456">
        <v>13077170501</v>
      </c>
      <c r="M869" s="1457">
        <v>1</v>
      </c>
      <c r="N869" s="1457">
        <v>1</v>
      </c>
      <c r="O869" s="1457">
        <v>2</v>
      </c>
    </row>
    <row r="870" spans="3:15" ht="13.5">
      <c r="C870" s="1463" t="s">
        <v>4662</v>
      </c>
      <c r="D870" s="1460">
        <v>1</v>
      </c>
      <c r="E870" s="1460">
        <v>1</v>
      </c>
      <c r="F870" s="1461">
        <v>2</v>
      </c>
      <c r="G870" s="1472" t="s">
        <v>4662</v>
      </c>
      <c r="H870" s="1458">
        <v>1</v>
      </c>
      <c r="I870" s="1458">
        <v>1</v>
      </c>
      <c r="J870" s="1473">
        <v>2</v>
      </c>
      <c r="K870" s="1462"/>
      <c r="L870" s="1456">
        <v>13077170502</v>
      </c>
      <c r="M870" s="1457">
        <v>1</v>
      </c>
      <c r="N870" s="1457">
        <v>1</v>
      </c>
      <c r="O870" s="1457">
        <v>2</v>
      </c>
    </row>
    <row r="871" spans="3:15" ht="13.5">
      <c r="C871" s="1463" t="s">
        <v>4663</v>
      </c>
      <c r="D871" s="1460">
        <v>1</v>
      </c>
      <c r="E871" s="1460">
        <v>1</v>
      </c>
      <c r="F871" s="1461">
        <v>2</v>
      </c>
      <c r="G871" s="1472" t="s">
        <v>4663</v>
      </c>
      <c r="H871" s="1458">
        <v>1</v>
      </c>
      <c r="I871" s="1458">
        <v>1</v>
      </c>
      <c r="J871" s="1473">
        <v>2</v>
      </c>
      <c r="K871" s="1462"/>
      <c r="L871" s="1456">
        <v>13077170503</v>
      </c>
      <c r="M871" s="1457">
        <v>1</v>
      </c>
      <c r="N871" s="1457">
        <v>1</v>
      </c>
      <c r="O871" s="1457">
        <v>2</v>
      </c>
    </row>
    <row r="872" spans="3:15" ht="13.5">
      <c r="C872" s="1463" t="s">
        <v>4664</v>
      </c>
      <c r="D872" s="1460">
        <v>0</v>
      </c>
      <c r="E872" s="1460">
        <v>0</v>
      </c>
      <c r="F872" s="1461">
        <v>0</v>
      </c>
      <c r="G872" s="1472" t="s">
        <v>4664</v>
      </c>
      <c r="H872" s="1458">
        <v>0</v>
      </c>
      <c r="I872" s="1458">
        <v>0</v>
      </c>
      <c r="J872" s="1473">
        <v>0</v>
      </c>
      <c r="K872" s="1462"/>
      <c r="L872" s="1456">
        <v>13077170601</v>
      </c>
      <c r="M872" s="1457">
        <v>0</v>
      </c>
      <c r="N872" s="1457">
        <v>0</v>
      </c>
      <c r="O872" s="1457">
        <v>0</v>
      </c>
    </row>
    <row r="873" spans="3:15" ht="13.5">
      <c r="C873" s="1463" t="s">
        <v>4665</v>
      </c>
      <c r="D873" s="1460">
        <v>1</v>
      </c>
      <c r="E873" s="1460">
        <v>1</v>
      </c>
      <c r="F873" s="1461">
        <v>2</v>
      </c>
      <c r="G873" s="1472" t="s">
        <v>4665</v>
      </c>
      <c r="H873" s="1458">
        <v>1</v>
      </c>
      <c r="I873" s="1458" t="s">
        <v>3911</v>
      </c>
      <c r="J873" s="1473">
        <v>1</v>
      </c>
      <c r="K873" s="1462"/>
      <c r="L873" s="1456">
        <v>13077170602</v>
      </c>
      <c r="M873" s="1457">
        <v>1</v>
      </c>
      <c r="N873" s="1457">
        <v>1</v>
      </c>
      <c r="O873" s="1457">
        <v>2</v>
      </c>
    </row>
    <row r="874" spans="3:15" ht="13.5">
      <c r="C874" s="1463" t="s">
        <v>4666</v>
      </c>
      <c r="D874" s="1460">
        <v>1</v>
      </c>
      <c r="E874" s="1460">
        <v>1</v>
      </c>
      <c r="F874" s="1461">
        <v>2</v>
      </c>
      <c r="G874" s="1472" t="s">
        <v>4666</v>
      </c>
      <c r="H874" s="1458">
        <v>1</v>
      </c>
      <c r="I874" s="1458">
        <v>1</v>
      </c>
      <c r="J874" s="1473">
        <v>2</v>
      </c>
      <c r="K874" s="1462"/>
      <c r="L874" s="1456">
        <v>13077170603</v>
      </c>
      <c r="M874" s="1457">
        <v>1</v>
      </c>
      <c r="N874" s="1457">
        <v>1</v>
      </c>
      <c r="O874" s="1457">
        <v>2</v>
      </c>
    </row>
    <row r="875" spans="3:15" ht="13.5">
      <c r="C875" s="1463" t="s">
        <v>4667</v>
      </c>
      <c r="D875" s="1460">
        <v>0</v>
      </c>
      <c r="E875" s="1460">
        <v>0</v>
      </c>
      <c r="F875" s="1461">
        <v>0</v>
      </c>
      <c r="G875" s="1472" t="s">
        <v>4667</v>
      </c>
      <c r="H875" s="1458">
        <v>0</v>
      </c>
      <c r="I875" s="1458">
        <v>0</v>
      </c>
      <c r="J875" s="1473">
        <v>0</v>
      </c>
      <c r="K875" s="1462"/>
      <c r="L875" s="1456">
        <v>13077170700</v>
      </c>
      <c r="M875" s="1457">
        <v>0</v>
      </c>
      <c r="N875" s="1457">
        <v>0</v>
      </c>
      <c r="O875" s="1457">
        <v>0</v>
      </c>
    </row>
    <row r="876" spans="3:15" ht="13.5">
      <c r="C876" s="1463" t="s">
        <v>4668</v>
      </c>
      <c r="D876" s="1460">
        <v>0</v>
      </c>
      <c r="E876" s="1460">
        <v>1</v>
      </c>
      <c r="F876" s="1461">
        <v>1</v>
      </c>
      <c r="G876" s="1472" t="s">
        <v>4668</v>
      </c>
      <c r="H876" s="1458">
        <v>0</v>
      </c>
      <c r="I876" s="1458">
        <v>0</v>
      </c>
      <c r="J876" s="1473">
        <v>0</v>
      </c>
      <c r="K876" s="1462"/>
      <c r="L876" s="1456">
        <v>13077170801</v>
      </c>
      <c r="M876" s="1457">
        <v>0</v>
      </c>
      <c r="N876" s="1457">
        <v>1</v>
      </c>
      <c r="O876" s="1457">
        <v>1</v>
      </c>
    </row>
    <row r="877" spans="3:15" ht="13.5">
      <c r="C877" s="1463" t="s">
        <v>4669</v>
      </c>
      <c r="D877" s="1460">
        <v>1</v>
      </c>
      <c r="E877" s="1460">
        <v>1</v>
      </c>
      <c r="F877" s="1461">
        <v>2</v>
      </c>
      <c r="G877" s="1472" t="s">
        <v>4669</v>
      </c>
      <c r="H877" s="1458">
        <v>1</v>
      </c>
      <c r="I877" s="1458">
        <v>1</v>
      </c>
      <c r="J877" s="1473">
        <v>2</v>
      </c>
      <c r="K877" s="1462"/>
      <c r="L877" s="1456">
        <v>13077170802</v>
      </c>
      <c r="M877" s="1457">
        <v>1</v>
      </c>
      <c r="N877" s="1457">
        <v>1</v>
      </c>
      <c r="O877" s="1457">
        <v>2</v>
      </c>
    </row>
    <row r="878" spans="3:15" ht="13.5">
      <c r="C878" s="1463" t="s">
        <v>4670</v>
      </c>
      <c r="D878" s="1460">
        <v>0</v>
      </c>
      <c r="E878" s="1460">
        <v>0</v>
      </c>
      <c r="F878" s="1461">
        <v>0</v>
      </c>
      <c r="G878" s="1472" t="s">
        <v>4670</v>
      </c>
      <c r="H878" s="1458">
        <v>0</v>
      </c>
      <c r="I878" s="1458">
        <v>0</v>
      </c>
      <c r="J878" s="1473">
        <v>0</v>
      </c>
      <c r="K878" s="1462"/>
      <c r="L878" s="1456">
        <v>13079070100</v>
      </c>
      <c r="M878" s="1457">
        <v>0</v>
      </c>
      <c r="N878" s="1457">
        <v>0</v>
      </c>
      <c r="O878" s="1457">
        <v>0</v>
      </c>
    </row>
    <row r="879" spans="3:15" ht="13.5">
      <c r="C879" s="1463" t="s">
        <v>4671</v>
      </c>
      <c r="D879" s="1460">
        <v>0</v>
      </c>
      <c r="E879" s="1460">
        <v>1</v>
      </c>
      <c r="F879" s="1461">
        <v>1</v>
      </c>
      <c r="G879" s="1472" t="s">
        <v>4671</v>
      </c>
      <c r="H879" s="1458">
        <v>0</v>
      </c>
      <c r="I879" s="1458">
        <v>1</v>
      </c>
      <c r="J879" s="1473">
        <v>1</v>
      </c>
      <c r="K879" s="1462"/>
      <c r="L879" s="1456">
        <v>13079070201</v>
      </c>
      <c r="M879" s="1457">
        <v>0</v>
      </c>
      <c r="N879" s="1457">
        <v>1</v>
      </c>
      <c r="O879" s="1457">
        <v>1</v>
      </c>
    </row>
    <row r="880" spans="3:15" ht="13.5">
      <c r="C880" s="1463" t="s">
        <v>4672</v>
      </c>
      <c r="D880" s="1460">
        <v>0</v>
      </c>
      <c r="E880" s="1460">
        <v>1</v>
      </c>
      <c r="F880" s="1461">
        <v>1</v>
      </c>
      <c r="G880" s="1472" t="s">
        <v>4672</v>
      </c>
      <c r="H880" s="1458">
        <v>0</v>
      </c>
      <c r="I880" s="1458">
        <v>0</v>
      </c>
      <c r="J880" s="1473">
        <v>0</v>
      </c>
      <c r="K880" s="1462"/>
      <c r="L880" s="1456">
        <v>13079070202</v>
      </c>
      <c r="M880" s="1457">
        <v>0</v>
      </c>
      <c r="N880" s="1457">
        <v>1</v>
      </c>
      <c r="O880" s="1457">
        <v>1</v>
      </c>
    </row>
    <row r="881" spans="3:15" ht="13.5">
      <c r="C881" s="1463" t="s">
        <v>4673</v>
      </c>
      <c r="D881" s="1460">
        <v>0</v>
      </c>
      <c r="E881" s="1460">
        <v>0</v>
      </c>
      <c r="F881" s="1461">
        <v>0</v>
      </c>
      <c r="G881" s="1472" t="s">
        <v>4673</v>
      </c>
      <c r="H881" s="1458">
        <v>0</v>
      </c>
      <c r="I881" s="1458">
        <v>0</v>
      </c>
      <c r="J881" s="1473">
        <v>0</v>
      </c>
      <c r="K881" s="1462"/>
      <c r="L881" s="1456">
        <v>13081010100</v>
      </c>
      <c r="M881" s="1457">
        <v>0</v>
      </c>
      <c r="N881" s="1457">
        <v>0</v>
      </c>
      <c r="O881" s="1457">
        <v>0</v>
      </c>
    </row>
    <row r="882" spans="3:15" ht="13.5">
      <c r="C882" s="1463" t="s">
        <v>4674</v>
      </c>
      <c r="D882" s="1460">
        <v>0</v>
      </c>
      <c r="E882" s="1460">
        <v>0</v>
      </c>
      <c r="F882" s="1461">
        <v>0</v>
      </c>
      <c r="G882" s="1472" t="s">
        <v>4674</v>
      </c>
      <c r="H882" s="1458">
        <v>0</v>
      </c>
      <c r="I882" s="1458">
        <v>0</v>
      </c>
      <c r="J882" s="1473">
        <v>0</v>
      </c>
      <c r="K882" s="1462"/>
      <c r="L882" s="1456">
        <v>13081010201</v>
      </c>
      <c r="M882" s="1457">
        <v>0</v>
      </c>
      <c r="N882" s="1457">
        <v>0</v>
      </c>
      <c r="O882" s="1457">
        <v>0</v>
      </c>
    </row>
    <row r="883" spans="3:15" ht="13.5">
      <c r="C883" s="1463" t="s">
        <v>4675</v>
      </c>
      <c r="D883" s="1460">
        <v>0</v>
      </c>
      <c r="E883" s="1460">
        <v>0</v>
      </c>
      <c r="F883" s="1461">
        <v>0</v>
      </c>
      <c r="G883" s="1472" t="s">
        <v>4675</v>
      </c>
      <c r="H883" s="1458">
        <v>0</v>
      </c>
      <c r="I883" s="1458">
        <v>0</v>
      </c>
      <c r="J883" s="1473">
        <v>0</v>
      </c>
      <c r="K883" s="1462"/>
      <c r="L883" s="1456">
        <v>13081010202</v>
      </c>
      <c r="M883" s="1457">
        <v>0</v>
      </c>
      <c r="N883" s="1457">
        <v>0</v>
      </c>
      <c r="O883" s="1457">
        <v>0</v>
      </c>
    </row>
    <row r="884" spans="3:15" ht="13.5">
      <c r="C884" s="1463" t="s">
        <v>4676</v>
      </c>
      <c r="D884" s="1460">
        <v>0</v>
      </c>
      <c r="E884" s="1460">
        <v>0</v>
      </c>
      <c r="F884" s="1461">
        <v>0</v>
      </c>
      <c r="G884" s="1472" t="s">
        <v>4676</v>
      </c>
      <c r="H884" s="1458">
        <v>0</v>
      </c>
      <c r="I884" s="1458">
        <v>0</v>
      </c>
      <c r="J884" s="1473">
        <v>0</v>
      </c>
      <c r="K884" s="1462"/>
      <c r="L884" s="1456">
        <v>13081010300</v>
      </c>
      <c r="M884" s="1457">
        <v>0</v>
      </c>
      <c r="N884" s="1457">
        <v>0</v>
      </c>
      <c r="O884" s="1457">
        <v>0</v>
      </c>
    </row>
    <row r="885" spans="3:15" ht="13.5">
      <c r="C885" s="1463" t="s">
        <v>4677</v>
      </c>
      <c r="D885" s="1460">
        <v>0</v>
      </c>
      <c r="E885" s="1460">
        <v>0</v>
      </c>
      <c r="F885" s="1461">
        <v>0</v>
      </c>
      <c r="G885" s="1472" t="s">
        <v>4677</v>
      </c>
      <c r="H885" s="1458">
        <v>0</v>
      </c>
      <c r="I885" s="1458">
        <v>0</v>
      </c>
      <c r="J885" s="1473">
        <v>0</v>
      </c>
      <c r="K885" s="1462"/>
      <c r="L885" s="1456">
        <v>13081010400</v>
      </c>
      <c r="M885" s="1457">
        <v>0</v>
      </c>
      <c r="N885" s="1457">
        <v>0</v>
      </c>
      <c r="O885" s="1457">
        <v>0</v>
      </c>
    </row>
    <row r="886" spans="3:15" ht="13.5">
      <c r="C886" s="1463" t="s">
        <v>4678</v>
      </c>
      <c r="D886" s="1460">
        <v>0</v>
      </c>
      <c r="E886" s="1460">
        <v>0</v>
      </c>
      <c r="F886" s="1461">
        <v>0</v>
      </c>
      <c r="G886" s="1472" t="s">
        <v>4678</v>
      </c>
      <c r="H886" s="1458">
        <v>0</v>
      </c>
      <c r="I886" s="1458">
        <v>0</v>
      </c>
      <c r="J886" s="1473">
        <v>0</v>
      </c>
      <c r="K886" s="1462"/>
      <c r="L886" s="1456">
        <v>13081010500</v>
      </c>
      <c r="M886" s="1457">
        <v>0</v>
      </c>
      <c r="N886" s="1457">
        <v>0</v>
      </c>
      <c r="O886" s="1457">
        <v>0</v>
      </c>
    </row>
    <row r="887" spans="3:15" ht="13.5">
      <c r="C887" s="1463" t="s">
        <v>4679</v>
      </c>
      <c r="D887" s="1460">
        <v>0</v>
      </c>
      <c r="E887" s="1460">
        <v>0</v>
      </c>
      <c r="F887" s="1461">
        <v>0</v>
      </c>
      <c r="G887" s="1472" t="s">
        <v>4679</v>
      </c>
      <c r="H887" s="1458">
        <v>0</v>
      </c>
      <c r="I887" s="1458">
        <v>0</v>
      </c>
      <c r="J887" s="1473">
        <v>0</v>
      </c>
      <c r="K887" s="1462"/>
      <c r="L887" s="1456">
        <v>13083040101</v>
      </c>
      <c r="M887" s="1457">
        <v>0</v>
      </c>
      <c r="N887" s="1457">
        <v>0</v>
      </c>
      <c r="O887" s="1457">
        <v>0</v>
      </c>
    </row>
    <row r="888" spans="3:15" ht="13.5">
      <c r="C888" s="1463" t="s">
        <v>4680</v>
      </c>
      <c r="D888" s="1460">
        <v>1</v>
      </c>
      <c r="E888" s="1460">
        <v>1</v>
      </c>
      <c r="F888" s="1461">
        <v>2</v>
      </c>
      <c r="G888" s="1472" t="s">
        <v>4680</v>
      </c>
      <c r="H888" s="1458">
        <v>0</v>
      </c>
      <c r="I888" s="1458">
        <v>1</v>
      </c>
      <c r="J888" s="1473">
        <v>1</v>
      </c>
      <c r="K888" s="1462"/>
      <c r="L888" s="1456">
        <v>13083040102</v>
      </c>
      <c r="M888" s="1457">
        <v>1</v>
      </c>
      <c r="N888" s="1457">
        <v>1</v>
      </c>
      <c r="O888" s="1457">
        <v>2</v>
      </c>
    </row>
    <row r="889" spans="3:15" ht="13.5">
      <c r="C889" s="1463" t="s">
        <v>4681</v>
      </c>
      <c r="D889" s="1460">
        <v>0</v>
      </c>
      <c r="E889" s="1460">
        <v>0</v>
      </c>
      <c r="F889" s="1461">
        <v>0</v>
      </c>
      <c r="G889" s="1472" t="s">
        <v>4681</v>
      </c>
      <c r="H889" s="1458">
        <v>0</v>
      </c>
      <c r="I889" s="1458">
        <v>0</v>
      </c>
      <c r="J889" s="1473">
        <v>0</v>
      </c>
      <c r="K889" s="1462"/>
      <c r="L889" s="1456">
        <v>13083040200</v>
      </c>
      <c r="M889" s="1457">
        <v>0</v>
      </c>
      <c r="N889" s="1457">
        <v>0</v>
      </c>
      <c r="O889" s="1457">
        <v>0</v>
      </c>
    </row>
    <row r="890" spans="3:15" ht="13.5">
      <c r="C890" s="1463" t="s">
        <v>4682</v>
      </c>
      <c r="D890" s="1460">
        <v>1</v>
      </c>
      <c r="E890" s="1460">
        <v>1</v>
      </c>
      <c r="F890" s="1461">
        <v>2</v>
      </c>
      <c r="G890" s="1472" t="s">
        <v>4682</v>
      </c>
      <c r="H890" s="1458">
        <v>0</v>
      </c>
      <c r="I890" s="1458">
        <v>1</v>
      </c>
      <c r="J890" s="1473">
        <v>1</v>
      </c>
      <c r="K890" s="1462"/>
      <c r="L890" s="1456">
        <v>13083040300</v>
      </c>
      <c r="M890" s="1457">
        <v>1</v>
      </c>
      <c r="N890" s="1457">
        <v>1</v>
      </c>
      <c r="O890" s="1457">
        <v>2</v>
      </c>
    </row>
    <row r="891" spans="3:15" ht="13.5">
      <c r="C891" s="1463" t="s">
        <v>4683</v>
      </c>
      <c r="D891" s="1460">
        <v>1</v>
      </c>
      <c r="E891" s="1460">
        <v>1</v>
      </c>
      <c r="F891" s="1461">
        <v>2</v>
      </c>
      <c r="G891" s="1472" t="s">
        <v>4683</v>
      </c>
      <c r="H891" s="1458">
        <v>1</v>
      </c>
      <c r="I891" s="1458">
        <v>1</v>
      </c>
      <c r="J891" s="1473">
        <v>2</v>
      </c>
      <c r="K891" s="1462"/>
      <c r="L891" s="1456">
        <v>13085970100</v>
      </c>
      <c r="M891" s="1457">
        <v>1</v>
      </c>
      <c r="N891" s="1457">
        <v>1</v>
      </c>
      <c r="O891" s="1457">
        <v>2</v>
      </c>
    </row>
    <row r="892" spans="3:15" ht="13.5">
      <c r="C892" s="1463" t="s">
        <v>4684</v>
      </c>
      <c r="D892" s="1460">
        <v>1</v>
      </c>
      <c r="E892" s="1460">
        <v>1</v>
      </c>
      <c r="F892" s="1461">
        <v>2</v>
      </c>
      <c r="G892" s="1472" t="s">
        <v>4684</v>
      </c>
      <c r="H892" s="1458">
        <v>1</v>
      </c>
      <c r="I892" s="1458">
        <v>1</v>
      </c>
      <c r="J892" s="1473">
        <v>2</v>
      </c>
      <c r="K892" s="1462"/>
      <c r="L892" s="1456">
        <v>13085970201</v>
      </c>
      <c r="M892" s="1457">
        <v>1</v>
      </c>
      <c r="N892" s="1457">
        <v>1</v>
      </c>
      <c r="O892" s="1457">
        <v>2</v>
      </c>
    </row>
    <row r="893" spans="3:15" ht="13.5">
      <c r="C893" s="1463" t="s">
        <v>4685</v>
      </c>
      <c r="D893" s="1460">
        <v>0</v>
      </c>
      <c r="E893" s="1460">
        <v>1</v>
      </c>
      <c r="F893" s="1461">
        <v>1</v>
      </c>
      <c r="G893" s="1472" t="s">
        <v>4685</v>
      </c>
      <c r="H893" s="1458">
        <v>1</v>
      </c>
      <c r="I893" s="1458">
        <v>0</v>
      </c>
      <c r="J893" s="1473">
        <v>1</v>
      </c>
      <c r="K893" s="1462"/>
      <c r="L893" s="1456">
        <v>13085970202</v>
      </c>
      <c r="M893" s="1457">
        <v>1</v>
      </c>
      <c r="N893" s="1457">
        <v>1</v>
      </c>
      <c r="O893" s="1457">
        <v>1</v>
      </c>
    </row>
    <row r="894" spans="3:15" ht="13.5">
      <c r="C894" s="1463" t="s">
        <v>4686</v>
      </c>
      <c r="D894" s="1460">
        <v>1</v>
      </c>
      <c r="E894" s="1460">
        <v>0</v>
      </c>
      <c r="F894" s="1461">
        <v>1</v>
      </c>
      <c r="G894" s="1472" t="s">
        <v>4686</v>
      </c>
      <c r="H894" s="1458">
        <v>0</v>
      </c>
      <c r="I894" s="1458">
        <v>0</v>
      </c>
      <c r="J894" s="1473">
        <v>0</v>
      </c>
      <c r="K894" s="1462"/>
      <c r="L894" s="1456">
        <v>13087970100</v>
      </c>
      <c r="M894" s="1457">
        <v>1</v>
      </c>
      <c r="N894" s="1457">
        <v>0</v>
      </c>
      <c r="O894" s="1457">
        <v>1</v>
      </c>
    </row>
    <row r="895" spans="3:15" ht="13.5">
      <c r="C895" s="1463" t="s">
        <v>4687</v>
      </c>
      <c r="D895" s="1460">
        <v>0</v>
      </c>
      <c r="E895" s="1460">
        <v>0</v>
      </c>
      <c r="F895" s="1461">
        <v>0</v>
      </c>
      <c r="G895" s="1472" t="s">
        <v>4687</v>
      </c>
      <c r="H895" s="1458">
        <v>0</v>
      </c>
      <c r="I895" s="1458">
        <v>0</v>
      </c>
      <c r="J895" s="1473">
        <v>0</v>
      </c>
      <c r="K895" s="1462"/>
      <c r="L895" s="1456">
        <v>13087970200</v>
      </c>
      <c r="M895" s="1457">
        <v>0</v>
      </c>
      <c r="N895" s="1457">
        <v>0</v>
      </c>
      <c r="O895" s="1457">
        <v>0</v>
      </c>
    </row>
    <row r="896" spans="3:15" ht="13.5">
      <c r="C896" s="1463" t="s">
        <v>4688</v>
      </c>
      <c r="D896" s="1460">
        <v>0</v>
      </c>
      <c r="E896" s="1460">
        <v>0</v>
      </c>
      <c r="F896" s="1461">
        <v>0</v>
      </c>
      <c r="G896" s="1472" t="s">
        <v>4688</v>
      </c>
      <c r="H896" s="1458">
        <v>0</v>
      </c>
      <c r="I896" s="1458">
        <v>0</v>
      </c>
      <c r="J896" s="1473">
        <v>0</v>
      </c>
      <c r="K896" s="1462"/>
      <c r="L896" s="1456">
        <v>13087970300</v>
      </c>
      <c r="M896" s="1457">
        <v>0</v>
      </c>
      <c r="N896" s="1457">
        <v>0</v>
      </c>
      <c r="O896" s="1457">
        <v>0</v>
      </c>
    </row>
    <row r="897" spans="3:15" ht="13.5">
      <c r="C897" s="1463" t="s">
        <v>4689</v>
      </c>
      <c r="D897" s="1460">
        <v>0</v>
      </c>
      <c r="E897" s="1460">
        <v>0</v>
      </c>
      <c r="F897" s="1461">
        <v>0</v>
      </c>
      <c r="G897" s="1472" t="s">
        <v>4689</v>
      </c>
      <c r="H897" s="1458">
        <v>0</v>
      </c>
      <c r="I897" s="1458">
        <v>0</v>
      </c>
      <c r="J897" s="1473">
        <v>0</v>
      </c>
      <c r="K897" s="1462"/>
      <c r="L897" s="1456">
        <v>13087970400</v>
      </c>
      <c r="M897" s="1457">
        <v>0</v>
      </c>
      <c r="N897" s="1457">
        <v>0</v>
      </c>
      <c r="O897" s="1457">
        <v>0</v>
      </c>
    </row>
    <row r="898" spans="3:15" ht="13.5">
      <c r="C898" s="1463" t="s">
        <v>4690</v>
      </c>
      <c r="D898" s="1460">
        <v>1</v>
      </c>
      <c r="E898" s="1460">
        <v>0</v>
      </c>
      <c r="F898" s="1461">
        <v>1</v>
      </c>
      <c r="G898" s="1472" t="s">
        <v>4690</v>
      </c>
      <c r="H898" s="1458">
        <v>0</v>
      </c>
      <c r="I898" s="1458">
        <v>1</v>
      </c>
      <c r="J898" s="1473">
        <v>1</v>
      </c>
      <c r="K898" s="1462"/>
      <c r="L898" s="1456">
        <v>13087970600</v>
      </c>
      <c r="M898" s="1457">
        <v>1</v>
      </c>
      <c r="N898" s="1457">
        <v>1</v>
      </c>
      <c r="O898" s="1457">
        <v>1</v>
      </c>
    </row>
    <row r="899" spans="3:15" ht="13.5">
      <c r="C899" s="1463" t="s">
        <v>4691</v>
      </c>
      <c r="D899" s="1460">
        <v>0</v>
      </c>
      <c r="E899" s="1460">
        <v>0</v>
      </c>
      <c r="F899" s="1461">
        <v>0</v>
      </c>
      <c r="G899" s="1472" t="s">
        <v>4691</v>
      </c>
      <c r="H899" s="1458">
        <v>0</v>
      </c>
      <c r="I899" s="1458">
        <v>0</v>
      </c>
      <c r="J899" s="1473">
        <v>0</v>
      </c>
      <c r="K899" s="1462"/>
      <c r="L899" s="1456">
        <v>13087970700</v>
      </c>
      <c r="M899" s="1457">
        <v>0</v>
      </c>
      <c r="N899" s="1457">
        <v>0</v>
      </c>
      <c r="O899" s="1457">
        <v>0</v>
      </c>
    </row>
    <row r="900" spans="3:15" ht="13.5">
      <c r="C900" s="1463" t="s">
        <v>4692</v>
      </c>
      <c r="D900" s="1460">
        <v>0</v>
      </c>
      <c r="E900" s="1460">
        <v>0</v>
      </c>
      <c r="F900" s="1461">
        <v>0</v>
      </c>
      <c r="G900" s="1472" t="s">
        <v>4692</v>
      </c>
      <c r="H900" s="1458">
        <v>0</v>
      </c>
      <c r="I900" s="1458">
        <v>0</v>
      </c>
      <c r="J900" s="1473">
        <v>0</v>
      </c>
      <c r="K900" s="1462"/>
      <c r="L900" s="1456">
        <v>13087970800</v>
      </c>
      <c r="M900" s="1457">
        <v>0</v>
      </c>
      <c r="N900" s="1457">
        <v>0</v>
      </c>
      <c r="O900" s="1457">
        <v>0</v>
      </c>
    </row>
    <row r="901" spans="3:15" ht="13.5">
      <c r="C901" s="1463" t="s">
        <v>4693</v>
      </c>
      <c r="D901" s="1460">
        <v>1</v>
      </c>
      <c r="E901" s="1460">
        <v>1</v>
      </c>
      <c r="F901" s="1461">
        <v>2</v>
      </c>
      <c r="G901" s="1472" t="s">
        <v>4693</v>
      </c>
      <c r="H901" s="1458">
        <v>1</v>
      </c>
      <c r="I901" s="1458">
        <v>1</v>
      </c>
      <c r="J901" s="1473">
        <v>2</v>
      </c>
      <c r="K901" s="1462"/>
      <c r="L901" s="1456">
        <v>13089020100</v>
      </c>
      <c r="M901" s="1457">
        <v>1</v>
      </c>
      <c r="N901" s="1457">
        <v>1</v>
      </c>
      <c r="O901" s="1457">
        <v>2</v>
      </c>
    </row>
    <row r="902" spans="3:15" ht="13.5">
      <c r="C902" s="1463" t="s">
        <v>4694</v>
      </c>
      <c r="D902" s="1460">
        <v>1</v>
      </c>
      <c r="E902" s="1460">
        <v>1</v>
      </c>
      <c r="F902" s="1461">
        <v>2</v>
      </c>
      <c r="G902" s="1472" t="s">
        <v>4694</v>
      </c>
      <c r="H902" s="1458">
        <v>1</v>
      </c>
      <c r="I902" s="1458">
        <v>1</v>
      </c>
      <c r="J902" s="1473">
        <v>2</v>
      </c>
      <c r="K902" s="1462"/>
      <c r="L902" s="1456">
        <v>13089020200</v>
      </c>
      <c r="M902" s="1457">
        <v>1</v>
      </c>
      <c r="N902" s="1457">
        <v>1</v>
      </c>
      <c r="O902" s="1457">
        <v>2</v>
      </c>
    </row>
    <row r="903" spans="3:15" ht="13.5">
      <c r="C903" s="1463" t="s">
        <v>4695</v>
      </c>
      <c r="D903" s="1460">
        <v>1</v>
      </c>
      <c r="E903" s="1460">
        <v>1</v>
      </c>
      <c r="F903" s="1461">
        <v>2</v>
      </c>
      <c r="G903" s="1472" t="s">
        <v>4695</v>
      </c>
      <c r="H903" s="1458">
        <v>1</v>
      </c>
      <c r="I903" s="1458" t="s">
        <v>3911</v>
      </c>
      <c r="J903" s="1473">
        <v>1</v>
      </c>
      <c r="K903" s="1462"/>
      <c r="L903" s="1456">
        <v>13089020300</v>
      </c>
      <c r="M903" s="1457">
        <v>1</v>
      </c>
      <c r="N903" s="1457">
        <v>1</v>
      </c>
      <c r="O903" s="1457">
        <v>2</v>
      </c>
    </row>
    <row r="904" spans="3:15" ht="13.5">
      <c r="C904" s="1463" t="s">
        <v>4696</v>
      </c>
      <c r="D904" s="1460">
        <v>1</v>
      </c>
      <c r="E904" s="1460">
        <v>1</v>
      </c>
      <c r="F904" s="1461">
        <v>2</v>
      </c>
      <c r="G904" s="1472" t="s">
        <v>4696</v>
      </c>
      <c r="H904" s="1458">
        <v>1</v>
      </c>
      <c r="I904" s="1458" t="s">
        <v>3911</v>
      </c>
      <c r="J904" s="1473">
        <v>1</v>
      </c>
      <c r="K904" s="1462"/>
      <c r="L904" s="1456">
        <v>13089020400</v>
      </c>
      <c r="M904" s="1457">
        <v>1</v>
      </c>
      <c r="N904" s="1457">
        <v>1</v>
      </c>
      <c r="O904" s="1457">
        <v>2</v>
      </c>
    </row>
    <row r="905" spans="3:15" ht="13.5">
      <c r="C905" s="1463" t="s">
        <v>4697</v>
      </c>
      <c r="D905" s="1460">
        <v>0</v>
      </c>
      <c r="E905" s="1460">
        <v>0</v>
      </c>
      <c r="F905" s="1461">
        <v>0</v>
      </c>
      <c r="G905" s="1472" t="s">
        <v>4697</v>
      </c>
      <c r="H905" s="1458">
        <v>0</v>
      </c>
      <c r="I905" s="1458">
        <v>0</v>
      </c>
      <c r="J905" s="1473">
        <v>0</v>
      </c>
      <c r="K905" s="1462"/>
      <c r="L905" s="1456">
        <v>13089020500</v>
      </c>
      <c r="M905" s="1457">
        <v>0</v>
      </c>
      <c r="N905" s="1457">
        <v>0</v>
      </c>
      <c r="O905" s="1457">
        <v>0</v>
      </c>
    </row>
    <row r="906" spans="3:15" ht="13.5">
      <c r="C906" s="1463" t="s">
        <v>4698</v>
      </c>
      <c r="D906" s="1460">
        <v>0</v>
      </c>
      <c r="E906" s="1460">
        <v>0</v>
      </c>
      <c r="F906" s="1461">
        <v>0</v>
      </c>
      <c r="G906" s="1472" t="s">
        <v>4698</v>
      </c>
      <c r="H906" s="1458">
        <v>0</v>
      </c>
      <c r="I906" s="1458">
        <v>0</v>
      </c>
      <c r="J906" s="1473">
        <v>0</v>
      </c>
      <c r="K906" s="1462"/>
      <c r="L906" s="1456">
        <v>13089020600</v>
      </c>
      <c r="M906" s="1457">
        <v>0</v>
      </c>
      <c r="N906" s="1457">
        <v>0</v>
      </c>
      <c r="O906" s="1457">
        <v>0</v>
      </c>
    </row>
    <row r="907" spans="3:15" ht="13.5">
      <c r="C907" s="1463" t="s">
        <v>4699</v>
      </c>
      <c r="D907" s="1460">
        <v>1</v>
      </c>
      <c r="E907" s="1460">
        <v>0</v>
      </c>
      <c r="F907" s="1461">
        <v>1</v>
      </c>
      <c r="G907" s="1472" t="s">
        <v>4699</v>
      </c>
      <c r="H907" s="1458">
        <v>1</v>
      </c>
      <c r="I907" s="1458">
        <v>1</v>
      </c>
      <c r="J907" s="1473">
        <v>2</v>
      </c>
      <c r="K907" s="1462"/>
      <c r="L907" s="1456">
        <v>13089020700</v>
      </c>
      <c r="M907" s="1457">
        <v>1</v>
      </c>
      <c r="N907" s="1457">
        <v>1</v>
      </c>
      <c r="O907" s="1457">
        <v>2</v>
      </c>
    </row>
    <row r="908" spans="3:15" ht="13.5">
      <c r="C908" s="1463" t="s">
        <v>4700</v>
      </c>
      <c r="D908" s="1460">
        <v>1</v>
      </c>
      <c r="E908" s="1460">
        <v>1</v>
      </c>
      <c r="F908" s="1461">
        <v>2</v>
      </c>
      <c r="G908" s="1472" t="s">
        <v>4700</v>
      </c>
      <c r="H908" s="1458">
        <v>1</v>
      </c>
      <c r="I908" s="1458">
        <v>1</v>
      </c>
      <c r="J908" s="1473">
        <v>2</v>
      </c>
      <c r="K908" s="1462"/>
      <c r="L908" s="1456">
        <v>13089020801</v>
      </c>
      <c r="M908" s="1457">
        <v>1</v>
      </c>
      <c r="N908" s="1457">
        <v>1</v>
      </c>
      <c r="O908" s="1457">
        <v>2</v>
      </c>
    </row>
    <row r="909" spans="3:15" ht="13.5">
      <c r="C909" s="1463" t="s">
        <v>4701</v>
      </c>
      <c r="D909" s="1460">
        <v>1</v>
      </c>
      <c r="E909" s="1460">
        <v>0</v>
      </c>
      <c r="F909" s="1461">
        <v>1</v>
      </c>
      <c r="G909" s="1472" t="s">
        <v>4701</v>
      </c>
      <c r="H909" s="1458">
        <v>1</v>
      </c>
      <c r="I909" s="1458">
        <v>0</v>
      </c>
      <c r="J909" s="1473">
        <v>1</v>
      </c>
      <c r="K909" s="1462"/>
      <c r="L909" s="1456">
        <v>13089020802</v>
      </c>
      <c r="M909" s="1457">
        <v>1</v>
      </c>
      <c r="N909" s="1457">
        <v>0</v>
      </c>
      <c r="O909" s="1457">
        <v>1</v>
      </c>
    </row>
    <row r="910" spans="3:15" ht="13.5">
      <c r="C910" s="1463" t="s">
        <v>4702</v>
      </c>
      <c r="D910" s="1460">
        <v>1</v>
      </c>
      <c r="E910" s="1460">
        <v>0</v>
      </c>
      <c r="F910" s="1461">
        <v>1</v>
      </c>
      <c r="G910" s="1472" t="s">
        <v>4702</v>
      </c>
      <c r="H910" s="1458">
        <v>1</v>
      </c>
      <c r="I910" s="1458">
        <v>0</v>
      </c>
      <c r="J910" s="1473">
        <v>1</v>
      </c>
      <c r="K910" s="1462"/>
      <c r="L910" s="1456">
        <v>13089020900</v>
      </c>
      <c r="M910" s="1457">
        <v>1</v>
      </c>
      <c r="N910" s="1457">
        <v>0</v>
      </c>
      <c r="O910" s="1457">
        <v>1</v>
      </c>
    </row>
    <row r="911" spans="3:15" ht="13.5">
      <c r="C911" s="1463" t="s">
        <v>4703</v>
      </c>
      <c r="D911" s="1460">
        <v>1</v>
      </c>
      <c r="E911" s="1460">
        <v>1</v>
      </c>
      <c r="F911" s="1461">
        <v>2</v>
      </c>
      <c r="G911" s="1472" t="s">
        <v>4703</v>
      </c>
      <c r="H911" s="1458">
        <v>1</v>
      </c>
      <c r="I911" s="1458">
        <v>1</v>
      </c>
      <c r="J911" s="1473">
        <v>2</v>
      </c>
      <c r="K911" s="1462"/>
      <c r="L911" s="1456">
        <v>13089021101</v>
      </c>
      <c r="M911" s="1457">
        <v>1</v>
      </c>
      <c r="N911" s="1457">
        <v>1</v>
      </c>
      <c r="O911" s="1457">
        <v>2</v>
      </c>
    </row>
    <row r="912" spans="3:15" ht="13.5">
      <c r="C912" s="1463" t="s">
        <v>4704</v>
      </c>
      <c r="D912" s="1460">
        <v>1</v>
      </c>
      <c r="E912" s="1460">
        <v>1</v>
      </c>
      <c r="F912" s="1461">
        <v>2</v>
      </c>
      <c r="G912" s="1472" t="s">
        <v>4704</v>
      </c>
      <c r="H912" s="1458">
        <v>1</v>
      </c>
      <c r="I912" s="1458">
        <v>1</v>
      </c>
      <c r="J912" s="1473">
        <v>2</v>
      </c>
      <c r="K912" s="1462"/>
      <c r="L912" s="1456">
        <v>13089021102</v>
      </c>
      <c r="M912" s="1457">
        <v>1</v>
      </c>
      <c r="N912" s="1457">
        <v>1</v>
      </c>
      <c r="O912" s="1457">
        <v>2</v>
      </c>
    </row>
    <row r="913" spans="3:15" ht="13.5">
      <c r="C913" s="1463" t="s">
        <v>4705</v>
      </c>
      <c r="D913" s="1460">
        <v>1</v>
      </c>
      <c r="E913" s="1460">
        <v>1</v>
      </c>
      <c r="F913" s="1461">
        <v>2</v>
      </c>
      <c r="G913" s="1472" t="s">
        <v>4705</v>
      </c>
      <c r="H913" s="1458">
        <v>1</v>
      </c>
      <c r="I913" s="1458">
        <v>1</v>
      </c>
      <c r="J913" s="1473">
        <v>2</v>
      </c>
      <c r="K913" s="1462"/>
      <c r="L913" s="1456">
        <v>13089021202</v>
      </c>
      <c r="M913" s="1457">
        <v>1</v>
      </c>
      <c r="N913" s="1457">
        <v>1</v>
      </c>
      <c r="O913" s="1457">
        <v>2</v>
      </c>
    </row>
    <row r="914" spans="3:15" ht="13.5">
      <c r="C914" s="1463" t="s">
        <v>4706</v>
      </c>
      <c r="D914" s="1460">
        <v>0</v>
      </c>
      <c r="E914" s="1460">
        <v>0</v>
      </c>
      <c r="F914" s="1461">
        <v>0</v>
      </c>
      <c r="G914" s="1472" t="s">
        <v>4706</v>
      </c>
      <c r="H914" s="1458">
        <v>0</v>
      </c>
      <c r="I914" s="1458" t="s">
        <v>3911</v>
      </c>
      <c r="J914" s="1473">
        <v>0</v>
      </c>
      <c r="K914" s="1462"/>
      <c r="L914" s="1456">
        <v>13089021204</v>
      </c>
      <c r="M914" s="1457">
        <v>0</v>
      </c>
      <c r="N914" s="1457">
        <v>0</v>
      </c>
      <c r="O914" s="1457">
        <v>0</v>
      </c>
    </row>
    <row r="915" spans="3:15" ht="13.5">
      <c r="C915" s="1463" t="s">
        <v>4707</v>
      </c>
      <c r="D915" s="1460">
        <v>1</v>
      </c>
      <c r="E915" s="1460">
        <v>1</v>
      </c>
      <c r="F915" s="1461">
        <v>2</v>
      </c>
      <c r="G915" s="1472" t="s">
        <v>4707</v>
      </c>
      <c r="H915" s="1458">
        <v>1</v>
      </c>
      <c r="I915" s="1458">
        <v>1</v>
      </c>
      <c r="J915" s="1473">
        <v>2</v>
      </c>
      <c r="K915" s="1462"/>
      <c r="L915" s="1456">
        <v>13089021208</v>
      </c>
      <c r="M915" s="1457">
        <v>1</v>
      </c>
      <c r="N915" s="1457">
        <v>1</v>
      </c>
      <c r="O915" s="1457">
        <v>2</v>
      </c>
    </row>
    <row r="916" spans="3:15" ht="13.5">
      <c r="C916" s="1463" t="s">
        <v>4708</v>
      </c>
      <c r="D916" s="1460">
        <v>1</v>
      </c>
      <c r="E916" s="1460">
        <v>1</v>
      </c>
      <c r="F916" s="1461">
        <v>2</v>
      </c>
      <c r="G916" s="1472" t="s">
        <v>4708</v>
      </c>
      <c r="H916" s="1458">
        <v>1</v>
      </c>
      <c r="I916" s="1458">
        <v>1</v>
      </c>
      <c r="J916" s="1473">
        <v>2</v>
      </c>
      <c r="K916" s="1462"/>
      <c r="L916" s="1456">
        <v>13089021209</v>
      </c>
      <c r="M916" s="1457">
        <v>1</v>
      </c>
      <c r="N916" s="1457">
        <v>1</v>
      </c>
      <c r="O916" s="1457">
        <v>2</v>
      </c>
    </row>
    <row r="917" spans="3:15" ht="13.5">
      <c r="C917" s="1463" t="s">
        <v>4709</v>
      </c>
      <c r="D917" s="1460">
        <v>1</v>
      </c>
      <c r="E917" s="1460">
        <v>1</v>
      </c>
      <c r="F917" s="1461">
        <v>2</v>
      </c>
      <c r="G917" s="1472" t="s">
        <v>4709</v>
      </c>
      <c r="H917" s="1458">
        <v>1</v>
      </c>
      <c r="I917" s="1458">
        <v>1</v>
      </c>
      <c r="J917" s="1473">
        <v>2</v>
      </c>
      <c r="K917" s="1462"/>
      <c r="L917" s="1456">
        <v>13089021210</v>
      </c>
      <c r="M917" s="1457">
        <v>1</v>
      </c>
      <c r="N917" s="1457">
        <v>1</v>
      </c>
      <c r="O917" s="1457">
        <v>2</v>
      </c>
    </row>
    <row r="918" spans="3:15" ht="13.5">
      <c r="C918" s="1463" t="s">
        <v>4710</v>
      </c>
      <c r="D918" s="1460">
        <v>1</v>
      </c>
      <c r="E918" s="1460">
        <v>1</v>
      </c>
      <c r="F918" s="1461">
        <v>2</v>
      </c>
      <c r="G918" s="1472" t="s">
        <v>4710</v>
      </c>
      <c r="H918" s="1458">
        <v>1</v>
      </c>
      <c r="I918" s="1458">
        <v>1</v>
      </c>
      <c r="J918" s="1473">
        <v>2</v>
      </c>
      <c r="K918" s="1462"/>
      <c r="L918" s="1456">
        <v>13089021211</v>
      </c>
      <c r="M918" s="1457">
        <v>1</v>
      </c>
      <c r="N918" s="1457">
        <v>1</v>
      </c>
      <c r="O918" s="1457">
        <v>2</v>
      </c>
    </row>
    <row r="919" spans="3:15" ht="13.5">
      <c r="C919" s="1463" t="s">
        <v>4711</v>
      </c>
      <c r="D919" s="1460">
        <v>1</v>
      </c>
      <c r="E919" s="1460">
        <v>1</v>
      </c>
      <c r="F919" s="1461">
        <v>2</v>
      </c>
      <c r="G919" s="1472" t="s">
        <v>4711</v>
      </c>
      <c r="H919" s="1458">
        <v>1</v>
      </c>
      <c r="I919" s="1458">
        <v>1</v>
      </c>
      <c r="J919" s="1473">
        <v>2</v>
      </c>
      <c r="K919" s="1462"/>
      <c r="L919" s="1456">
        <v>13089021213</v>
      </c>
      <c r="M919" s="1457">
        <v>1</v>
      </c>
      <c r="N919" s="1457">
        <v>1</v>
      </c>
      <c r="O919" s="1457">
        <v>2</v>
      </c>
    </row>
    <row r="920" spans="3:15" ht="13.5">
      <c r="C920" s="1463" t="s">
        <v>4712</v>
      </c>
      <c r="D920" s="1460">
        <v>1</v>
      </c>
      <c r="E920" s="1460">
        <v>1</v>
      </c>
      <c r="F920" s="1461">
        <v>2</v>
      </c>
      <c r="G920" s="1472" t="s">
        <v>4712</v>
      </c>
      <c r="H920" s="1458">
        <v>1</v>
      </c>
      <c r="I920" s="1458" t="s">
        <v>3911</v>
      </c>
      <c r="J920" s="1473">
        <v>1</v>
      </c>
      <c r="K920" s="1462"/>
      <c r="L920" s="1456">
        <v>13089021214</v>
      </c>
      <c r="M920" s="1457">
        <v>1</v>
      </c>
      <c r="N920" s="1457">
        <v>1</v>
      </c>
      <c r="O920" s="1457">
        <v>2</v>
      </c>
    </row>
    <row r="921" spans="3:15" ht="13.5">
      <c r="C921" s="1463" t="s">
        <v>4713</v>
      </c>
      <c r="D921" s="1460">
        <v>1</v>
      </c>
      <c r="E921" s="1460">
        <v>1</v>
      </c>
      <c r="F921" s="1461">
        <v>2</v>
      </c>
      <c r="G921" s="1472" t="s">
        <v>4713</v>
      </c>
      <c r="H921" s="1458">
        <v>1</v>
      </c>
      <c r="I921" s="1458">
        <v>1</v>
      </c>
      <c r="J921" s="1473">
        <v>2</v>
      </c>
      <c r="K921" s="1462"/>
      <c r="L921" s="1456">
        <v>13089021215</v>
      </c>
      <c r="M921" s="1457">
        <v>1</v>
      </c>
      <c r="N921" s="1457">
        <v>1</v>
      </c>
      <c r="O921" s="1457">
        <v>2</v>
      </c>
    </row>
    <row r="922" spans="3:15" ht="13.5">
      <c r="C922" s="1463" t="s">
        <v>4714</v>
      </c>
      <c r="D922" s="1460">
        <v>1</v>
      </c>
      <c r="E922" s="1460">
        <v>1</v>
      </c>
      <c r="F922" s="1461">
        <v>2</v>
      </c>
      <c r="G922" s="1472" t="s">
        <v>4714</v>
      </c>
      <c r="H922" s="1458">
        <v>1</v>
      </c>
      <c r="I922" s="1458">
        <v>1</v>
      </c>
      <c r="J922" s="1473">
        <v>2</v>
      </c>
      <c r="K922" s="1462"/>
      <c r="L922" s="1456">
        <v>13089021216</v>
      </c>
      <c r="M922" s="1457">
        <v>1</v>
      </c>
      <c r="N922" s="1457">
        <v>1</v>
      </c>
      <c r="O922" s="1457">
        <v>2</v>
      </c>
    </row>
    <row r="923" spans="3:15" ht="13.5">
      <c r="C923" s="1463" t="s">
        <v>4715</v>
      </c>
      <c r="D923" s="1460">
        <v>1</v>
      </c>
      <c r="E923" s="1460">
        <v>1</v>
      </c>
      <c r="F923" s="1461">
        <v>2</v>
      </c>
      <c r="G923" s="1472" t="s">
        <v>4715</v>
      </c>
      <c r="H923" s="1458">
        <v>1</v>
      </c>
      <c r="I923" s="1458">
        <v>1</v>
      </c>
      <c r="J923" s="1473">
        <v>2</v>
      </c>
      <c r="K923" s="1462"/>
      <c r="L923" s="1456">
        <v>13089021217</v>
      </c>
      <c r="M923" s="1457">
        <v>1</v>
      </c>
      <c r="N923" s="1457">
        <v>1</v>
      </c>
      <c r="O923" s="1457">
        <v>2</v>
      </c>
    </row>
    <row r="924" spans="3:15" ht="13.5">
      <c r="C924" s="1463" t="s">
        <v>4716</v>
      </c>
      <c r="D924" s="1460">
        <v>1</v>
      </c>
      <c r="E924" s="1460">
        <v>1</v>
      </c>
      <c r="F924" s="1461">
        <v>2</v>
      </c>
      <c r="G924" s="1472" t="s">
        <v>4716</v>
      </c>
      <c r="H924" s="1458">
        <v>1</v>
      </c>
      <c r="I924" s="1458">
        <v>1</v>
      </c>
      <c r="J924" s="1473">
        <v>2</v>
      </c>
      <c r="K924" s="1462"/>
      <c r="L924" s="1456">
        <v>13089021218</v>
      </c>
      <c r="M924" s="1457">
        <v>1</v>
      </c>
      <c r="N924" s="1457">
        <v>1</v>
      </c>
      <c r="O924" s="1457">
        <v>2</v>
      </c>
    </row>
    <row r="925" spans="3:15" ht="13.5">
      <c r="C925" s="1463" t="s">
        <v>4717</v>
      </c>
      <c r="D925" s="1460">
        <v>0</v>
      </c>
      <c r="E925" s="1460">
        <v>0</v>
      </c>
      <c r="F925" s="1461">
        <v>0</v>
      </c>
      <c r="G925" s="1472" t="s">
        <v>4717</v>
      </c>
      <c r="H925" s="1458">
        <v>1</v>
      </c>
      <c r="I925" s="1458">
        <v>0</v>
      </c>
      <c r="J925" s="1473">
        <v>1</v>
      </c>
      <c r="K925" s="1462"/>
      <c r="L925" s="1456">
        <v>13089021301</v>
      </c>
      <c r="M925" s="1457">
        <v>1</v>
      </c>
      <c r="N925" s="1457">
        <v>0</v>
      </c>
      <c r="O925" s="1457">
        <v>1</v>
      </c>
    </row>
    <row r="926" spans="3:15" ht="13.5">
      <c r="C926" s="1463" t="s">
        <v>4718</v>
      </c>
      <c r="D926" s="1460">
        <v>0</v>
      </c>
      <c r="E926" s="1460">
        <v>0</v>
      </c>
      <c r="F926" s="1461">
        <v>0</v>
      </c>
      <c r="G926" s="1472" t="s">
        <v>4718</v>
      </c>
      <c r="H926" s="1458">
        <v>0</v>
      </c>
      <c r="I926" s="1458">
        <v>0</v>
      </c>
      <c r="J926" s="1473">
        <v>0</v>
      </c>
      <c r="K926" s="1462"/>
      <c r="L926" s="1456">
        <v>13089021303</v>
      </c>
      <c r="M926" s="1457">
        <v>0</v>
      </c>
      <c r="N926" s="1457">
        <v>0</v>
      </c>
      <c r="O926" s="1457">
        <v>0</v>
      </c>
    </row>
    <row r="927" spans="3:15" ht="13.5">
      <c r="C927" s="1463" t="s">
        <v>4719</v>
      </c>
      <c r="D927" s="1460">
        <v>0</v>
      </c>
      <c r="E927" s="1460">
        <v>0</v>
      </c>
      <c r="F927" s="1461">
        <v>0</v>
      </c>
      <c r="G927" s="1472" t="s">
        <v>4719</v>
      </c>
      <c r="H927" s="1458">
        <v>1</v>
      </c>
      <c r="I927" s="1458">
        <v>0</v>
      </c>
      <c r="J927" s="1473">
        <v>1</v>
      </c>
      <c r="K927" s="1462"/>
      <c r="L927" s="1456">
        <v>13089021305</v>
      </c>
      <c r="M927" s="1457">
        <v>1</v>
      </c>
      <c r="N927" s="1457">
        <v>0</v>
      </c>
      <c r="O927" s="1457">
        <v>1</v>
      </c>
    </row>
    <row r="928" spans="3:15" ht="13.5">
      <c r="C928" s="1463" t="s">
        <v>4720</v>
      </c>
      <c r="D928" s="1460">
        <v>1</v>
      </c>
      <c r="E928" s="1460">
        <v>0</v>
      </c>
      <c r="F928" s="1461">
        <v>1</v>
      </c>
      <c r="G928" s="1472" t="s">
        <v>4720</v>
      </c>
      <c r="H928" s="1458">
        <v>1</v>
      </c>
      <c r="I928" s="1458">
        <v>0</v>
      </c>
      <c r="J928" s="1473">
        <v>1</v>
      </c>
      <c r="K928" s="1462"/>
      <c r="L928" s="1456">
        <v>13089021306</v>
      </c>
      <c r="M928" s="1457">
        <v>1</v>
      </c>
      <c r="N928" s="1457">
        <v>0</v>
      </c>
      <c r="O928" s="1457">
        <v>1</v>
      </c>
    </row>
    <row r="929" spans="3:15" ht="13.5">
      <c r="C929" s="1463" t="s">
        <v>4721</v>
      </c>
      <c r="D929" s="1460">
        <v>0</v>
      </c>
      <c r="E929" s="1460">
        <v>0</v>
      </c>
      <c r="F929" s="1461">
        <v>0</v>
      </c>
      <c r="G929" s="1472" t="s">
        <v>4721</v>
      </c>
      <c r="H929" s="1458">
        <v>1</v>
      </c>
      <c r="I929" s="1458">
        <v>0</v>
      </c>
      <c r="J929" s="1473">
        <v>1</v>
      </c>
      <c r="K929" s="1462"/>
      <c r="L929" s="1456">
        <v>13089021307</v>
      </c>
      <c r="M929" s="1457">
        <v>1</v>
      </c>
      <c r="N929" s="1457">
        <v>0</v>
      </c>
      <c r="O929" s="1457">
        <v>1</v>
      </c>
    </row>
    <row r="930" spans="3:15" ht="13.5">
      <c r="C930" s="1463" t="s">
        <v>4722</v>
      </c>
      <c r="D930" s="1460">
        <v>1</v>
      </c>
      <c r="E930" s="1460">
        <v>0</v>
      </c>
      <c r="F930" s="1461">
        <v>1</v>
      </c>
      <c r="G930" s="1472" t="s">
        <v>4722</v>
      </c>
      <c r="H930" s="1458">
        <v>1</v>
      </c>
      <c r="I930" s="1458">
        <v>0</v>
      </c>
      <c r="J930" s="1473">
        <v>1</v>
      </c>
      <c r="K930" s="1462"/>
      <c r="L930" s="1456">
        <v>13089021308</v>
      </c>
      <c r="M930" s="1457">
        <v>1</v>
      </c>
      <c r="N930" s="1457">
        <v>0</v>
      </c>
      <c r="O930" s="1457">
        <v>1</v>
      </c>
    </row>
    <row r="931" spans="3:15" ht="13.5">
      <c r="C931" s="1463" t="s">
        <v>4723</v>
      </c>
      <c r="D931" s="1460">
        <v>1</v>
      </c>
      <c r="E931" s="1460">
        <v>1</v>
      </c>
      <c r="F931" s="1461">
        <v>2</v>
      </c>
      <c r="G931" s="1472" t="s">
        <v>4723</v>
      </c>
      <c r="H931" s="1458">
        <v>1</v>
      </c>
      <c r="I931" s="1458">
        <v>1</v>
      </c>
      <c r="J931" s="1473">
        <v>2</v>
      </c>
      <c r="K931" s="1462"/>
      <c r="L931" s="1456">
        <v>13089021405</v>
      </c>
      <c r="M931" s="1457">
        <v>1</v>
      </c>
      <c r="N931" s="1457">
        <v>1</v>
      </c>
      <c r="O931" s="1457">
        <v>2</v>
      </c>
    </row>
    <row r="932" spans="3:15" ht="13.5">
      <c r="C932" s="1463" t="s">
        <v>4724</v>
      </c>
      <c r="D932" s="1460">
        <v>0</v>
      </c>
      <c r="E932" s="1460">
        <v>0</v>
      </c>
      <c r="F932" s="1461">
        <v>0</v>
      </c>
      <c r="G932" s="1472" t="s">
        <v>4724</v>
      </c>
      <c r="H932" s="1458">
        <v>1</v>
      </c>
      <c r="I932" s="1458" t="s">
        <v>3911</v>
      </c>
      <c r="J932" s="1473">
        <v>1</v>
      </c>
      <c r="K932" s="1462"/>
      <c r="L932" s="1456">
        <v>13089021409</v>
      </c>
      <c r="M932" s="1457">
        <v>1</v>
      </c>
      <c r="N932" s="1457">
        <v>0</v>
      </c>
      <c r="O932" s="1457">
        <v>1</v>
      </c>
    </row>
    <row r="933" spans="3:15" ht="13.5">
      <c r="C933" s="1463" t="s">
        <v>4725</v>
      </c>
      <c r="D933" s="1460">
        <v>1</v>
      </c>
      <c r="E933" s="1460">
        <v>0</v>
      </c>
      <c r="F933" s="1461">
        <v>1</v>
      </c>
      <c r="G933" s="1472" t="s">
        <v>4725</v>
      </c>
      <c r="H933" s="1458">
        <v>1</v>
      </c>
      <c r="I933" s="1458" t="s">
        <v>3911</v>
      </c>
      <c r="J933" s="1473">
        <v>1</v>
      </c>
      <c r="K933" s="1462"/>
      <c r="L933" s="1456">
        <v>13089021410</v>
      </c>
      <c r="M933" s="1457">
        <v>1</v>
      </c>
      <c r="N933" s="1457">
        <v>0</v>
      </c>
      <c r="O933" s="1457">
        <v>1</v>
      </c>
    </row>
    <row r="934" spans="3:15" ht="13.5">
      <c r="C934" s="1463" t="s">
        <v>4726</v>
      </c>
      <c r="D934" s="1460">
        <v>1</v>
      </c>
      <c r="E934" s="1460">
        <v>1</v>
      </c>
      <c r="F934" s="1461">
        <v>2</v>
      </c>
      <c r="G934" s="1472" t="s">
        <v>4726</v>
      </c>
      <c r="H934" s="1458">
        <v>1</v>
      </c>
      <c r="I934" s="1458">
        <v>1</v>
      </c>
      <c r="J934" s="1473">
        <v>2</v>
      </c>
      <c r="K934" s="1462"/>
      <c r="L934" s="1456">
        <v>13089021411</v>
      </c>
      <c r="M934" s="1457">
        <v>1</v>
      </c>
      <c r="N934" s="1457">
        <v>1</v>
      </c>
      <c r="O934" s="1457">
        <v>2</v>
      </c>
    </row>
    <row r="935" spans="3:15" ht="13.5">
      <c r="C935" s="1463" t="s">
        <v>4727</v>
      </c>
      <c r="D935" s="1460">
        <v>1</v>
      </c>
      <c r="E935" s="1460">
        <v>1</v>
      </c>
      <c r="F935" s="1461">
        <v>2</v>
      </c>
      <c r="G935" s="1472" t="s">
        <v>4727</v>
      </c>
      <c r="H935" s="1458">
        <v>1</v>
      </c>
      <c r="I935" s="1458">
        <v>1</v>
      </c>
      <c r="J935" s="1473">
        <v>2</v>
      </c>
      <c r="K935" s="1462"/>
      <c r="L935" s="1456">
        <v>13089021412</v>
      </c>
      <c r="M935" s="1457">
        <v>1</v>
      </c>
      <c r="N935" s="1457">
        <v>1</v>
      </c>
      <c r="O935" s="1457">
        <v>2</v>
      </c>
    </row>
    <row r="936" spans="3:15" ht="13.5">
      <c r="C936" s="1463" t="s">
        <v>4728</v>
      </c>
      <c r="D936" s="1460">
        <v>0</v>
      </c>
      <c r="E936" s="1460">
        <v>0</v>
      </c>
      <c r="F936" s="1461">
        <v>0</v>
      </c>
      <c r="G936" s="1472" t="s">
        <v>4728</v>
      </c>
      <c r="H936" s="1458">
        <v>1</v>
      </c>
      <c r="I936" s="1458">
        <v>0</v>
      </c>
      <c r="J936" s="1473">
        <v>1</v>
      </c>
      <c r="K936" s="1462"/>
      <c r="L936" s="1456">
        <v>13089021413</v>
      </c>
      <c r="M936" s="1457">
        <v>1</v>
      </c>
      <c r="N936" s="1457">
        <v>0</v>
      </c>
      <c r="O936" s="1457">
        <v>1</v>
      </c>
    </row>
    <row r="937" spans="3:15" ht="13.5">
      <c r="C937" s="1463" t="s">
        <v>4729</v>
      </c>
      <c r="D937" s="1460">
        <v>1</v>
      </c>
      <c r="E937" s="1460">
        <v>0</v>
      </c>
      <c r="F937" s="1461">
        <v>1</v>
      </c>
      <c r="G937" s="1472" t="s">
        <v>4729</v>
      </c>
      <c r="H937" s="1458">
        <v>0</v>
      </c>
      <c r="I937" s="1458">
        <v>0</v>
      </c>
      <c r="J937" s="1473">
        <v>0</v>
      </c>
      <c r="K937" s="1462"/>
      <c r="L937" s="1456">
        <v>13089021414</v>
      </c>
      <c r="M937" s="1457">
        <v>1</v>
      </c>
      <c r="N937" s="1457">
        <v>0</v>
      </c>
      <c r="O937" s="1457">
        <v>1</v>
      </c>
    </row>
    <row r="938" spans="3:15" ht="13.5">
      <c r="C938" s="1463" t="s">
        <v>4730</v>
      </c>
      <c r="D938" s="1460">
        <v>1</v>
      </c>
      <c r="E938" s="1460">
        <v>1</v>
      </c>
      <c r="F938" s="1461">
        <v>2</v>
      </c>
      <c r="G938" s="1472" t="s">
        <v>4730</v>
      </c>
      <c r="H938" s="1458">
        <v>1</v>
      </c>
      <c r="I938" s="1458" t="s">
        <v>3911</v>
      </c>
      <c r="J938" s="1473">
        <v>1</v>
      </c>
      <c r="K938" s="1462"/>
      <c r="L938" s="1456">
        <v>13089021415</v>
      </c>
      <c r="M938" s="1457">
        <v>1</v>
      </c>
      <c r="N938" s="1457">
        <v>1</v>
      </c>
      <c r="O938" s="1457">
        <v>2</v>
      </c>
    </row>
    <row r="939" spans="3:15" ht="13.5">
      <c r="C939" s="1463" t="s">
        <v>4731</v>
      </c>
      <c r="D939" s="1460">
        <v>1</v>
      </c>
      <c r="E939" s="1460">
        <v>0</v>
      </c>
      <c r="F939" s="1461">
        <v>1</v>
      </c>
      <c r="G939" s="1472" t="s">
        <v>4731</v>
      </c>
      <c r="H939" s="1458">
        <v>1</v>
      </c>
      <c r="I939" s="1458">
        <v>0</v>
      </c>
      <c r="J939" s="1473">
        <v>1</v>
      </c>
      <c r="K939" s="1462"/>
      <c r="L939" s="1456">
        <v>13089021416</v>
      </c>
      <c r="M939" s="1457">
        <v>1</v>
      </c>
      <c r="N939" s="1457">
        <v>0</v>
      </c>
      <c r="O939" s="1457">
        <v>1</v>
      </c>
    </row>
    <row r="940" spans="3:15" ht="13.5">
      <c r="C940" s="1463" t="s">
        <v>4732</v>
      </c>
      <c r="D940" s="1460">
        <v>0</v>
      </c>
      <c r="E940" s="1460">
        <v>0</v>
      </c>
      <c r="F940" s="1461">
        <v>0</v>
      </c>
      <c r="G940" s="1472" t="s">
        <v>4732</v>
      </c>
      <c r="H940" s="1458">
        <v>1</v>
      </c>
      <c r="I940" s="1458" t="s">
        <v>3911</v>
      </c>
      <c r="J940" s="1473">
        <v>1</v>
      </c>
      <c r="K940" s="1462"/>
      <c r="L940" s="1456">
        <v>13089021417</v>
      </c>
      <c r="M940" s="1457">
        <v>1</v>
      </c>
      <c r="N940" s="1457">
        <v>0</v>
      </c>
      <c r="O940" s="1457">
        <v>1</v>
      </c>
    </row>
    <row r="941" spans="3:15" ht="13.5">
      <c r="C941" s="1463" t="s">
        <v>4733</v>
      </c>
      <c r="D941" s="1460">
        <v>1</v>
      </c>
      <c r="E941" s="1460">
        <v>1</v>
      </c>
      <c r="F941" s="1461">
        <v>2</v>
      </c>
      <c r="G941" s="1472" t="s">
        <v>4733</v>
      </c>
      <c r="H941" s="1458">
        <v>1</v>
      </c>
      <c r="I941" s="1458">
        <v>1</v>
      </c>
      <c r="J941" s="1473">
        <v>2</v>
      </c>
      <c r="K941" s="1462"/>
      <c r="L941" s="1456">
        <v>13089021502</v>
      </c>
      <c r="M941" s="1457">
        <v>1</v>
      </c>
      <c r="N941" s="1457">
        <v>1</v>
      </c>
      <c r="O941" s="1457">
        <v>2</v>
      </c>
    </row>
    <row r="942" spans="3:15" ht="13.5">
      <c r="C942" s="1463" t="s">
        <v>4734</v>
      </c>
      <c r="D942" s="1460">
        <v>1</v>
      </c>
      <c r="E942" s="1460">
        <v>0</v>
      </c>
      <c r="F942" s="1461">
        <v>1</v>
      </c>
      <c r="G942" s="1472" t="s">
        <v>4734</v>
      </c>
      <c r="H942" s="1458">
        <v>1</v>
      </c>
      <c r="I942" s="1458">
        <v>1</v>
      </c>
      <c r="J942" s="1473">
        <v>2</v>
      </c>
      <c r="K942" s="1462"/>
      <c r="L942" s="1456">
        <v>13089021503</v>
      </c>
      <c r="M942" s="1457">
        <v>1</v>
      </c>
      <c r="N942" s="1457">
        <v>1</v>
      </c>
      <c r="O942" s="1457">
        <v>2</v>
      </c>
    </row>
    <row r="943" spans="3:15" ht="13.5">
      <c r="C943" s="1463" t="s">
        <v>4735</v>
      </c>
      <c r="D943" s="1460">
        <v>1</v>
      </c>
      <c r="E943" s="1460">
        <v>1</v>
      </c>
      <c r="F943" s="1461">
        <v>2</v>
      </c>
      <c r="G943" s="1472" t="s">
        <v>4735</v>
      </c>
      <c r="H943" s="1458">
        <v>1</v>
      </c>
      <c r="I943" s="1458" t="s">
        <v>3911</v>
      </c>
      <c r="J943" s="1473">
        <v>1</v>
      </c>
      <c r="K943" s="1462"/>
      <c r="L943" s="1456">
        <v>13089021504</v>
      </c>
      <c r="M943" s="1457">
        <v>1</v>
      </c>
      <c r="N943" s="1457">
        <v>1</v>
      </c>
      <c r="O943" s="1457">
        <v>2</v>
      </c>
    </row>
    <row r="944" spans="3:15" ht="13.5">
      <c r="C944" s="1463" t="s">
        <v>4736</v>
      </c>
      <c r="D944" s="1460">
        <v>1</v>
      </c>
      <c r="E944" s="1460">
        <v>1</v>
      </c>
      <c r="F944" s="1461">
        <v>2</v>
      </c>
      <c r="G944" s="1472" t="s">
        <v>4736</v>
      </c>
      <c r="H944" s="1458">
        <v>1</v>
      </c>
      <c r="I944" s="1458">
        <v>1</v>
      </c>
      <c r="J944" s="1473">
        <v>2</v>
      </c>
      <c r="K944" s="1462"/>
      <c r="L944" s="1456">
        <v>13089021602</v>
      </c>
      <c r="M944" s="1457">
        <v>1</v>
      </c>
      <c r="N944" s="1457">
        <v>1</v>
      </c>
      <c r="O944" s="1457">
        <v>2</v>
      </c>
    </row>
    <row r="945" spans="3:15" ht="13.5">
      <c r="C945" s="1463" t="s">
        <v>4737</v>
      </c>
      <c r="D945" s="1460">
        <v>1</v>
      </c>
      <c r="E945" s="1460">
        <v>1</v>
      </c>
      <c r="F945" s="1461">
        <v>2</v>
      </c>
      <c r="G945" s="1472" t="s">
        <v>4737</v>
      </c>
      <c r="H945" s="1458">
        <v>1</v>
      </c>
      <c r="I945" s="1458">
        <v>1</v>
      </c>
      <c r="J945" s="1473">
        <v>2</v>
      </c>
      <c r="K945" s="1462"/>
      <c r="L945" s="1456">
        <v>13089021603</v>
      </c>
      <c r="M945" s="1457">
        <v>1</v>
      </c>
      <c r="N945" s="1457">
        <v>1</v>
      </c>
      <c r="O945" s="1457">
        <v>2</v>
      </c>
    </row>
    <row r="946" spans="3:15" ht="13.5">
      <c r="C946" s="1463" t="s">
        <v>4738</v>
      </c>
      <c r="D946" s="1460">
        <v>1</v>
      </c>
      <c r="E946" s="1460">
        <v>1</v>
      </c>
      <c r="F946" s="1461">
        <v>2</v>
      </c>
      <c r="G946" s="1472" t="s">
        <v>4738</v>
      </c>
      <c r="H946" s="1458">
        <v>1</v>
      </c>
      <c r="I946" s="1458">
        <v>1</v>
      </c>
      <c r="J946" s="1473">
        <v>2</v>
      </c>
      <c r="K946" s="1462"/>
      <c r="L946" s="1456">
        <v>13089021604</v>
      </c>
      <c r="M946" s="1457">
        <v>1</v>
      </c>
      <c r="N946" s="1457">
        <v>1</v>
      </c>
      <c r="O946" s="1457">
        <v>2</v>
      </c>
    </row>
    <row r="947" spans="3:15" ht="13.5">
      <c r="C947" s="1463" t="s">
        <v>4739</v>
      </c>
      <c r="D947" s="1460">
        <v>1</v>
      </c>
      <c r="E947" s="1460">
        <v>1</v>
      </c>
      <c r="F947" s="1461">
        <v>2</v>
      </c>
      <c r="G947" s="1472" t="s">
        <v>4739</v>
      </c>
      <c r="H947" s="1458">
        <v>1</v>
      </c>
      <c r="I947" s="1458">
        <v>1</v>
      </c>
      <c r="J947" s="1473">
        <v>2</v>
      </c>
      <c r="K947" s="1462"/>
      <c r="L947" s="1456">
        <v>13089021605</v>
      </c>
      <c r="M947" s="1457">
        <v>1</v>
      </c>
      <c r="N947" s="1457">
        <v>1</v>
      </c>
      <c r="O947" s="1457">
        <v>2</v>
      </c>
    </row>
    <row r="948" spans="3:15" ht="13.5">
      <c r="C948" s="1463" t="s">
        <v>4740</v>
      </c>
      <c r="D948" s="1460">
        <v>1</v>
      </c>
      <c r="E948" s="1460">
        <v>1</v>
      </c>
      <c r="F948" s="1461">
        <v>2</v>
      </c>
      <c r="G948" s="1472" t="s">
        <v>4740</v>
      </c>
      <c r="H948" s="1458">
        <v>1</v>
      </c>
      <c r="I948" s="1458">
        <v>1</v>
      </c>
      <c r="J948" s="1473">
        <v>2</v>
      </c>
      <c r="K948" s="1462"/>
      <c r="L948" s="1456">
        <v>13089021703</v>
      </c>
      <c r="M948" s="1457">
        <v>1</v>
      </c>
      <c r="N948" s="1457">
        <v>1</v>
      </c>
      <c r="O948" s="1457">
        <v>2</v>
      </c>
    </row>
    <row r="949" spans="3:15" ht="13.5">
      <c r="C949" s="1463" t="s">
        <v>4741</v>
      </c>
      <c r="D949" s="1460">
        <v>1</v>
      </c>
      <c r="E949" s="1460">
        <v>1</v>
      </c>
      <c r="F949" s="1461">
        <v>2</v>
      </c>
      <c r="G949" s="1472" t="s">
        <v>4741</v>
      </c>
      <c r="H949" s="1458">
        <v>1</v>
      </c>
      <c r="I949" s="1458">
        <v>1</v>
      </c>
      <c r="J949" s="1473">
        <v>2</v>
      </c>
      <c r="K949" s="1462"/>
      <c r="L949" s="1456">
        <v>13089021704</v>
      </c>
      <c r="M949" s="1457">
        <v>1</v>
      </c>
      <c r="N949" s="1457">
        <v>1</v>
      </c>
      <c r="O949" s="1457">
        <v>2</v>
      </c>
    </row>
    <row r="950" spans="3:15" ht="13.5">
      <c r="C950" s="1463" t="s">
        <v>4742</v>
      </c>
      <c r="D950" s="1460">
        <v>1</v>
      </c>
      <c r="E950" s="1460">
        <v>0</v>
      </c>
      <c r="F950" s="1461">
        <v>1</v>
      </c>
      <c r="G950" s="1472" t="s">
        <v>4742</v>
      </c>
      <c r="H950" s="1458">
        <v>1</v>
      </c>
      <c r="I950" s="1458">
        <v>1</v>
      </c>
      <c r="J950" s="1473">
        <v>2</v>
      </c>
      <c r="K950" s="1462"/>
      <c r="L950" s="1456">
        <v>13089021705</v>
      </c>
      <c r="M950" s="1457">
        <v>1</v>
      </c>
      <c r="N950" s="1457">
        <v>1</v>
      </c>
      <c r="O950" s="1457">
        <v>2</v>
      </c>
    </row>
    <row r="951" spans="3:15" ht="13.5">
      <c r="C951" s="1463" t="s">
        <v>4743</v>
      </c>
      <c r="D951" s="1460">
        <v>1</v>
      </c>
      <c r="E951" s="1460">
        <v>1</v>
      </c>
      <c r="F951" s="1461">
        <v>2</v>
      </c>
      <c r="G951" s="1472" t="s">
        <v>4743</v>
      </c>
      <c r="H951" s="1458">
        <v>1</v>
      </c>
      <c r="I951" s="1458">
        <v>1</v>
      </c>
      <c r="J951" s="1473">
        <v>2</v>
      </c>
      <c r="K951" s="1462"/>
      <c r="L951" s="1456">
        <v>13089021706</v>
      </c>
      <c r="M951" s="1457">
        <v>1</v>
      </c>
      <c r="N951" s="1457">
        <v>1</v>
      </c>
      <c r="O951" s="1457">
        <v>2</v>
      </c>
    </row>
    <row r="952" spans="3:15" ht="13.5">
      <c r="C952" s="1463" t="s">
        <v>4744</v>
      </c>
      <c r="D952" s="1460">
        <v>1</v>
      </c>
      <c r="E952" s="1460">
        <v>0</v>
      </c>
      <c r="F952" s="1461">
        <v>1</v>
      </c>
      <c r="G952" s="1472" t="s">
        <v>4744</v>
      </c>
      <c r="H952" s="1458">
        <v>1</v>
      </c>
      <c r="I952" s="1458">
        <v>0</v>
      </c>
      <c r="J952" s="1473">
        <v>1</v>
      </c>
      <c r="K952" s="1462"/>
      <c r="L952" s="1456">
        <v>13089021805</v>
      </c>
      <c r="M952" s="1457">
        <v>1</v>
      </c>
      <c r="N952" s="1457">
        <v>0</v>
      </c>
      <c r="O952" s="1457">
        <v>1</v>
      </c>
    </row>
    <row r="953" spans="3:15" ht="13.5">
      <c r="C953" s="1463" t="s">
        <v>4745</v>
      </c>
      <c r="D953" s="1460">
        <v>1</v>
      </c>
      <c r="E953" s="1460">
        <v>0</v>
      </c>
      <c r="F953" s="1461">
        <v>1</v>
      </c>
      <c r="G953" s="1472" t="s">
        <v>4745</v>
      </c>
      <c r="H953" s="1458">
        <v>1</v>
      </c>
      <c r="I953" s="1458">
        <v>0</v>
      </c>
      <c r="J953" s="1473">
        <v>1</v>
      </c>
      <c r="K953" s="1462"/>
      <c r="L953" s="1456">
        <v>13089021806</v>
      </c>
      <c r="M953" s="1457">
        <v>1</v>
      </c>
      <c r="N953" s="1457">
        <v>0</v>
      </c>
      <c r="O953" s="1457">
        <v>1</v>
      </c>
    </row>
    <row r="954" spans="3:15" ht="13.5">
      <c r="C954" s="1463" t="s">
        <v>4746</v>
      </c>
      <c r="D954" s="1460">
        <v>1</v>
      </c>
      <c r="E954" s="1460">
        <v>1</v>
      </c>
      <c r="F954" s="1461">
        <v>2</v>
      </c>
      <c r="G954" s="1472" t="s">
        <v>4746</v>
      </c>
      <c r="H954" s="1458">
        <v>1</v>
      </c>
      <c r="I954" s="1458">
        <v>1</v>
      </c>
      <c r="J954" s="1473">
        <v>2</v>
      </c>
      <c r="K954" s="1462"/>
      <c r="L954" s="1456">
        <v>13089021808</v>
      </c>
      <c r="M954" s="1457">
        <v>1</v>
      </c>
      <c r="N954" s="1457">
        <v>1</v>
      </c>
      <c r="O954" s="1457">
        <v>2</v>
      </c>
    </row>
    <row r="955" spans="3:15" ht="13.5">
      <c r="C955" s="1463" t="s">
        <v>4747</v>
      </c>
      <c r="D955" s="1460">
        <v>1</v>
      </c>
      <c r="E955" s="1460">
        <v>1</v>
      </c>
      <c r="F955" s="1461">
        <v>2</v>
      </c>
      <c r="G955" s="1472" t="s">
        <v>4747</v>
      </c>
      <c r="H955" s="1458">
        <v>1</v>
      </c>
      <c r="I955" s="1458">
        <v>1</v>
      </c>
      <c r="J955" s="1473">
        <v>2</v>
      </c>
      <c r="K955" s="1462"/>
      <c r="L955" s="1456">
        <v>13089021809</v>
      </c>
      <c r="M955" s="1457">
        <v>1</v>
      </c>
      <c r="N955" s="1457">
        <v>1</v>
      </c>
      <c r="O955" s="1457">
        <v>2</v>
      </c>
    </row>
    <row r="956" spans="3:15" ht="13.5">
      <c r="C956" s="1463" t="s">
        <v>4748</v>
      </c>
      <c r="D956" s="1460">
        <v>1</v>
      </c>
      <c r="E956" s="1460">
        <v>1</v>
      </c>
      <c r="F956" s="1461">
        <v>2</v>
      </c>
      <c r="G956" s="1472" t="s">
        <v>4748</v>
      </c>
      <c r="H956" s="1458">
        <v>1</v>
      </c>
      <c r="I956" s="1458">
        <v>1</v>
      </c>
      <c r="J956" s="1473">
        <v>2</v>
      </c>
      <c r="K956" s="1462"/>
      <c r="L956" s="1456">
        <v>13089021810</v>
      </c>
      <c r="M956" s="1457">
        <v>1</v>
      </c>
      <c r="N956" s="1457">
        <v>1</v>
      </c>
      <c r="O956" s="1457">
        <v>2</v>
      </c>
    </row>
    <row r="957" spans="3:15" ht="13.5">
      <c r="C957" s="1463" t="s">
        <v>4749</v>
      </c>
      <c r="D957" s="1460">
        <v>1</v>
      </c>
      <c r="E957" s="1460">
        <v>0</v>
      </c>
      <c r="F957" s="1461">
        <v>1</v>
      </c>
      <c r="G957" s="1472" t="s">
        <v>4749</v>
      </c>
      <c r="H957" s="1458">
        <v>1</v>
      </c>
      <c r="I957" s="1458">
        <v>1</v>
      </c>
      <c r="J957" s="1473">
        <v>2</v>
      </c>
      <c r="K957" s="1462"/>
      <c r="L957" s="1456">
        <v>13089021812</v>
      </c>
      <c r="M957" s="1457">
        <v>1</v>
      </c>
      <c r="N957" s="1457">
        <v>1</v>
      </c>
      <c r="O957" s="1457">
        <v>2</v>
      </c>
    </row>
    <row r="958" spans="3:15" ht="13.5">
      <c r="C958" s="1463" t="s">
        <v>4750</v>
      </c>
      <c r="D958" s="1460">
        <v>0</v>
      </c>
      <c r="E958" s="1460">
        <v>0</v>
      </c>
      <c r="F958" s="1461">
        <v>0</v>
      </c>
      <c r="G958" s="1472" t="s">
        <v>4750</v>
      </c>
      <c r="H958" s="1458">
        <v>0</v>
      </c>
      <c r="I958" s="1458" t="s">
        <v>3911</v>
      </c>
      <c r="J958" s="1473">
        <v>0</v>
      </c>
      <c r="K958" s="1462"/>
      <c r="L958" s="1456">
        <v>13089021813</v>
      </c>
      <c r="M958" s="1457">
        <v>0</v>
      </c>
      <c r="N958" s="1457">
        <v>0</v>
      </c>
      <c r="O958" s="1457">
        <v>0</v>
      </c>
    </row>
    <row r="959" spans="3:15" ht="13.5">
      <c r="C959" s="1463" t="s">
        <v>4751</v>
      </c>
      <c r="D959" s="1460">
        <v>0</v>
      </c>
      <c r="E959" s="1460">
        <v>0</v>
      </c>
      <c r="F959" s="1461">
        <v>0</v>
      </c>
      <c r="G959" s="1472" t="s">
        <v>4751</v>
      </c>
      <c r="H959" s="1458">
        <v>0</v>
      </c>
      <c r="I959" s="1458">
        <v>0</v>
      </c>
      <c r="J959" s="1473">
        <v>0</v>
      </c>
      <c r="K959" s="1462"/>
      <c r="L959" s="1456">
        <v>13089021814</v>
      </c>
      <c r="M959" s="1457">
        <v>0</v>
      </c>
      <c r="N959" s="1457">
        <v>0</v>
      </c>
      <c r="O959" s="1457">
        <v>0</v>
      </c>
    </row>
    <row r="960" spans="3:15" ht="13.5">
      <c r="C960" s="1463" t="s">
        <v>4752</v>
      </c>
      <c r="D960" s="1460">
        <v>0</v>
      </c>
      <c r="E960" s="1460">
        <v>0</v>
      </c>
      <c r="F960" s="1461">
        <v>0</v>
      </c>
      <c r="G960" s="1472" t="s">
        <v>4752</v>
      </c>
      <c r="H960" s="1458">
        <v>0</v>
      </c>
      <c r="I960" s="1458">
        <v>0</v>
      </c>
      <c r="J960" s="1473">
        <v>0</v>
      </c>
      <c r="K960" s="1462"/>
      <c r="L960" s="1456">
        <v>13089021906</v>
      </c>
      <c r="M960" s="1457">
        <v>0</v>
      </c>
      <c r="N960" s="1457">
        <v>0</v>
      </c>
      <c r="O960" s="1457">
        <v>0</v>
      </c>
    </row>
    <row r="961" spans="3:15" ht="13.5">
      <c r="C961" s="1463" t="s">
        <v>4753</v>
      </c>
      <c r="D961" s="1460">
        <v>0</v>
      </c>
      <c r="E961" s="1460">
        <v>0</v>
      </c>
      <c r="F961" s="1461">
        <v>0</v>
      </c>
      <c r="G961" s="1472" t="s">
        <v>4753</v>
      </c>
      <c r="H961" s="1458">
        <v>0</v>
      </c>
      <c r="I961" s="1458">
        <v>1</v>
      </c>
      <c r="J961" s="1473">
        <v>1</v>
      </c>
      <c r="K961" s="1462"/>
      <c r="L961" s="1456">
        <v>13089021907</v>
      </c>
      <c r="M961" s="1457">
        <v>0</v>
      </c>
      <c r="N961" s="1457">
        <v>1</v>
      </c>
      <c r="O961" s="1457">
        <v>1</v>
      </c>
    </row>
    <row r="962" spans="3:15" ht="13.5">
      <c r="C962" s="1463" t="s">
        <v>4754</v>
      </c>
      <c r="D962" s="1460">
        <v>0</v>
      </c>
      <c r="E962" s="1460">
        <v>0</v>
      </c>
      <c r="F962" s="1461">
        <v>0</v>
      </c>
      <c r="G962" s="1472" t="s">
        <v>4754</v>
      </c>
      <c r="H962" s="1458">
        <v>0</v>
      </c>
      <c r="I962" s="1458">
        <v>0</v>
      </c>
      <c r="J962" s="1473">
        <v>0</v>
      </c>
      <c r="K962" s="1462"/>
      <c r="L962" s="1456">
        <v>13089021908</v>
      </c>
      <c r="M962" s="1457">
        <v>0</v>
      </c>
      <c r="N962" s="1457">
        <v>0</v>
      </c>
      <c r="O962" s="1457">
        <v>0</v>
      </c>
    </row>
    <row r="963" spans="3:15" ht="13.5">
      <c r="C963" s="1463" t="s">
        <v>4755</v>
      </c>
      <c r="D963" s="1460">
        <v>0</v>
      </c>
      <c r="E963" s="1460">
        <v>0</v>
      </c>
      <c r="F963" s="1461">
        <v>0</v>
      </c>
      <c r="G963" s="1472" t="s">
        <v>4755</v>
      </c>
      <c r="H963" s="1458">
        <v>0</v>
      </c>
      <c r="I963" s="1458">
        <v>0</v>
      </c>
      <c r="J963" s="1473">
        <v>0</v>
      </c>
      <c r="K963" s="1462"/>
      <c r="L963" s="1456">
        <v>13089021909</v>
      </c>
      <c r="M963" s="1457">
        <v>0</v>
      </c>
      <c r="N963" s="1457">
        <v>0</v>
      </c>
      <c r="O963" s="1457">
        <v>0</v>
      </c>
    </row>
    <row r="964" spans="3:15" ht="13.5">
      <c r="C964" s="1463" t="s">
        <v>4756</v>
      </c>
      <c r="D964" s="1460">
        <v>0</v>
      </c>
      <c r="E964" s="1460">
        <v>0</v>
      </c>
      <c r="F964" s="1461">
        <v>0</v>
      </c>
      <c r="G964" s="1472" t="s">
        <v>4756</v>
      </c>
      <c r="H964" s="1458">
        <v>0</v>
      </c>
      <c r="I964" s="1458">
        <v>0</v>
      </c>
      <c r="J964" s="1473">
        <v>0</v>
      </c>
      <c r="K964" s="1462"/>
      <c r="L964" s="1456">
        <v>13089021910</v>
      </c>
      <c r="M964" s="1457">
        <v>0</v>
      </c>
      <c r="N964" s="1457">
        <v>0</v>
      </c>
      <c r="O964" s="1457">
        <v>0</v>
      </c>
    </row>
    <row r="965" spans="3:15" ht="13.5">
      <c r="C965" s="1463" t="s">
        <v>4757</v>
      </c>
      <c r="D965" s="1460">
        <v>0</v>
      </c>
      <c r="E965" s="1460">
        <v>0</v>
      </c>
      <c r="F965" s="1461">
        <v>0</v>
      </c>
      <c r="G965" s="1472" t="s">
        <v>4757</v>
      </c>
      <c r="H965" s="1458">
        <v>0</v>
      </c>
      <c r="I965" s="1458" t="s">
        <v>3911</v>
      </c>
      <c r="J965" s="1473">
        <v>0</v>
      </c>
      <c r="K965" s="1462"/>
      <c r="L965" s="1456">
        <v>13089021911</v>
      </c>
      <c r="M965" s="1457">
        <v>0</v>
      </c>
      <c r="N965" s="1457">
        <v>0</v>
      </c>
      <c r="O965" s="1457">
        <v>0</v>
      </c>
    </row>
    <row r="966" spans="3:15" ht="13.5">
      <c r="C966" s="1463" t="s">
        <v>4758</v>
      </c>
      <c r="D966" s="1460">
        <v>1</v>
      </c>
      <c r="E966" s="1460">
        <v>1</v>
      </c>
      <c r="F966" s="1461">
        <v>2</v>
      </c>
      <c r="G966" s="1472" t="s">
        <v>4758</v>
      </c>
      <c r="H966" s="1458">
        <v>1</v>
      </c>
      <c r="I966" s="1458">
        <v>1</v>
      </c>
      <c r="J966" s="1473">
        <v>2</v>
      </c>
      <c r="K966" s="1462"/>
      <c r="L966" s="1456">
        <v>13089021912</v>
      </c>
      <c r="M966" s="1457">
        <v>1</v>
      </c>
      <c r="N966" s="1457">
        <v>1</v>
      </c>
      <c r="O966" s="1457">
        <v>2</v>
      </c>
    </row>
    <row r="967" spans="3:15" ht="13.5">
      <c r="C967" s="1463" t="s">
        <v>4759</v>
      </c>
      <c r="D967" s="1460">
        <v>0</v>
      </c>
      <c r="E967" s="1460">
        <v>0</v>
      </c>
      <c r="F967" s="1461">
        <v>0</v>
      </c>
      <c r="G967" s="1472" t="s">
        <v>4759</v>
      </c>
      <c r="H967" s="1458">
        <v>0</v>
      </c>
      <c r="I967" s="1458">
        <v>0</v>
      </c>
      <c r="J967" s="1473">
        <v>0</v>
      </c>
      <c r="K967" s="1462"/>
      <c r="L967" s="1456">
        <v>13089021913</v>
      </c>
      <c r="M967" s="1457">
        <v>0</v>
      </c>
      <c r="N967" s="1457">
        <v>0</v>
      </c>
      <c r="O967" s="1457">
        <v>0</v>
      </c>
    </row>
    <row r="968" spans="3:15" ht="13.5">
      <c r="C968" s="1463" t="s">
        <v>4760</v>
      </c>
      <c r="D968" s="1460">
        <v>1</v>
      </c>
      <c r="E968" s="1460">
        <v>1</v>
      </c>
      <c r="F968" s="1461">
        <v>2</v>
      </c>
      <c r="G968" s="1472" t="s">
        <v>4760</v>
      </c>
      <c r="H968" s="1458">
        <v>1</v>
      </c>
      <c r="I968" s="1458">
        <v>1</v>
      </c>
      <c r="J968" s="1473">
        <v>2</v>
      </c>
      <c r="K968" s="1462"/>
      <c r="L968" s="1456">
        <v>13089022001</v>
      </c>
      <c r="M968" s="1457">
        <v>1</v>
      </c>
      <c r="N968" s="1457">
        <v>1</v>
      </c>
      <c r="O968" s="1457">
        <v>2</v>
      </c>
    </row>
    <row r="969" spans="3:15" ht="13.5">
      <c r="C969" s="1463" t="s">
        <v>4761</v>
      </c>
      <c r="D969" s="1460">
        <v>0</v>
      </c>
      <c r="E969" s="1460">
        <v>0</v>
      </c>
      <c r="F969" s="1461">
        <v>0</v>
      </c>
      <c r="G969" s="1472" t="s">
        <v>4761</v>
      </c>
      <c r="H969" s="1458">
        <v>0</v>
      </c>
      <c r="I969" s="1458">
        <v>1</v>
      </c>
      <c r="J969" s="1473">
        <v>1</v>
      </c>
      <c r="K969" s="1462"/>
      <c r="L969" s="1456">
        <v>13089022004</v>
      </c>
      <c r="M969" s="1457">
        <v>0</v>
      </c>
      <c r="N969" s="1457">
        <v>1</v>
      </c>
      <c r="O969" s="1457">
        <v>1</v>
      </c>
    </row>
    <row r="970" spans="3:15" ht="13.5">
      <c r="C970" s="1463" t="s">
        <v>4762</v>
      </c>
      <c r="D970" s="1460">
        <v>0</v>
      </c>
      <c r="E970" s="1460">
        <v>0</v>
      </c>
      <c r="F970" s="1461">
        <v>0</v>
      </c>
      <c r="G970" s="1472" t="s">
        <v>4762</v>
      </c>
      <c r="H970" s="1458">
        <v>0</v>
      </c>
      <c r="I970" s="1458">
        <v>0</v>
      </c>
      <c r="J970" s="1473">
        <v>0</v>
      </c>
      <c r="K970" s="1462"/>
      <c r="L970" s="1456">
        <v>13089022005</v>
      </c>
      <c r="M970" s="1457">
        <v>0</v>
      </c>
      <c r="N970" s="1457">
        <v>0</v>
      </c>
      <c r="O970" s="1457">
        <v>0</v>
      </c>
    </row>
    <row r="971" spans="3:15" ht="13.5">
      <c r="C971" s="1463" t="s">
        <v>4763</v>
      </c>
      <c r="D971" s="1460">
        <v>0</v>
      </c>
      <c r="E971" s="1460">
        <v>0</v>
      </c>
      <c r="F971" s="1461">
        <v>0</v>
      </c>
      <c r="G971" s="1472" t="s">
        <v>4763</v>
      </c>
      <c r="H971" s="1458">
        <v>0</v>
      </c>
      <c r="I971" s="1458">
        <v>0</v>
      </c>
      <c r="J971" s="1473">
        <v>0</v>
      </c>
      <c r="K971" s="1462"/>
      <c r="L971" s="1456">
        <v>13089022007</v>
      </c>
      <c r="M971" s="1457">
        <v>0</v>
      </c>
      <c r="N971" s="1457">
        <v>0</v>
      </c>
      <c r="O971" s="1457">
        <v>0</v>
      </c>
    </row>
    <row r="972" spans="3:15" ht="13.5">
      <c r="C972" s="1463" t="s">
        <v>4764</v>
      </c>
      <c r="D972" s="1460">
        <v>0</v>
      </c>
      <c r="E972" s="1460">
        <v>0</v>
      </c>
      <c r="F972" s="1461">
        <v>0</v>
      </c>
      <c r="G972" s="1472" t="s">
        <v>4764</v>
      </c>
      <c r="H972" s="1458">
        <v>0</v>
      </c>
      <c r="I972" s="1458">
        <v>0</v>
      </c>
      <c r="J972" s="1473">
        <v>0</v>
      </c>
      <c r="K972" s="1462"/>
      <c r="L972" s="1456">
        <v>13089022008</v>
      </c>
      <c r="M972" s="1457">
        <v>0</v>
      </c>
      <c r="N972" s="1457">
        <v>0</v>
      </c>
      <c r="O972" s="1457">
        <v>0</v>
      </c>
    </row>
    <row r="973" spans="3:15" ht="13.5">
      <c r="C973" s="1463" t="s">
        <v>4765</v>
      </c>
      <c r="D973" s="1460">
        <v>0</v>
      </c>
      <c r="E973" s="1460">
        <v>0</v>
      </c>
      <c r="F973" s="1461">
        <v>0</v>
      </c>
      <c r="G973" s="1472" t="s">
        <v>4765</v>
      </c>
      <c r="H973" s="1458">
        <v>0</v>
      </c>
      <c r="I973" s="1458" t="s">
        <v>3911</v>
      </c>
      <c r="J973" s="1473">
        <v>0</v>
      </c>
      <c r="K973" s="1462"/>
      <c r="L973" s="1456">
        <v>13089022009</v>
      </c>
      <c r="M973" s="1457">
        <v>0</v>
      </c>
      <c r="N973" s="1457">
        <v>0</v>
      </c>
      <c r="O973" s="1457">
        <v>0</v>
      </c>
    </row>
    <row r="974" spans="3:15" ht="13.5">
      <c r="C974" s="1463" t="s">
        <v>4766</v>
      </c>
      <c r="D974" s="1460">
        <v>0</v>
      </c>
      <c r="E974" s="1460">
        <v>0</v>
      </c>
      <c r="F974" s="1461">
        <v>0</v>
      </c>
      <c r="G974" s="1472" t="s">
        <v>4766</v>
      </c>
      <c r="H974" s="1458">
        <v>0</v>
      </c>
      <c r="I974" s="1458">
        <v>0</v>
      </c>
      <c r="J974" s="1473">
        <v>0</v>
      </c>
      <c r="K974" s="1462"/>
      <c r="L974" s="1456">
        <v>13089022010</v>
      </c>
      <c r="M974" s="1457">
        <v>0</v>
      </c>
      <c r="N974" s="1457">
        <v>0</v>
      </c>
      <c r="O974" s="1457">
        <v>0</v>
      </c>
    </row>
    <row r="975" spans="3:15" ht="13.5">
      <c r="C975" s="1463" t="s">
        <v>4767</v>
      </c>
      <c r="D975" s="1460">
        <v>0</v>
      </c>
      <c r="E975" s="1460">
        <v>0</v>
      </c>
      <c r="F975" s="1461">
        <v>0</v>
      </c>
      <c r="G975" s="1472" t="s">
        <v>4767</v>
      </c>
      <c r="H975" s="1458">
        <v>0</v>
      </c>
      <c r="I975" s="1458">
        <v>0</v>
      </c>
      <c r="J975" s="1473">
        <v>0</v>
      </c>
      <c r="K975" s="1462"/>
      <c r="L975" s="1456">
        <v>13089022100</v>
      </c>
      <c r="M975" s="1457">
        <v>0</v>
      </c>
      <c r="N975" s="1457">
        <v>0</v>
      </c>
      <c r="O975" s="1457">
        <v>0</v>
      </c>
    </row>
    <row r="976" spans="3:15" ht="13.5">
      <c r="C976" s="1463" t="s">
        <v>4768</v>
      </c>
      <c r="D976" s="1460">
        <v>0</v>
      </c>
      <c r="E976" s="1460">
        <v>0</v>
      </c>
      <c r="F976" s="1461">
        <v>0</v>
      </c>
      <c r="G976" s="1472" t="s">
        <v>4768</v>
      </c>
      <c r="H976" s="1458">
        <v>1</v>
      </c>
      <c r="I976" s="1458">
        <v>0</v>
      </c>
      <c r="J976" s="1473">
        <v>1</v>
      </c>
      <c r="K976" s="1462"/>
      <c r="L976" s="1456">
        <v>13089022203</v>
      </c>
      <c r="M976" s="1457">
        <v>1</v>
      </c>
      <c r="N976" s="1457">
        <v>0</v>
      </c>
      <c r="O976" s="1457">
        <v>1</v>
      </c>
    </row>
    <row r="977" spans="3:15" ht="13.5">
      <c r="C977" s="1463" t="s">
        <v>4769</v>
      </c>
      <c r="D977" s="1460">
        <v>0</v>
      </c>
      <c r="E977" s="1460">
        <v>0</v>
      </c>
      <c r="F977" s="1461">
        <v>0</v>
      </c>
      <c r="G977" s="1472" t="s">
        <v>4769</v>
      </c>
      <c r="H977" s="1458">
        <v>1</v>
      </c>
      <c r="I977" s="1458">
        <v>0</v>
      </c>
      <c r="J977" s="1473">
        <v>1</v>
      </c>
      <c r="K977" s="1462"/>
      <c r="L977" s="1456">
        <v>13089022204</v>
      </c>
      <c r="M977" s="1457">
        <v>1</v>
      </c>
      <c r="N977" s="1457">
        <v>0</v>
      </c>
      <c r="O977" s="1457">
        <v>1</v>
      </c>
    </row>
    <row r="978" spans="3:15" ht="13.5">
      <c r="C978" s="1463" t="s">
        <v>4770</v>
      </c>
      <c r="D978" s="1460">
        <v>1</v>
      </c>
      <c r="E978" s="1460">
        <v>1</v>
      </c>
      <c r="F978" s="1461">
        <v>2</v>
      </c>
      <c r="G978" s="1472" t="s">
        <v>4770</v>
      </c>
      <c r="H978" s="1458">
        <v>1</v>
      </c>
      <c r="I978" s="1458">
        <v>1</v>
      </c>
      <c r="J978" s="1473">
        <v>2</v>
      </c>
      <c r="K978" s="1462"/>
      <c r="L978" s="1456">
        <v>13089022301</v>
      </c>
      <c r="M978" s="1457">
        <v>1</v>
      </c>
      <c r="N978" s="1457">
        <v>1</v>
      </c>
      <c r="O978" s="1457">
        <v>2</v>
      </c>
    </row>
    <row r="979" spans="3:15" ht="13.5">
      <c r="C979" s="1463" t="s">
        <v>4771</v>
      </c>
      <c r="D979" s="1460">
        <v>1</v>
      </c>
      <c r="E979" s="1460">
        <v>1</v>
      </c>
      <c r="F979" s="1461">
        <v>2</v>
      </c>
      <c r="G979" s="1472" t="s">
        <v>4771</v>
      </c>
      <c r="H979" s="1458">
        <v>1</v>
      </c>
      <c r="I979" s="1458">
        <v>1</v>
      </c>
      <c r="J979" s="1473">
        <v>2</v>
      </c>
      <c r="K979" s="1462"/>
      <c r="L979" s="1456">
        <v>13089022302</v>
      </c>
      <c r="M979" s="1457">
        <v>1</v>
      </c>
      <c r="N979" s="1457">
        <v>1</v>
      </c>
      <c r="O979" s="1457">
        <v>2</v>
      </c>
    </row>
    <row r="980" spans="3:15" ht="13.5">
      <c r="C980" s="1463" t="s">
        <v>4772</v>
      </c>
      <c r="D980" s="1460">
        <v>1</v>
      </c>
      <c r="E980" s="1460">
        <v>1</v>
      </c>
      <c r="F980" s="1461">
        <v>2</v>
      </c>
      <c r="G980" s="1472" t="s">
        <v>4772</v>
      </c>
      <c r="H980" s="1458">
        <v>1</v>
      </c>
      <c r="I980" s="1458">
        <v>1</v>
      </c>
      <c r="J980" s="1473">
        <v>2</v>
      </c>
      <c r="K980" s="1462"/>
      <c r="L980" s="1456">
        <v>13089022401</v>
      </c>
      <c r="M980" s="1457">
        <v>1</v>
      </c>
      <c r="N980" s="1457">
        <v>1</v>
      </c>
      <c r="O980" s="1457">
        <v>2</v>
      </c>
    </row>
    <row r="981" spans="3:15" ht="13.5">
      <c r="C981" s="1463" t="s">
        <v>4773</v>
      </c>
      <c r="D981" s="1460">
        <v>0</v>
      </c>
      <c r="E981" s="1460">
        <v>0</v>
      </c>
      <c r="F981" s="1461">
        <v>0</v>
      </c>
      <c r="G981" s="1472" t="s">
        <v>4773</v>
      </c>
      <c r="H981" s="1458">
        <v>0</v>
      </c>
      <c r="I981" s="1458" t="s">
        <v>3911</v>
      </c>
      <c r="J981" s="1473">
        <v>0</v>
      </c>
      <c r="K981" s="1462"/>
      <c r="L981" s="1456">
        <v>13089022402</v>
      </c>
      <c r="M981" s="1457">
        <v>0</v>
      </c>
      <c r="N981" s="1457">
        <v>0</v>
      </c>
      <c r="O981" s="1457">
        <v>0</v>
      </c>
    </row>
    <row r="982" spans="3:15" ht="13.5">
      <c r="C982" s="1463" t="s">
        <v>4774</v>
      </c>
      <c r="D982" s="1460">
        <v>1</v>
      </c>
      <c r="E982" s="1460">
        <v>1</v>
      </c>
      <c r="F982" s="1461">
        <v>2</v>
      </c>
      <c r="G982" s="1472" t="s">
        <v>4774</v>
      </c>
      <c r="H982" s="1458">
        <v>1</v>
      </c>
      <c r="I982" s="1458">
        <v>1</v>
      </c>
      <c r="J982" s="1473">
        <v>2</v>
      </c>
      <c r="K982" s="1462"/>
      <c r="L982" s="1456">
        <v>13089022403</v>
      </c>
      <c r="M982" s="1457">
        <v>1</v>
      </c>
      <c r="N982" s="1457">
        <v>1</v>
      </c>
      <c r="O982" s="1457">
        <v>2</v>
      </c>
    </row>
    <row r="983" spans="3:15" ht="13.5">
      <c r="C983" s="1463" t="s">
        <v>4775</v>
      </c>
      <c r="D983" s="1460">
        <v>1</v>
      </c>
      <c r="E983" s="1460">
        <v>1</v>
      </c>
      <c r="F983" s="1461">
        <v>2</v>
      </c>
      <c r="G983" s="1472" t="s">
        <v>4775</v>
      </c>
      <c r="H983" s="1458">
        <v>1</v>
      </c>
      <c r="I983" s="1458">
        <v>1</v>
      </c>
      <c r="J983" s="1473">
        <v>2</v>
      </c>
      <c r="K983" s="1462"/>
      <c r="L983" s="1456">
        <v>13089022500</v>
      </c>
      <c r="M983" s="1457">
        <v>1</v>
      </c>
      <c r="N983" s="1457">
        <v>1</v>
      </c>
      <c r="O983" s="1457">
        <v>2</v>
      </c>
    </row>
    <row r="984" spans="3:15" ht="13.5">
      <c r="C984" s="1463" t="s">
        <v>4776</v>
      </c>
      <c r="D984" s="1460">
        <v>1</v>
      </c>
      <c r="E984" s="1460">
        <v>1</v>
      </c>
      <c r="F984" s="1461">
        <v>2</v>
      </c>
      <c r="G984" s="1472" t="s">
        <v>4776</v>
      </c>
      <c r="H984" s="1458">
        <v>1</v>
      </c>
      <c r="I984" s="1458">
        <v>1</v>
      </c>
      <c r="J984" s="1473">
        <v>2</v>
      </c>
      <c r="K984" s="1462"/>
      <c r="L984" s="1456">
        <v>13089022600</v>
      </c>
      <c r="M984" s="1457">
        <v>1</v>
      </c>
      <c r="N984" s="1457">
        <v>1</v>
      </c>
      <c r="O984" s="1457">
        <v>2</v>
      </c>
    </row>
    <row r="985" spans="3:15" ht="13.5">
      <c r="C985" s="1463" t="s">
        <v>4777</v>
      </c>
      <c r="D985" s="1460">
        <v>1</v>
      </c>
      <c r="E985" s="1460">
        <v>1</v>
      </c>
      <c r="F985" s="1461">
        <v>2</v>
      </c>
      <c r="G985" s="1472" t="s">
        <v>4777</v>
      </c>
      <c r="H985" s="1458">
        <v>1</v>
      </c>
      <c r="I985" s="1458">
        <v>1</v>
      </c>
      <c r="J985" s="1473">
        <v>2</v>
      </c>
      <c r="K985" s="1462"/>
      <c r="L985" s="1456">
        <v>13089022700</v>
      </c>
      <c r="M985" s="1457">
        <v>1</v>
      </c>
      <c r="N985" s="1457">
        <v>1</v>
      </c>
      <c r="O985" s="1457">
        <v>2</v>
      </c>
    </row>
    <row r="986" spans="3:15" ht="13.5">
      <c r="C986" s="1463" t="s">
        <v>4778</v>
      </c>
      <c r="D986" s="1460">
        <v>1</v>
      </c>
      <c r="E986" s="1460">
        <v>1</v>
      </c>
      <c r="F986" s="1461">
        <v>2</v>
      </c>
      <c r="G986" s="1472" t="s">
        <v>4778</v>
      </c>
      <c r="H986" s="1458">
        <v>1</v>
      </c>
      <c r="I986" s="1458">
        <v>1</v>
      </c>
      <c r="J986" s="1473">
        <v>2</v>
      </c>
      <c r="K986" s="1462"/>
      <c r="L986" s="1456">
        <v>13089022800</v>
      </c>
      <c r="M986" s="1457">
        <v>1</v>
      </c>
      <c r="N986" s="1457">
        <v>1</v>
      </c>
      <c r="O986" s="1457">
        <v>2</v>
      </c>
    </row>
    <row r="987" spans="3:15" ht="13.5">
      <c r="C987" s="1463" t="s">
        <v>4779</v>
      </c>
      <c r="D987" s="1460">
        <v>1</v>
      </c>
      <c r="E987" s="1460">
        <v>1</v>
      </c>
      <c r="F987" s="1461">
        <v>2</v>
      </c>
      <c r="G987" s="1472" t="s">
        <v>4779</v>
      </c>
      <c r="H987" s="1458">
        <v>1</v>
      </c>
      <c r="I987" s="1458">
        <v>1</v>
      </c>
      <c r="J987" s="1473">
        <v>2</v>
      </c>
      <c r="K987" s="1462"/>
      <c r="L987" s="1456">
        <v>13089022900</v>
      </c>
      <c r="M987" s="1457">
        <v>1</v>
      </c>
      <c r="N987" s="1457">
        <v>1</v>
      </c>
      <c r="O987" s="1457">
        <v>2</v>
      </c>
    </row>
    <row r="988" spans="3:15" ht="13.5">
      <c r="C988" s="1463" t="s">
        <v>4780</v>
      </c>
      <c r="D988" s="1460">
        <v>1</v>
      </c>
      <c r="E988" s="1460">
        <v>1</v>
      </c>
      <c r="F988" s="1461">
        <v>2</v>
      </c>
      <c r="G988" s="1472" t="s">
        <v>4780</v>
      </c>
      <c r="H988" s="1458">
        <v>1</v>
      </c>
      <c r="I988" s="1458">
        <v>1</v>
      </c>
      <c r="J988" s="1473">
        <v>2</v>
      </c>
      <c r="K988" s="1462"/>
      <c r="L988" s="1456">
        <v>13089023000</v>
      </c>
      <c r="M988" s="1457">
        <v>1</v>
      </c>
      <c r="N988" s="1457">
        <v>1</v>
      </c>
      <c r="O988" s="1457">
        <v>2</v>
      </c>
    </row>
    <row r="989" spans="3:15" ht="13.5">
      <c r="C989" s="1463" t="s">
        <v>4781</v>
      </c>
      <c r="D989" s="1460">
        <v>0</v>
      </c>
      <c r="E989" s="1460">
        <v>0</v>
      </c>
      <c r="F989" s="1461">
        <v>0</v>
      </c>
      <c r="G989" s="1472" t="s">
        <v>4781</v>
      </c>
      <c r="H989" s="1458">
        <v>0</v>
      </c>
      <c r="I989" s="1458">
        <v>0</v>
      </c>
      <c r="J989" s="1473">
        <v>0</v>
      </c>
      <c r="K989" s="1462"/>
      <c r="L989" s="1456">
        <v>13089023101</v>
      </c>
      <c r="M989" s="1457">
        <v>0</v>
      </c>
      <c r="N989" s="1457">
        <v>0</v>
      </c>
      <c r="O989" s="1457">
        <v>0</v>
      </c>
    </row>
    <row r="990" spans="3:15" ht="13.5">
      <c r="C990" s="1463" t="s">
        <v>4782</v>
      </c>
      <c r="D990" s="1460">
        <v>0</v>
      </c>
      <c r="E990" s="1460">
        <v>0</v>
      </c>
      <c r="F990" s="1461">
        <v>0</v>
      </c>
      <c r="G990" s="1472" t="s">
        <v>4782</v>
      </c>
      <c r="H990" s="1458">
        <v>1</v>
      </c>
      <c r="I990" s="1458">
        <v>0</v>
      </c>
      <c r="J990" s="1473">
        <v>1</v>
      </c>
      <c r="K990" s="1462"/>
      <c r="L990" s="1456">
        <v>13089023102</v>
      </c>
      <c r="M990" s="1457">
        <v>1</v>
      </c>
      <c r="N990" s="1457">
        <v>0</v>
      </c>
      <c r="O990" s="1457">
        <v>1</v>
      </c>
    </row>
    <row r="991" spans="3:15" ht="13.5">
      <c r="C991" s="1463" t="s">
        <v>4783</v>
      </c>
      <c r="D991" s="1460">
        <v>0</v>
      </c>
      <c r="E991" s="1460">
        <v>0</v>
      </c>
      <c r="F991" s="1461">
        <v>0</v>
      </c>
      <c r="G991" s="1472" t="s">
        <v>4783</v>
      </c>
      <c r="H991" s="1458">
        <v>0</v>
      </c>
      <c r="I991" s="1458">
        <v>0</v>
      </c>
      <c r="J991" s="1473">
        <v>0</v>
      </c>
      <c r="K991" s="1462"/>
      <c r="L991" s="1456">
        <v>13089023107</v>
      </c>
      <c r="M991" s="1457">
        <v>0</v>
      </c>
      <c r="N991" s="1457">
        <v>0</v>
      </c>
      <c r="O991" s="1457">
        <v>0</v>
      </c>
    </row>
    <row r="992" spans="3:15" ht="13.5">
      <c r="C992" s="1463" t="s">
        <v>4784</v>
      </c>
      <c r="D992" s="1460">
        <v>0</v>
      </c>
      <c r="E992" s="1460">
        <v>0</v>
      </c>
      <c r="F992" s="1461">
        <v>0</v>
      </c>
      <c r="G992" s="1472" t="s">
        <v>4784</v>
      </c>
      <c r="H992" s="1458">
        <v>0</v>
      </c>
      <c r="I992" s="1458">
        <v>0</v>
      </c>
      <c r="J992" s="1473">
        <v>0</v>
      </c>
      <c r="K992" s="1462"/>
      <c r="L992" s="1456">
        <v>13089023108</v>
      </c>
      <c r="M992" s="1457">
        <v>0</v>
      </c>
      <c r="N992" s="1457">
        <v>0</v>
      </c>
      <c r="O992" s="1457">
        <v>0</v>
      </c>
    </row>
    <row r="993" spans="3:15" ht="13.5">
      <c r="C993" s="1463" t="s">
        <v>4785</v>
      </c>
      <c r="D993" s="1460">
        <v>0</v>
      </c>
      <c r="E993" s="1460">
        <v>0</v>
      </c>
      <c r="F993" s="1461">
        <v>0</v>
      </c>
      <c r="G993" s="1472" t="s">
        <v>4785</v>
      </c>
      <c r="H993" s="1458">
        <v>0</v>
      </c>
      <c r="I993" s="1458">
        <v>0</v>
      </c>
      <c r="J993" s="1473">
        <v>0</v>
      </c>
      <c r="K993" s="1462"/>
      <c r="L993" s="1456">
        <v>13089023111</v>
      </c>
      <c r="M993" s="1457">
        <v>0</v>
      </c>
      <c r="N993" s="1457">
        <v>0</v>
      </c>
      <c r="O993" s="1457">
        <v>0</v>
      </c>
    </row>
    <row r="994" spans="3:15" ht="13.5">
      <c r="C994" s="1463" t="s">
        <v>4786</v>
      </c>
      <c r="D994" s="1460">
        <v>0</v>
      </c>
      <c r="E994" s="1460">
        <v>0</v>
      </c>
      <c r="F994" s="1461">
        <v>0</v>
      </c>
      <c r="G994" s="1472" t="s">
        <v>4786</v>
      </c>
      <c r="H994" s="1458">
        <v>0</v>
      </c>
      <c r="I994" s="1458" t="s">
        <v>3911</v>
      </c>
      <c r="J994" s="1473">
        <v>0</v>
      </c>
      <c r="K994" s="1462"/>
      <c r="L994" s="1456">
        <v>13089023112</v>
      </c>
      <c r="M994" s="1457">
        <v>0</v>
      </c>
      <c r="N994" s="1457">
        <v>0</v>
      </c>
      <c r="O994" s="1457">
        <v>0</v>
      </c>
    </row>
    <row r="995" spans="3:15" ht="13.5">
      <c r="C995" s="1463" t="s">
        <v>4787</v>
      </c>
      <c r="D995" s="1460">
        <v>0</v>
      </c>
      <c r="E995" s="1460">
        <v>0</v>
      </c>
      <c r="F995" s="1461">
        <v>0</v>
      </c>
      <c r="G995" s="1472" t="s">
        <v>4787</v>
      </c>
      <c r="H995" s="1458">
        <v>0</v>
      </c>
      <c r="I995" s="1458">
        <v>0</v>
      </c>
      <c r="J995" s="1473">
        <v>0</v>
      </c>
      <c r="K995" s="1462"/>
      <c r="L995" s="1456">
        <v>13089023113</v>
      </c>
      <c r="M995" s="1457">
        <v>0</v>
      </c>
      <c r="N995" s="1457">
        <v>0</v>
      </c>
      <c r="O995" s="1457">
        <v>0</v>
      </c>
    </row>
    <row r="996" spans="3:15" ht="13.5">
      <c r="C996" s="1463" t="s">
        <v>4788</v>
      </c>
      <c r="D996" s="1460">
        <v>0</v>
      </c>
      <c r="E996" s="1460">
        <v>0</v>
      </c>
      <c r="F996" s="1461">
        <v>0</v>
      </c>
      <c r="G996" s="1472" t="s">
        <v>4788</v>
      </c>
      <c r="H996" s="1458">
        <v>0</v>
      </c>
      <c r="I996" s="1458">
        <v>0</v>
      </c>
      <c r="J996" s="1473">
        <v>0</v>
      </c>
      <c r="K996" s="1462"/>
      <c r="L996" s="1456">
        <v>13089023114</v>
      </c>
      <c r="M996" s="1457">
        <v>0</v>
      </c>
      <c r="N996" s="1457">
        <v>0</v>
      </c>
      <c r="O996" s="1457">
        <v>0</v>
      </c>
    </row>
    <row r="997" spans="3:15" ht="13.5">
      <c r="C997" s="1463" t="s">
        <v>4789</v>
      </c>
      <c r="D997" s="1460" t="s">
        <v>3911</v>
      </c>
      <c r="E997" s="1460" t="s">
        <v>3911</v>
      </c>
      <c r="F997" s="1461">
        <v>0</v>
      </c>
      <c r="G997" s="1472" t="s">
        <v>4789</v>
      </c>
      <c r="H997" s="1458" t="s">
        <v>3911</v>
      </c>
      <c r="I997" s="1458" t="s">
        <v>3911</v>
      </c>
      <c r="J997" s="1473">
        <v>0</v>
      </c>
      <c r="K997" s="1462"/>
      <c r="L997" s="1456">
        <v>13089023115</v>
      </c>
      <c r="M997" s="1457">
        <v>0</v>
      </c>
      <c r="N997" s="1457">
        <v>0</v>
      </c>
      <c r="O997" s="1457">
        <v>0</v>
      </c>
    </row>
    <row r="998" spans="3:15" ht="13.5">
      <c r="C998" s="1463" t="s">
        <v>4790</v>
      </c>
      <c r="D998" s="1460">
        <v>0</v>
      </c>
      <c r="E998" s="1460">
        <v>0</v>
      </c>
      <c r="F998" s="1461">
        <v>0</v>
      </c>
      <c r="G998" s="1472" t="s">
        <v>4790</v>
      </c>
      <c r="H998" s="1458">
        <v>0</v>
      </c>
      <c r="I998" s="1458">
        <v>0</v>
      </c>
      <c r="J998" s="1473">
        <v>0</v>
      </c>
      <c r="K998" s="1462"/>
      <c r="L998" s="1456">
        <v>13089023204</v>
      </c>
      <c r="M998" s="1457">
        <v>0</v>
      </c>
      <c r="N998" s="1457">
        <v>0</v>
      </c>
      <c r="O998" s="1457">
        <v>0</v>
      </c>
    </row>
    <row r="999" spans="3:15" ht="13.5">
      <c r="C999" s="1463" t="s">
        <v>4791</v>
      </c>
      <c r="D999" s="1460">
        <v>0</v>
      </c>
      <c r="E999" s="1460">
        <v>0</v>
      </c>
      <c r="F999" s="1461">
        <v>0</v>
      </c>
      <c r="G999" s="1472" t="s">
        <v>4791</v>
      </c>
      <c r="H999" s="1458">
        <v>0</v>
      </c>
      <c r="I999" s="1458">
        <v>1</v>
      </c>
      <c r="J999" s="1473">
        <v>1</v>
      </c>
      <c r="K999" s="1462"/>
      <c r="L999" s="1456">
        <v>13089023206</v>
      </c>
      <c r="M999" s="1457">
        <v>0</v>
      </c>
      <c r="N999" s="1457">
        <v>1</v>
      </c>
      <c r="O999" s="1457">
        <v>1</v>
      </c>
    </row>
    <row r="1000" spans="3:15" ht="13.5">
      <c r="C1000" s="1463" t="s">
        <v>4792</v>
      </c>
      <c r="D1000" s="1460">
        <v>0</v>
      </c>
      <c r="E1000" s="1460">
        <v>0</v>
      </c>
      <c r="F1000" s="1461">
        <v>0</v>
      </c>
      <c r="G1000" s="1472" t="s">
        <v>4792</v>
      </c>
      <c r="H1000" s="1458">
        <v>0</v>
      </c>
      <c r="I1000" s="1458">
        <v>0</v>
      </c>
      <c r="J1000" s="1473">
        <v>0</v>
      </c>
      <c r="K1000" s="1462"/>
      <c r="L1000" s="1456">
        <v>13089023208</v>
      </c>
      <c r="M1000" s="1457">
        <v>0</v>
      </c>
      <c r="N1000" s="1457">
        <v>0</v>
      </c>
      <c r="O1000" s="1457">
        <v>0</v>
      </c>
    </row>
    <row r="1001" spans="3:15" ht="13.5">
      <c r="C1001" s="1463" t="s">
        <v>4793</v>
      </c>
      <c r="D1001" s="1460">
        <v>0</v>
      </c>
      <c r="E1001" s="1460">
        <v>0</v>
      </c>
      <c r="F1001" s="1461">
        <v>0</v>
      </c>
      <c r="G1001" s="1472" t="s">
        <v>4793</v>
      </c>
      <c r="H1001" s="1458">
        <v>0</v>
      </c>
      <c r="I1001" s="1458">
        <v>0</v>
      </c>
      <c r="J1001" s="1473">
        <v>0</v>
      </c>
      <c r="K1001" s="1462"/>
      <c r="L1001" s="1456">
        <v>13089023209</v>
      </c>
      <c r="M1001" s="1457">
        <v>0</v>
      </c>
      <c r="N1001" s="1457">
        <v>0</v>
      </c>
      <c r="O1001" s="1457">
        <v>0</v>
      </c>
    </row>
    <row r="1002" spans="3:15" ht="13.5">
      <c r="C1002" s="1463" t="s">
        <v>4794</v>
      </c>
      <c r="D1002" s="1460">
        <v>0</v>
      </c>
      <c r="E1002" s="1460">
        <v>0</v>
      </c>
      <c r="F1002" s="1461">
        <v>0</v>
      </c>
      <c r="G1002" s="1472" t="s">
        <v>4794</v>
      </c>
      <c r="H1002" s="1458">
        <v>0</v>
      </c>
      <c r="I1002" s="1458">
        <v>0</v>
      </c>
      <c r="J1002" s="1473">
        <v>0</v>
      </c>
      <c r="K1002" s="1462"/>
      <c r="L1002" s="1456">
        <v>13089023210</v>
      </c>
      <c r="M1002" s="1457">
        <v>0</v>
      </c>
      <c r="N1002" s="1457">
        <v>0</v>
      </c>
      <c r="O1002" s="1457">
        <v>0</v>
      </c>
    </row>
    <row r="1003" spans="3:15" ht="13.5">
      <c r="C1003" s="1463" t="s">
        <v>4795</v>
      </c>
      <c r="D1003" s="1460">
        <v>0</v>
      </c>
      <c r="E1003" s="1460">
        <v>0</v>
      </c>
      <c r="F1003" s="1461">
        <v>0</v>
      </c>
      <c r="G1003" s="1472" t="s">
        <v>4795</v>
      </c>
      <c r="H1003" s="1458">
        <v>0</v>
      </c>
      <c r="I1003" s="1458">
        <v>0</v>
      </c>
      <c r="J1003" s="1473">
        <v>0</v>
      </c>
      <c r="K1003" s="1462"/>
      <c r="L1003" s="1456">
        <v>13089023211</v>
      </c>
      <c r="M1003" s="1457">
        <v>0</v>
      </c>
      <c r="N1003" s="1457">
        <v>0</v>
      </c>
      <c r="O1003" s="1457">
        <v>0</v>
      </c>
    </row>
    <row r="1004" spans="3:15" ht="13.5">
      <c r="C1004" s="1463" t="s">
        <v>4796</v>
      </c>
      <c r="D1004" s="1460">
        <v>0</v>
      </c>
      <c r="E1004" s="1460">
        <v>0</v>
      </c>
      <c r="F1004" s="1461">
        <v>0</v>
      </c>
      <c r="G1004" s="1472" t="s">
        <v>4796</v>
      </c>
      <c r="H1004" s="1458">
        <v>0</v>
      </c>
      <c r="I1004" s="1458">
        <v>0</v>
      </c>
      <c r="J1004" s="1473">
        <v>0</v>
      </c>
      <c r="K1004" s="1462"/>
      <c r="L1004" s="1456">
        <v>13089023212</v>
      </c>
      <c r="M1004" s="1457">
        <v>0</v>
      </c>
      <c r="N1004" s="1457">
        <v>0</v>
      </c>
      <c r="O1004" s="1457">
        <v>0</v>
      </c>
    </row>
    <row r="1005" spans="3:15" ht="13.5">
      <c r="C1005" s="1463" t="s">
        <v>4797</v>
      </c>
      <c r="D1005" s="1460">
        <v>0</v>
      </c>
      <c r="E1005" s="1460">
        <v>0</v>
      </c>
      <c r="F1005" s="1461">
        <v>0</v>
      </c>
      <c r="G1005" s="1472" t="s">
        <v>4797</v>
      </c>
      <c r="H1005" s="1458">
        <v>0</v>
      </c>
      <c r="I1005" s="1458">
        <v>0</v>
      </c>
      <c r="J1005" s="1473">
        <v>0</v>
      </c>
      <c r="K1005" s="1462"/>
      <c r="L1005" s="1456">
        <v>13089023213</v>
      </c>
      <c r="M1005" s="1457">
        <v>0</v>
      </c>
      <c r="N1005" s="1457">
        <v>0</v>
      </c>
      <c r="O1005" s="1457">
        <v>0</v>
      </c>
    </row>
    <row r="1006" spans="3:15" ht="13.5">
      <c r="C1006" s="1463" t="s">
        <v>4798</v>
      </c>
      <c r="D1006" s="1460">
        <v>0</v>
      </c>
      <c r="E1006" s="1460">
        <v>0</v>
      </c>
      <c r="F1006" s="1461">
        <v>0</v>
      </c>
      <c r="G1006" s="1472" t="s">
        <v>4798</v>
      </c>
      <c r="H1006" s="1458">
        <v>0</v>
      </c>
      <c r="I1006" s="1458" t="s">
        <v>3911</v>
      </c>
      <c r="J1006" s="1473">
        <v>0</v>
      </c>
      <c r="K1006" s="1462"/>
      <c r="L1006" s="1456">
        <v>13089023214</v>
      </c>
      <c r="M1006" s="1457">
        <v>0</v>
      </c>
      <c r="N1006" s="1457">
        <v>0</v>
      </c>
      <c r="O1006" s="1457">
        <v>0</v>
      </c>
    </row>
    <row r="1007" spans="3:15" ht="13.5">
      <c r="C1007" s="1463" t="s">
        <v>4799</v>
      </c>
      <c r="D1007" s="1460">
        <v>0</v>
      </c>
      <c r="E1007" s="1460">
        <v>0</v>
      </c>
      <c r="F1007" s="1461">
        <v>0</v>
      </c>
      <c r="G1007" s="1472" t="s">
        <v>4799</v>
      </c>
      <c r="H1007" s="1458">
        <v>0</v>
      </c>
      <c r="I1007" s="1458">
        <v>0</v>
      </c>
      <c r="J1007" s="1473">
        <v>0</v>
      </c>
      <c r="K1007" s="1462"/>
      <c r="L1007" s="1456">
        <v>13089023303</v>
      </c>
      <c r="M1007" s="1457">
        <v>0</v>
      </c>
      <c r="N1007" s="1457">
        <v>0</v>
      </c>
      <c r="O1007" s="1457">
        <v>0</v>
      </c>
    </row>
    <row r="1008" spans="3:15" ht="13.5">
      <c r="C1008" s="1463" t="s">
        <v>4800</v>
      </c>
      <c r="D1008" s="1460">
        <v>1</v>
      </c>
      <c r="E1008" s="1460">
        <v>1</v>
      </c>
      <c r="F1008" s="1461">
        <v>2</v>
      </c>
      <c r="G1008" s="1472" t="s">
        <v>4800</v>
      </c>
      <c r="H1008" s="1458">
        <v>0</v>
      </c>
      <c r="I1008" s="1458">
        <v>1</v>
      </c>
      <c r="J1008" s="1473">
        <v>1</v>
      </c>
      <c r="K1008" s="1462"/>
      <c r="L1008" s="1456">
        <v>13089023306</v>
      </c>
      <c r="M1008" s="1457">
        <v>1</v>
      </c>
      <c r="N1008" s="1457">
        <v>1</v>
      </c>
      <c r="O1008" s="1457">
        <v>2</v>
      </c>
    </row>
    <row r="1009" spans="3:15" ht="13.5">
      <c r="C1009" s="1463" t="s">
        <v>4801</v>
      </c>
      <c r="D1009" s="1460">
        <v>0</v>
      </c>
      <c r="E1009" s="1460">
        <v>0</v>
      </c>
      <c r="F1009" s="1461">
        <v>0</v>
      </c>
      <c r="G1009" s="1472" t="s">
        <v>4801</v>
      </c>
      <c r="H1009" s="1458">
        <v>0</v>
      </c>
      <c r="I1009" s="1458">
        <v>0</v>
      </c>
      <c r="J1009" s="1473">
        <v>0</v>
      </c>
      <c r="K1009" s="1462"/>
      <c r="L1009" s="1456">
        <v>13089023309</v>
      </c>
      <c r="M1009" s="1457">
        <v>0</v>
      </c>
      <c r="N1009" s="1457">
        <v>0</v>
      </c>
      <c r="O1009" s="1457">
        <v>0</v>
      </c>
    </row>
    <row r="1010" spans="3:15" ht="13.5">
      <c r="C1010" s="1463" t="s">
        <v>4802</v>
      </c>
      <c r="D1010" s="1460">
        <v>0</v>
      </c>
      <c r="E1010" s="1460">
        <v>0</v>
      </c>
      <c r="F1010" s="1461">
        <v>0</v>
      </c>
      <c r="G1010" s="1472" t="s">
        <v>4802</v>
      </c>
      <c r="H1010" s="1458">
        <v>0</v>
      </c>
      <c r="I1010" s="1458">
        <v>0</v>
      </c>
      <c r="J1010" s="1473">
        <v>0</v>
      </c>
      <c r="K1010" s="1462"/>
      <c r="L1010" s="1456">
        <v>13089023310</v>
      </c>
      <c r="M1010" s="1457">
        <v>0</v>
      </c>
      <c r="N1010" s="1457">
        <v>0</v>
      </c>
      <c r="O1010" s="1457">
        <v>0</v>
      </c>
    </row>
    <row r="1011" spans="3:15" ht="13.5">
      <c r="C1011" s="1463" t="s">
        <v>4803</v>
      </c>
      <c r="D1011" s="1460">
        <v>1</v>
      </c>
      <c r="E1011" s="1460">
        <v>0</v>
      </c>
      <c r="F1011" s="1461">
        <v>1</v>
      </c>
      <c r="G1011" s="1472" t="s">
        <v>4803</v>
      </c>
      <c r="H1011" s="1458">
        <v>1</v>
      </c>
      <c r="I1011" s="1458">
        <v>0</v>
      </c>
      <c r="J1011" s="1473">
        <v>1</v>
      </c>
      <c r="K1011" s="1462"/>
      <c r="L1011" s="1456">
        <v>13089023311</v>
      </c>
      <c r="M1011" s="1457">
        <v>1</v>
      </c>
      <c r="N1011" s="1457">
        <v>0</v>
      </c>
      <c r="O1011" s="1457">
        <v>1</v>
      </c>
    </row>
    <row r="1012" spans="3:15" ht="13.5">
      <c r="C1012" s="1463" t="s">
        <v>4804</v>
      </c>
      <c r="D1012" s="1460">
        <v>0</v>
      </c>
      <c r="E1012" s="1460">
        <v>0</v>
      </c>
      <c r="F1012" s="1461">
        <v>0</v>
      </c>
      <c r="G1012" s="1472" t="s">
        <v>4804</v>
      </c>
      <c r="H1012" s="1458">
        <v>0</v>
      </c>
      <c r="I1012" s="1458">
        <v>0</v>
      </c>
      <c r="J1012" s="1473">
        <v>0</v>
      </c>
      <c r="K1012" s="1462"/>
      <c r="L1012" s="1456">
        <v>13089023312</v>
      </c>
      <c r="M1012" s="1457">
        <v>0</v>
      </c>
      <c r="N1012" s="1457">
        <v>0</v>
      </c>
      <c r="O1012" s="1457">
        <v>0</v>
      </c>
    </row>
    <row r="1013" spans="3:15" ht="13.5">
      <c r="C1013" s="1463" t="s">
        <v>4805</v>
      </c>
      <c r="D1013" s="1460">
        <v>0</v>
      </c>
      <c r="E1013" s="1460">
        <v>0</v>
      </c>
      <c r="F1013" s="1461">
        <v>0</v>
      </c>
      <c r="G1013" s="1472" t="s">
        <v>4805</v>
      </c>
      <c r="H1013" s="1458">
        <v>0</v>
      </c>
      <c r="I1013" s="1458">
        <v>0</v>
      </c>
      <c r="J1013" s="1473">
        <v>0</v>
      </c>
      <c r="K1013" s="1462"/>
      <c r="L1013" s="1456">
        <v>13089023313</v>
      </c>
      <c r="M1013" s="1457">
        <v>0</v>
      </c>
      <c r="N1013" s="1457">
        <v>0</v>
      </c>
      <c r="O1013" s="1457">
        <v>0</v>
      </c>
    </row>
    <row r="1014" spans="3:15" ht="13.5">
      <c r="C1014" s="1463" t="s">
        <v>4806</v>
      </c>
      <c r="D1014" s="1460">
        <v>0</v>
      </c>
      <c r="E1014" s="1460">
        <v>0</v>
      </c>
      <c r="F1014" s="1461">
        <v>0</v>
      </c>
      <c r="G1014" s="1472" t="s">
        <v>4806</v>
      </c>
      <c r="H1014" s="1458">
        <v>0</v>
      </c>
      <c r="I1014" s="1458">
        <v>0</v>
      </c>
      <c r="J1014" s="1473">
        <v>0</v>
      </c>
      <c r="K1014" s="1462"/>
      <c r="L1014" s="1456">
        <v>13089023314</v>
      </c>
      <c r="M1014" s="1457">
        <v>0</v>
      </c>
      <c r="N1014" s="1457">
        <v>0</v>
      </c>
      <c r="O1014" s="1457">
        <v>0</v>
      </c>
    </row>
    <row r="1015" spans="3:15" ht="13.5">
      <c r="C1015" s="1463" t="s">
        <v>4807</v>
      </c>
      <c r="D1015" s="1460">
        <v>1</v>
      </c>
      <c r="E1015" s="1460">
        <v>1</v>
      </c>
      <c r="F1015" s="1461">
        <v>2</v>
      </c>
      <c r="G1015" s="1472" t="s">
        <v>4807</v>
      </c>
      <c r="H1015" s="1458">
        <v>1</v>
      </c>
      <c r="I1015" s="1458">
        <v>0</v>
      </c>
      <c r="J1015" s="1473">
        <v>1</v>
      </c>
      <c r="K1015" s="1462"/>
      <c r="L1015" s="1456">
        <v>13089023315</v>
      </c>
      <c r="M1015" s="1457">
        <v>1</v>
      </c>
      <c r="N1015" s="1457">
        <v>1</v>
      </c>
      <c r="O1015" s="1457">
        <v>2</v>
      </c>
    </row>
    <row r="1016" spans="3:15" ht="13.5">
      <c r="C1016" s="1463" t="s">
        <v>4808</v>
      </c>
      <c r="D1016" s="1460">
        <v>0</v>
      </c>
      <c r="E1016" s="1460">
        <v>0</v>
      </c>
      <c r="F1016" s="1461">
        <v>0</v>
      </c>
      <c r="G1016" s="1472" t="s">
        <v>4808</v>
      </c>
      <c r="H1016" s="1458">
        <v>1</v>
      </c>
      <c r="I1016" s="1458">
        <v>1</v>
      </c>
      <c r="J1016" s="1473">
        <v>1</v>
      </c>
      <c r="K1016" s="1462"/>
      <c r="L1016" s="1456">
        <v>13089023316</v>
      </c>
      <c r="M1016" s="1457">
        <v>1</v>
      </c>
      <c r="N1016" s="1457">
        <v>1</v>
      </c>
      <c r="O1016" s="1457">
        <v>1</v>
      </c>
    </row>
    <row r="1017" spans="3:15" ht="13.5">
      <c r="C1017" s="1463" t="s">
        <v>4809</v>
      </c>
      <c r="D1017" s="1460">
        <v>0</v>
      </c>
      <c r="E1017" s="1460">
        <v>0</v>
      </c>
      <c r="F1017" s="1461">
        <v>0</v>
      </c>
      <c r="G1017" s="1472" t="s">
        <v>4809</v>
      </c>
      <c r="H1017" s="1458">
        <v>0</v>
      </c>
      <c r="I1017" s="1458">
        <v>0</v>
      </c>
      <c r="J1017" s="1473">
        <v>0</v>
      </c>
      <c r="K1017" s="1462"/>
      <c r="L1017" s="1456">
        <v>13089023410</v>
      </c>
      <c r="M1017" s="1457">
        <v>0</v>
      </c>
      <c r="N1017" s="1457">
        <v>0</v>
      </c>
      <c r="O1017" s="1457">
        <v>0</v>
      </c>
    </row>
    <row r="1018" spans="3:15" ht="13.5">
      <c r="C1018" s="1463" t="s">
        <v>4810</v>
      </c>
      <c r="D1018" s="1460">
        <v>0</v>
      </c>
      <c r="E1018" s="1460">
        <v>0</v>
      </c>
      <c r="F1018" s="1461">
        <v>0</v>
      </c>
      <c r="G1018" s="1472" t="s">
        <v>4810</v>
      </c>
      <c r="H1018" s="1458">
        <v>0</v>
      </c>
      <c r="I1018" s="1458" t="s">
        <v>3911</v>
      </c>
      <c r="J1018" s="1473">
        <v>0</v>
      </c>
      <c r="K1018" s="1462"/>
      <c r="L1018" s="1456">
        <v>13089023411</v>
      </c>
      <c r="M1018" s="1457">
        <v>0</v>
      </c>
      <c r="N1018" s="1457">
        <v>0</v>
      </c>
      <c r="O1018" s="1457">
        <v>0</v>
      </c>
    </row>
    <row r="1019" spans="3:15" ht="13.5">
      <c r="C1019" s="1463" t="s">
        <v>4811</v>
      </c>
      <c r="D1019" s="1460">
        <v>0</v>
      </c>
      <c r="E1019" s="1460">
        <v>0</v>
      </c>
      <c r="F1019" s="1461">
        <v>0</v>
      </c>
      <c r="G1019" s="1472" t="s">
        <v>4811</v>
      </c>
      <c r="H1019" s="1458">
        <v>0</v>
      </c>
      <c r="I1019" s="1458">
        <v>0</v>
      </c>
      <c r="J1019" s="1473">
        <v>0</v>
      </c>
      <c r="K1019" s="1462"/>
      <c r="L1019" s="1456">
        <v>13089023412</v>
      </c>
      <c r="M1019" s="1457">
        <v>0</v>
      </c>
      <c r="N1019" s="1457">
        <v>0</v>
      </c>
      <c r="O1019" s="1457">
        <v>0</v>
      </c>
    </row>
    <row r="1020" spans="3:15" ht="13.5">
      <c r="C1020" s="1463" t="s">
        <v>4812</v>
      </c>
      <c r="D1020" s="1460">
        <v>0</v>
      </c>
      <c r="E1020" s="1460">
        <v>0</v>
      </c>
      <c r="F1020" s="1461">
        <v>0</v>
      </c>
      <c r="G1020" s="1472" t="s">
        <v>4812</v>
      </c>
      <c r="H1020" s="1458">
        <v>0</v>
      </c>
      <c r="I1020" s="1458">
        <v>1</v>
      </c>
      <c r="J1020" s="1473">
        <v>0</v>
      </c>
      <c r="K1020" s="1462"/>
      <c r="L1020" s="1456">
        <v>13089023413</v>
      </c>
      <c r="M1020" s="1457">
        <v>0</v>
      </c>
      <c r="N1020" s="1457">
        <v>1</v>
      </c>
      <c r="O1020" s="1457">
        <v>0</v>
      </c>
    </row>
    <row r="1021" spans="3:15" ht="13.5">
      <c r="C1021" s="1463" t="s">
        <v>4813</v>
      </c>
      <c r="D1021" s="1460">
        <v>0</v>
      </c>
      <c r="E1021" s="1460">
        <v>0</v>
      </c>
      <c r="F1021" s="1461">
        <v>0</v>
      </c>
      <c r="G1021" s="1472" t="s">
        <v>4813</v>
      </c>
      <c r="H1021" s="1458">
        <v>1</v>
      </c>
      <c r="I1021" s="1458">
        <v>1</v>
      </c>
      <c r="J1021" s="1473">
        <v>2</v>
      </c>
      <c r="K1021" s="1462"/>
      <c r="L1021" s="1456">
        <v>13089023414</v>
      </c>
      <c r="M1021" s="1457">
        <v>1</v>
      </c>
      <c r="N1021" s="1457">
        <v>1</v>
      </c>
      <c r="O1021" s="1457">
        <v>2</v>
      </c>
    </row>
    <row r="1022" spans="3:15" ht="13.5">
      <c r="C1022" s="1463" t="s">
        <v>4814</v>
      </c>
      <c r="D1022" s="1460">
        <v>0</v>
      </c>
      <c r="E1022" s="1460">
        <v>0</v>
      </c>
      <c r="F1022" s="1461">
        <v>0</v>
      </c>
      <c r="G1022" s="1472" t="s">
        <v>4814</v>
      </c>
      <c r="H1022" s="1458">
        <v>0</v>
      </c>
      <c r="I1022" s="1458">
        <v>1</v>
      </c>
      <c r="J1022" s="1473">
        <v>1</v>
      </c>
      <c r="K1022" s="1462"/>
      <c r="L1022" s="1456">
        <v>13089023416</v>
      </c>
      <c r="M1022" s="1457">
        <v>0</v>
      </c>
      <c r="N1022" s="1457">
        <v>1</v>
      </c>
      <c r="O1022" s="1457">
        <v>1</v>
      </c>
    </row>
    <row r="1023" spans="3:15" ht="13.5">
      <c r="C1023" s="1463" t="s">
        <v>4815</v>
      </c>
      <c r="D1023" s="1460">
        <v>0</v>
      </c>
      <c r="E1023" s="1460">
        <v>0</v>
      </c>
      <c r="F1023" s="1461">
        <v>0</v>
      </c>
      <c r="G1023" s="1472" t="s">
        <v>4815</v>
      </c>
      <c r="H1023" s="1458">
        <v>0</v>
      </c>
      <c r="I1023" s="1458">
        <v>0</v>
      </c>
      <c r="J1023" s="1473">
        <v>0</v>
      </c>
      <c r="K1023" s="1462"/>
      <c r="L1023" s="1456">
        <v>13089023418</v>
      </c>
      <c r="M1023" s="1457">
        <v>0</v>
      </c>
      <c r="N1023" s="1457">
        <v>0</v>
      </c>
      <c r="O1023" s="1457">
        <v>0</v>
      </c>
    </row>
    <row r="1024" spans="3:15" ht="13.5">
      <c r="C1024" s="1463" t="s">
        <v>4816</v>
      </c>
      <c r="D1024" s="1460">
        <v>0</v>
      </c>
      <c r="E1024" s="1460">
        <v>0</v>
      </c>
      <c r="F1024" s="1461">
        <v>0</v>
      </c>
      <c r="G1024" s="1472" t="s">
        <v>4816</v>
      </c>
      <c r="H1024" s="1458">
        <v>1</v>
      </c>
      <c r="I1024" s="1458">
        <v>1</v>
      </c>
      <c r="J1024" s="1473">
        <v>2</v>
      </c>
      <c r="K1024" s="1462"/>
      <c r="L1024" s="1456">
        <v>13089023419</v>
      </c>
      <c r="M1024" s="1457">
        <v>1</v>
      </c>
      <c r="N1024" s="1457">
        <v>1</v>
      </c>
      <c r="O1024" s="1457">
        <v>2</v>
      </c>
    </row>
    <row r="1025" spans="3:15" ht="13.5">
      <c r="C1025" s="1463" t="s">
        <v>4817</v>
      </c>
      <c r="D1025" s="1460">
        <v>0</v>
      </c>
      <c r="E1025" s="1460">
        <v>0</v>
      </c>
      <c r="F1025" s="1461">
        <v>0</v>
      </c>
      <c r="G1025" s="1472" t="s">
        <v>4817</v>
      </c>
      <c r="H1025" s="1458">
        <v>0</v>
      </c>
      <c r="I1025" s="1458">
        <v>0</v>
      </c>
      <c r="J1025" s="1473">
        <v>0</v>
      </c>
      <c r="K1025" s="1462"/>
      <c r="L1025" s="1456">
        <v>13089023421</v>
      </c>
      <c r="M1025" s="1457">
        <v>0</v>
      </c>
      <c r="N1025" s="1457">
        <v>0</v>
      </c>
      <c r="O1025" s="1457">
        <v>0</v>
      </c>
    </row>
    <row r="1026" spans="3:15" ht="13.5">
      <c r="C1026" s="1463" t="s">
        <v>4818</v>
      </c>
      <c r="D1026" s="1460">
        <v>0</v>
      </c>
      <c r="E1026" s="1460">
        <v>0</v>
      </c>
      <c r="F1026" s="1461">
        <v>0</v>
      </c>
      <c r="G1026" s="1472" t="s">
        <v>4818</v>
      </c>
      <c r="H1026" s="1458">
        <v>0</v>
      </c>
      <c r="I1026" s="1458">
        <v>0</v>
      </c>
      <c r="J1026" s="1473">
        <v>0</v>
      </c>
      <c r="K1026" s="1462"/>
      <c r="L1026" s="1456">
        <v>13089023422</v>
      </c>
      <c r="M1026" s="1457">
        <v>0</v>
      </c>
      <c r="N1026" s="1457">
        <v>0</v>
      </c>
      <c r="O1026" s="1457">
        <v>0</v>
      </c>
    </row>
    <row r="1027" spans="3:15" ht="13.5">
      <c r="C1027" s="1463" t="s">
        <v>4819</v>
      </c>
      <c r="D1027" s="1460">
        <v>0</v>
      </c>
      <c r="E1027" s="1460">
        <v>0</v>
      </c>
      <c r="F1027" s="1461">
        <v>0</v>
      </c>
      <c r="G1027" s="1472" t="s">
        <v>4819</v>
      </c>
      <c r="H1027" s="1458">
        <v>1</v>
      </c>
      <c r="I1027" s="1458">
        <v>0</v>
      </c>
      <c r="J1027" s="1473">
        <v>1</v>
      </c>
      <c r="K1027" s="1462"/>
      <c r="L1027" s="1456">
        <v>13089023423</v>
      </c>
      <c r="M1027" s="1457">
        <v>1</v>
      </c>
      <c r="N1027" s="1457">
        <v>0</v>
      </c>
      <c r="O1027" s="1457">
        <v>1</v>
      </c>
    </row>
    <row r="1028" spans="3:15" ht="13.5">
      <c r="C1028" s="1463" t="s">
        <v>4820</v>
      </c>
      <c r="D1028" s="1460">
        <v>0</v>
      </c>
      <c r="E1028" s="1460">
        <v>0</v>
      </c>
      <c r="F1028" s="1461">
        <v>0</v>
      </c>
      <c r="G1028" s="1472" t="s">
        <v>4820</v>
      </c>
      <c r="H1028" s="1458">
        <v>0</v>
      </c>
      <c r="I1028" s="1458">
        <v>1</v>
      </c>
      <c r="J1028" s="1473">
        <v>1</v>
      </c>
      <c r="K1028" s="1462"/>
      <c r="L1028" s="1456">
        <v>13089023424</v>
      </c>
      <c r="M1028" s="1457">
        <v>0</v>
      </c>
      <c r="N1028" s="1457">
        <v>1</v>
      </c>
      <c r="O1028" s="1457">
        <v>1</v>
      </c>
    </row>
    <row r="1029" spans="3:15" ht="13.5">
      <c r="C1029" s="1463" t="s">
        <v>4821</v>
      </c>
      <c r="D1029" s="1460">
        <v>0</v>
      </c>
      <c r="E1029" s="1460">
        <v>0</v>
      </c>
      <c r="F1029" s="1461">
        <v>0</v>
      </c>
      <c r="G1029" s="1472" t="s">
        <v>4821</v>
      </c>
      <c r="H1029" s="1458">
        <v>0</v>
      </c>
      <c r="I1029" s="1458">
        <v>1</v>
      </c>
      <c r="J1029" s="1473">
        <v>1</v>
      </c>
      <c r="K1029" s="1462"/>
      <c r="L1029" s="1456">
        <v>13089023425</v>
      </c>
      <c r="M1029" s="1457">
        <v>0</v>
      </c>
      <c r="N1029" s="1457">
        <v>1</v>
      </c>
      <c r="O1029" s="1457">
        <v>1</v>
      </c>
    </row>
    <row r="1030" spans="3:15" ht="13.5">
      <c r="C1030" s="1463" t="s">
        <v>4822</v>
      </c>
      <c r="D1030" s="1460">
        <v>1</v>
      </c>
      <c r="E1030" s="1460">
        <v>0</v>
      </c>
      <c r="F1030" s="1461">
        <v>1</v>
      </c>
      <c r="G1030" s="1472" t="s">
        <v>4822</v>
      </c>
      <c r="H1030" s="1458">
        <v>1</v>
      </c>
      <c r="I1030" s="1458">
        <v>1</v>
      </c>
      <c r="J1030" s="1473">
        <v>2</v>
      </c>
      <c r="K1030" s="1462"/>
      <c r="L1030" s="1456">
        <v>13089023426</v>
      </c>
      <c r="M1030" s="1457">
        <v>1</v>
      </c>
      <c r="N1030" s="1457">
        <v>1</v>
      </c>
      <c r="O1030" s="1457">
        <v>2</v>
      </c>
    </row>
    <row r="1031" spans="3:15" ht="13.5">
      <c r="C1031" s="1463" t="s">
        <v>4823</v>
      </c>
      <c r="D1031" s="1460">
        <v>1</v>
      </c>
      <c r="E1031" s="1460">
        <v>0</v>
      </c>
      <c r="F1031" s="1461">
        <v>1</v>
      </c>
      <c r="G1031" s="1472" t="s">
        <v>4823</v>
      </c>
      <c r="H1031" s="1458">
        <v>1</v>
      </c>
      <c r="I1031" s="1458">
        <v>0</v>
      </c>
      <c r="J1031" s="1473">
        <v>1</v>
      </c>
      <c r="K1031" s="1462"/>
      <c r="L1031" s="1456">
        <v>13089023427</v>
      </c>
      <c r="M1031" s="1457">
        <v>1</v>
      </c>
      <c r="N1031" s="1457">
        <v>0</v>
      </c>
      <c r="O1031" s="1457">
        <v>1</v>
      </c>
    </row>
    <row r="1032" spans="3:15" ht="13.5">
      <c r="C1032" s="1463" t="s">
        <v>4824</v>
      </c>
      <c r="D1032" s="1460">
        <v>0</v>
      </c>
      <c r="E1032" s="1460">
        <v>0</v>
      </c>
      <c r="F1032" s="1461">
        <v>0</v>
      </c>
      <c r="G1032" s="1472" t="s">
        <v>4824</v>
      </c>
      <c r="H1032" s="1458">
        <v>0</v>
      </c>
      <c r="I1032" s="1458">
        <v>0</v>
      </c>
      <c r="J1032" s="1473">
        <v>0</v>
      </c>
      <c r="K1032" s="1462"/>
      <c r="L1032" s="1456">
        <v>13089023428</v>
      </c>
      <c r="M1032" s="1457">
        <v>0</v>
      </c>
      <c r="N1032" s="1457">
        <v>0</v>
      </c>
      <c r="O1032" s="1457">
        <v>0</v>
      </c>
    </row>
    <row r="1033" spans="3:15" ht="13.5">
      <c r="C1033" s="1463" t="s">
        <v>4825</v>
      </c>
      <c r="D1033" s="1460">
        <v>0</v>
      </c>
      <c r="E1033" s="1460">
        <v>0</v>
      </c>
      <c r="F1033" s="1461">
        <v>0</v>
      </c>
      <c r="G1033" s="1472" t="s">
        <v>4825</v>
      </c>
      <c r="H1033" s="1458">
        <v>0</v>
      </c>
      <c r="I1033" s="1458">
        <v>0</v>
      </c>
      <c r="J1033" s="1473">
        <v>0</v>
      </c>
      <c r="K1033" s="1462"/>
      <c r="L1033" s="1456">
        <v>13089023501</v>
      </c>
      <c r="M1033" s="1457">
        <v>0</v>
      </c>
      <c r="N1033" s="1457">
        <v>0</v>
      </c>
      <c r="O1033" s="1457">
        <v>0</v>
      </c>
    </row>
    <row r="1034" spans="3:15" ht="13.5">
      <c r="C1034" s="1463" t="s">
        <v>4826</v>
      </c>
      <c r="D1034" s="1460">
        <v>0</v>
      </c>
      <c r="E1034" s="1460">
        <v>0</v>
      </c>
      <c r="F1034" s="1461">
        <v>0</v>
      </c>
      <c r="G1034" s="1472" t="s">
        <v>4826</v>
      </c>
      <c r="H1034" s="1458">
        <v>0</v>
      </c>
      <c r="I1034" s="1458">
        <v>0</v>
      </c>
      <c r="J1034" s="1473">
        <v>0</v>
      </c>
      <c r="K1034" s="1462"/>
      <c r="L1034" s="1456">
        <v>13089023504</v>
      </c>
      <c r="M1034" s="1457">
        <v>0</v>
      </c>
      <c r="N1034" s="1457">
        <v>0</v>
      </c>
      <c r="O1034" s="1457">
        <v>0</v>
      </c>
    </row>
    <row r="1035" spans="3:15" ht="13.5">
      <c r="C1035" s="1463" t="s">
        <v>4827</v>
      </c>
      <c r="D1035" s="1460">
        <v>0</v>
      </c>
      <c r="E1035" s="1460">
        <v>0</v>
      </c>
      <c r="F1035" s="1461">
        <v>0</v>
      </c>
      <c r="G1035" s="1472" t="s">
        <v>4827</v>
      </c>
      <c r="H1035" s="1458">
        <v>0</v>
      </c>
      <c r="I1035" s="1458">
        <v>0</v>
      </c>
      <c r="J1035" s="1473">
        <v>0</v>
      </c>
      <c r="K1035" s="1462"/>
      <c r="L1035" s="1456">
        <v>13089023505</v>
      </c>
      <c r="M1035" s="1457">
        <v>0</v>
      </c>
      <c r="N1035" s="1457">
        <v>0</v>
      </c>
      <c r="O1035" s="1457">
        <v>0</v>
      </c>
    </row>
    <row r="1036" spans="3:15" ht="13.5">
      <c r="C1036" s="1463" t="s">
        <v>4828</v>
      </c>
      <c r="D1036" s="1460">
        <v>0</v>
      </c>
      <c r="E1036" s="1460">
        <v>0</v>
      </c>
      <c r="F1036" s="1461">
        <v>0</v>
      </c>
      <c r="G1036" s="1472" t="s">
        <v>4828</v>
      </c>
      <c r="H1036" s="1458">
        <v>0</v>
      </c>
      <c r="I1036" s="1458">
        <v>0</v>
      </c>
      <c r="J1036" s="1473">
        <v>0</v>
      </c>
      <c r="K1036" s="1462"/>
      <c r="L1036" s="1456">
        <v>13089023506</v>
      </c>
      <c r="M1036" s="1457">
        <v>0</v>
      </c>
      <c r="N1036" s="1457">
        <v>0</v>
      </c>
      <c r="O1036" s="1457">
        <v>0</v>
      </c>
    </row>
    <row r="1037" spans="3:15" ht="13.5">
      <c r="C1037" s="1463" t="s">
        <v>4829</v>
      </c>
      <c r="D1037" s="1460">
        <v>0</v>
      </c>
      <c r="E1037" s="1460">
        <v>0</v>
      </c>
      <c r="F1037" s="1461">
        <v>0</v>
      </c>
      <c r="G1037" s="1472" t="s">
        <v>4829</v>
      </c>
      <c r="H1037" s="1458">
        <v>0</v>
      </c>
      <c r="I1037" s="1458">
        <v>1</v>
      </c>
      <c r="J1037" s="1473">
        <v>1</v>
      </c>
      <c r="K1037" s="1462"/>
      <c r="L1037" s="1456">
        <v>13089023507</v>
      </c>
      <c r="M1037" s="1457">
        <v>0</v>
      </c>
      <c r="N1037" s="1457">
        <v>1</v>
      </c>
      <c r="O1037" s="1457">
        <v>1</v>
      </c>
    </row>
    <row r="1038" spans="3:15" ht="13.5">
      <c r="C1038" s="1463" t="s">
        <v>4830</v>
      </c>
      <c r="D1038" s="1460">
        <v>0</v>
      </c>
      <c r="E1038" s="1460">
        <v>0</v>
      </c>
      <c r="F1038" s="1461">
        <v>0</v>
      </c>
      <c r="G1038" s="1472" t="s">
        <v>4830</v>
      </c>
      <c r="H1038" s="1458">
        <v>0</v>
      </c>
      <c r="I1038" s="1458">
        <v>0</v>
      </c>
      <c r="J1038" s="1473">
        <v>0</v>
      </c>
      <c r="K1038" s="1462"/>
      <c r="L1038" s="1456">
        <v>13089023601</v>
      </c>
      <c r="M1038" s="1457">
        <v>0</v>
      </c>
      <c r="N1038" s="1457">
        <v>0</v>
      </c>
      <c r="O1038" s="1457">
        <v>0</v>
      </c>
    </row>
    <row r="1039" spans="3:15" ht="13.5">
      <c r="C1039" s="1463" t="s">
        <v>4831</v>
      </c>
      <c r="D1039" s="1460">
        <v>0</v>
      </c>
      <c r="E1039" s="1460">
        <v>0</v>
      </c>
      <c r="F1039" s="1461">
        <v>0</v>
      </c>
      <c r="G1039" s="1472" t="s">
        <v>4831</v>
      </c>
      <c r="H1039" s="1458">
        <v>0</v>
      </c>
      <c r="I1039" s="1458">
        <v>0</v>
      </c>
      <c r="J1039" s="1473">
        <v>0</v>
      </c>
      <c r="K1039" s="1462"/>
      <c r="L1039" s="1456">
        <v>13089023602</v>
      </c>
      <c r="M1039" s="1457">
        <v>0</v>
      </c>
      <c r="N1039" s="1457">
        <v>0</v>
      </c>
      <c r="O1039" s="1457">
        <v>0</v>
      </c>
    </row>
    <row r="1040" spans="3:15" ht="13.5">
      <c r="C1040" s="1463" t="s">
        <v>4832</v>
      </c>
      <c r="D1040" s="1460">
        <v>0</v>
      </c>
      <c r="E1040" s="1460">
        <v>0</v>
      </c>
      <c r="F1040" s="1461">
        <v>0</v>
      </c>
      <c r="G1040" s="1472" t="s">
        <v>4832</v>
      </c>
      <c r="H1040" s="1458">
        <v>0</v>
      </c>
      <c r="I1040" s="1458">
        <v>0</v>
      </c>
      <c r="J1040" s="1473">
        <v>0</v>
      </c>
      <c r="K1040" s="1462"/>
      <c r="L1040" s="1456">
        <v>13089023603</v>
      </c>
      <c r="M1040" s="1457">
        <v>0</v>
      </c>
      <c r="N1040" s="1457">
        <v>0</v>
      </c>
      <c r="O1040" s="1457">
        <v>0</v>
      </c>
    </row>
    <row r="1041" spans="3:15" ht="13.5">
      <c r="C1041" s="1463" t="s">
        <v>4833</v>
      </c>
      <c r="D1041" s="1460">
        <v>0</v>
      </c>
      <c r="E1041" s="1460">
        <v>0</v>
      </c>
      <c r="F1041" s="1461">
        <v>0</v>
      </c>
      <c r="G1041" s="1472" t="s">
        <v>4833</v>
      </c>
      <c r="H1041" s="1458">
        <v>0</v>
      </c>
      <c r="I1041" s="1458" t="s">
        <v>3911</v>
      </c>
      <c r="J1041" s="1473">
        <v>0</v>
      </c>
      <c r="K1041" s="1462"/>
      <c r="L1041" s="1456">
        <v>13089023700</v>
      </c>
      <c r="M1041" s="1457">
        <v>0</v>
      </c>
      <c r="N1041" s="1457">
        <v>0</v>
      </c>
      <c r="O1041" s="1457">
        <v>0</v>
      </c>
    </row>
    <row r="1042" spans="3:15" ht="13.5">
      <c r="C1042" s="1463" t="s">
        <v>4834</v>
      </c>
      <c r="D1042" s="1460">
        <v>1</v>
      </c>
      <c r="E1042" s="1460">
        <v>0</v>
      </c>
      <c r="F1042" s="1461">
        <v>1</v>
      </c>
      <c r="G1042" s="1472" t="s">
        <v>4834</v>
      </c>
      <c r="H1042" s="1458">
        <v>1</v>
      </c>
      <c r="I1042" s="1458">
        <v>0</v>
      </c>
      <c r="J1042" s="1473">
        <v>1</v>
      </c>
      <c r="K1042" s="1462"/>
      <c r="L1042" s="1456">
        <v>13089023801</v>
      </c>
      <c r="M1042" s="1457">
        <v>1</v>
      </c>
      <c r="N1042" s="1457">
        <v>0</v>
      </c>
      <c r="O1042" s="1457">
        <v>1</v>
      </c>
    </row>
    <row r="1043" spans="3:15" ht="13.5">
      <c r="C1043" s="1463" t="s">
        <v>4835</v>
      </c>
      <c r="D1043" s="1460">
        <v>0</v>
      </c>
      <c r="E1043" s="1460">
        <v>0</v>
      </c>
      <c r="F1043" s="1461">
        <v>0</v>
      </c>
      <c r="G1043" s="1472" t="s">
        <v>4835</v>
      </c>
      <c r="H1043" s="1458">
        <v>0</v>
      </c>
      <c r="I1043" s="1458">
        <v>0</v>
      </c>
      <c r="J1043" s="1473">
        <v>0</v>
      </c>
      <c r="K1043" s="1462"/>
      <c r="L1043" s="1456">
        <v>13089023802</v>
      </c>
      <c r="M1043" s="1457">
        <v>0</v>
      </c>
      <c r="N1043" s="1457">
        <v>0</v>
      </c>
      <c r="O1043" s="1457">
        <v>0</v>
      </c>
    </row>
    <row r="1044" spans="3:15" ht="13.5">
      <c r="C1044" s="1463" t="s">
        <v>4836</v>
      </c>
      <c r="D1044" s="1460">
        <v>0</v>
      </c>
      <c r="E1044" s="1460">
        <v>0</v>
      </c>
      <c r="F1044" s="1461">
        <v>0</v>
      </c>
      <c r="G1044" s="1472" t="s">
        <v>4836</v>
      </c>
      <c r="H1044" s="1458">
        <v>0</v>
      </c>
      <c r="I1044" s="1458">
        <v>0</v>
      </c>
      <c r="J1044" s="1473">
        <v>0</v>
      </c>
      <c r="K1044" s="1462"/>
      <c r="L1044" s="1456">
        <v>13089023803</v>
      </c>
      <c r="M1044" s="1457">
        <v>0</v>
      </c>
      <c r="N1044" s="1457">
        <v>0</v>
      </c>
      <c r="O1044" s="1457">
        <v>0</v>
      </c>
    </row>
    <row r="1045" spans="3:15" ht="13.5">
      <c r="C1045" s="1463" t="s">
        <v>4837</v>
      </c>
      <c r="D1045" s="1460" t="s">
        <v>3911</v>
      </c>
      <c r="E1045" s="1460" t="s">
        <v>3911</v>
      </c>
      <c r="F1045" s="1461">
        <v>0</v>
      </c>
      <c r="G1045" s="1472" t="s">
        <v>4837</v>
      </c>
      <c r="H1045" s="1458" t="s">
        <v>3911</v>
      </c>
      <c r="I1045" s="1458" t="s">
        <v>3911</v>
      </c>
      <c r="J1045" s="1473">
        <v>0</v>
      </c>
      <c r="K1045" s="1462"/>
      <c r="L1045" s="1456">
        <v>13089980000</v>
      </c>
      <c r="M1045" s="1457">
        <v>0</v>
      </c>
      <c r="N1045" s="1457">
        <v>0</v>
      </c>
      <c r="O1045" s="1457">
        <v>0</v>
      </c>
    </row>
    <row r="1046" spans="3:15" ht="13.5">
      <c r="C1046" s="1463" t="s">
        <v>4838</v>
      </c>
      <c r="D1046" s="1460">
        <v>0</v>
      </c>
      <c r="E1046" s="1460">
        <v>0</v>
      </c>
      <c r="F1046" s="1461">
        <v>0</v>
      </c>
      <c r="G1046" s="1472" t="s">
        <v>4838</v>
      </c>
      <c r="H1046" s="1458">
        <v>0</v>
      </c>
      <c r="I1046" s="1458">
        <v>1</v>
      </c>
      <c r="J1046" s="1473">
        <v>1</v>
      </c>
      <c r="K1046" s="1462"/>
      <c r="L1046" s="1456">
        <v>13091960100</v>
      </c>
      <c r="M1046" s="1457">
        <v>0</v>
      </c>
      <c r="N1046" s="1457">
        <v>1</v>
      </c>
      <c r="O1046" s="1457">
        <v>1</v>
      </c>
    </row>
    <row r="1047" spans="3:15" ht="13.5">
      <c r="C1047" s="1463" t="s">
        <v>4839</v>
      </c>
      <c r="D1047" s="1460">
        <v>0</v>
      </c>
      <c r="E1047" s="1460">
        <v>0</v>
      </c>
      <c r="F1047" s="1461">
        <v>0</v>
      </c>
      <c r="G1047" s="1472" t="s">
        <v>4839</v>
      </c>
      <c r="H1047" s="1458">
        <v>0</v>
      </c>
      <c r="I1047" s="1458">
        <v>0</v>
      </c>
      <c r="J1047" s="1473">
        <v>0</v>
      </c>
      <c r="K1047" s="1462"/>
      <c r="L1047" s="1456">
        <v>13091960200</v>
      </c>
      <c r="M1047" s="1457">
        <v>0</v>
      </c>
      <c r="N1047" s="1457">
        <v>0</v>
      </c>
      <c r="O1047" s="1457">
        <v>0</v>
      </c>
    </row>
    <row r="1048" spans="3:15" ht="13.5">
      <c r="C1048" s="1463" t="s">
        <v>4840</v>
      </c>
      <c r="D1048" s="1460">
        <v>0</v>
      </c>
      <c r="E1048" s="1460">
        <v>1</v>
      </c>
      <c r="F1048" s="1461">
        <v>1</v>
      </c>
      <c r="G1048" s="1472" t="s">
        <v>4840</v>
      </c>
      <c r="H1048" s="1458">
        <v>0</v>
      </c>
      <c r="I1048" s="1458">
        <v>1</v>
      </c>
      <c r="J1048" s="1473">
        <v>1</v>
      </c>
      <c r="K1048" s="1462"/>
      <c r="L1048" s="1456">
        <v>13091960300</v>
      </c>
      <c r="M1048" s="1457">
        <v>0</v>
      </c>
      <c r="N1048" s="1457">
        <v>1</v>
      </c>
      <c r="O1048" s="1457">
        <v>1</v>
      </c>
    </row>
    <row r="1049" spans="3:15" ht="13.5">
      <c r="C1049" s="1463" t="s">
        <v>4841</v>
      </c>
      <c r="D1049" s="1460">
        <v>0</v>
      </c>
      <c r="E1049" s="1460">
        <v>0</v>
      </c>
      <c r="F1049" s="1461">
        <v>0</v>
      </c>
      <c r="G1049" s="1472" t="s">
        <v>4841</v>
      </c>
      <c r="H1049" s="1458">
        <v>0</v>
      </c>
      <c r="I1049" s="1458">
        <v>0</v>
      </c>
      <c r="J1049" s="1473">
        <v>0</v>
      </c>
      <c r="K1049" s="1462"/>
      <c r="L1049" s="1456">
        <v>13091960400</v>
      </c>
      <c r="M1049" s="1457">
        <v>0</v>
      </c>
      <c r="N1049" s="1457">
        <v>0</v>
      </c>
      <c r="O1049" s="1457">
        <v>0</v>
      </c>
    </row>
    <row r="1050" spans="3:15" ht="13.5">
      <c r="C1050" s="1463" t="s">
        <v>4842</v>
      </c>
      <c r="D1050" s="1460">
        <v>0</v>
      </c>
      <c r="E1050" s="1460">
        <v>0</v>
      </c>
      <c r="F1050" s="1461">
        <v>0</v>
      </c>
      <c r="G1050" s="1472" t="s">
        <v>4842</v>
      </c>
      <c r="H1050" s="1458">
        <v>0</v>
      </c>
      <c r="I1050" s="1458" t="s">
        <v>3911</v>
      </c>
      <c r="J1050" s="1473">
        <v>0</v>
      </c>
      <c r="K1050" s="1462"/>
      <c r="L1050" s="1456">
        <v>13091960500</v>
      </c>
      <c r="M1050" s="1457">
        <v>0</v>
      </c>
      <c r="N1050" s="1457">
        <v>0</v>
      </c>
      <c r="O1050" s="1457">
        <v>0</v>
      </c>
    </row>
    <row r="1051" spans="3:15" ht="13.5">
      <c r="C1051" s="1463" t="s">
        <v>4843</v>
      </c>
      <c r="D1051" s="1460">
        <v>0</v>
      </c>
      <c r="E1051" s="1460">
        <v>0</v>
      </c>
      <c r="F1051" s="1461">
        <v>0</v>
      </c>
      <c r="G1051" s="1472" t="s">
        <v>4843</v>
      </c>
      <c r="H1051" s="1458">
        <v>0</v>
      </c>
      <c r="I1051" s="1458">
        <v>0</v>
      </c>
      <c r="J1051" s="1473">
        <v>0</v>
      </c>
      <c r="K1051" s="1462"/>
      <c r="L1051" s="1456">
        <v>13091960600</v>
      </c>
      <c r="M1051" s="1457">
        <v>0</v>
      </c>
      <c r="N1051" s="1457">
        <v>0</v>
      </c>
      <c r="O1051" s="1457">
        <v>0</v>
      </c>
    </row>
    <row r="1052" spans="3:15" ht="13.5">
      <c r="C1052" s="1463" t="s">
        <v>4844</v>
      </c>
      <c r="D1052" s="1460">
        <v>0</v>
      </c>
      <c r="E1052" s="1460">
        <v>0</v>
      </c>
      <c r="F1052" s="1461">
        <v>0</v>
      </c>
      <c r="G1052" s="1472" t="s">
        <v>4844</v>
      </c>
      <c r="H1052" s="1458">
        <v>0</v>
      </c>
      <c r="I1052" s="1458">
        <v>1</v>
      </c>
      <c r="J1052" s="1473">
        <v>1</v>
      </c>
      <c r="K1052" s="1462"/>
      <c r="L1052" s="1456">
        <v>13093970100</v>
      </c>
      <c r="M1052" s="1457">
        <v>0</v>
      </c>
      <c r="N1052" s="1457">
        <v>1</v>
      </c>
      <c r="O1052" s="1457">
        <v>1</v>
      </c>
    </row>
    <row r="1053" spans="3:15" ht="13.5">
      <c r="C1053" s="1463" t="s">
        <v>4845</v>
      </c>
      <c r="D1053" s="1460">
        <v>0</v>
      </c>
      <c r="E1053" s="1460">
        <v>0</v>
      </c>
      <c r="F1053" s="1461">
        <v>0</v>
      </c>
      <c r="G1053" s="1472" t="s">
        <v>4845</v>
      </c>
      <c r="H1053" s="1458">
        <v>0</v>
      </c>
      <c r="I1053" s="1458">
        <v>0</v>
      </c>
      <c r="J1053" s="1473">
        <v>0</v>
      </c>
      <c r="K1053" s="1462"/>
      <c r="L1053" s="1456">
        <v>13093970200</v>
      </c>
      <c r="M1053" s="1457">
        <v>0</v>
      </c>
      <c r="N1053" s="1457">
        <v>0</v>
      </c>
      <c r="O1053" s="1457">
        <v>0</v>
      </c>
    </row>
    <row r="1054" spans="3:15" ht="13.5">
      <c r="C1054" s="1463" t="s">
        <v>4846</v>
      </c>
      <c r="D1054" s="1460">
        <v>0</v>
      </c>
      <c r="E1054" s="1460">
        <v>0</v>
      </c>
      <c r="F1054" s="1461">
        <v>0</v>
      </c>
      <c r="G1054" s="1472" t="s">
        <v>4846</v>
      </c>
      <c r="H1054" s="1458">
        <v>0</v>
      </c>
      <c r="I1054" s="1458">
        <v>1</v>
      </c>
      <c r="J1054" s="1473">
        <v>1</v>
      </c>
      <c r="K1054" s="1462"/>
      <c r="L1054" s="1456">
        <v>13093970300</v>
      </c>
      <c r="M1054" s="1457">
        <v>0</v>
      </c>
      <c r="N1054" s="1457">
        <v>1</v>
      </c>
      <c r="O1054" s="1457">
        <v>1</v>
      </c>
    </row>
    <row r="1055" spans="3:15" ht="13.5">
      <c r="C1055" s="1463" t="s">
        <v>4847</v>
      </c>
      <c r="D1055" s="1460">
        <v>0</v>
      </c>
      <c r="E1055" s="1460">
        <v>0</v>
      </c>
      <c r="F1055" s="1461">
        <v>0</v>
      </c>
      <c r="G1055" s="1472" t="s">
        <v>4847</v>
      </c>
      <c r="H1055" s="1458">
        <v>0</v>
      </c>
      <c r="I1055" s="1458">
        <v>0</v>
      </c>
      <c r="J1055" s="1473">
        <v>0</v>
      </c>
      <c r="K1055" s="1462"/>
      <c r="L1055" s="1456">
        <v>13095000100</v>
      </c>
      <c r="M1055" s="1457">
        <v>0</v>
      </c>
      <c r="N1055" s="1457">
        <v>0</v>
      </c>
      <c r="O1055" s="1457">
        <v>0</v>
      </c>
    </row>
    <row r="1056" spans="3:15" ht="13.5">
      <c r="C1056" s="1463" t="s">
        <v>4848</v>
      </c>
      <c r="D1056" s="1460">
        <v>0</v>
      </c>
      <c r="E1056" s="1460">
        <v>0</v>
      </c>
      <c r="F1056" s="1461">
        <v>0</v>
      </c>
      <c r="G1056" s="1472" t="s">
        <v>4848</v>
      </c>
      <c r="H1056" s="1458">
        <v>0</v>
      </c>
      <c r="I1056" s="1458">
        <v>0</v>
      </c>
      <c r="J1056" s="1473">
        <v>0</v>
      </c>
      <c r="K1056" s="1462"/>
      <c r="L1056" s="1456">
        <v>13095000200</v>
      </c>
      <c r="M1056" s="1457">
        <v>0</v>
      </c>
      <c r="N1056" s="1457">
        <v>0</v>
      </c>
      <c r="O1056" s="1457">
        <v>0</v>
      </c>
    </row>
    <row r="1057" spans="3:15" ht="13.5">
      <c r="C1057" s="1463" t="s">
        <v>4849</v>
      </c>
      <c r="D1057" s="1460">
        <v>0</v>
      </c>
      <c r="E1057" s="1460">
        <v>0</v>
      </c>
      <c r="F1057" s="1461">
        <v>0</v>
      </c>
      <c r="G1057" s="1472" t="s">
        <v>4849</v>
      </c>
      <c r="H1057" s="1458">
        <v>0</v>
      </c>
      <c r="I1057" s="1458">
        <v>1</v>
      </c>
      <c r="J1057" s="1473">
        <v>1</v>
      </c>
      <c r="K1057" s="1462"/>
      <c r="L1057" s="1456">
        <v>13095000400</v>
      </c>
      <c r="M1057" s="1457">
        <v>0</v>
      </c>
      <c r="N1057" s="1457">
        <v>1</v>
      </c>
      <c r="O1057" s="1457">
        <v>1</v>
      </c>
    </row>
    <row r="1058" spans="3:15" ht="13.5">
      <c r="C1058" s="1463" t="s">
        <v>4850</v>
      </c>
      <c r="D1058" s="1460">
        <v>1</v>
      </c>
      <c r="E1058" s="1460">
        <v>0</v>
      </c>
      <c r="F1058" s="1461">
        <v>1</v>
      </c>
      <c r="G1058" s="1472" t="s">
        <v>4850</v>
      </c>
      <c r="H1058" s="1458">
        <v>1</v>
      </c>
      <c r="I1058" s="1458">
        <v>1</v>
      </c>
      <c r="J1058" s="1473">
        <v>2</v>
      </c>
      <c r="K1058" s="1462"/>
      <c r="L1058" s="1456">
        <v>13095000501</v>
      </c>
      <c r="M1058" s="1457">
        <v>1</v>
      </c>
      <c r="N1058" s="1457">
        <v>1</v>
      </c>
      <c r="O1058" s="1457">
        <v>2</v>
      </c>
    </row>
    <row r="1059" spans="3:15" ht="13.5">
      <c r="C1059" s="1463" t="s">
        <v>4851</v>
      </c>
      <c r="D1059" s="1460">
        <v>1</v>
      </c>
      <c r="E1059" s="1460">
        <v>1</v>
      </c>
      <c r="F1059" s="1461">
        <v>2</v>
      </c>
      <c r="G1059" s="1472" t="s">
        <v>4851</v>
      </c>
      <c r="H1059" s="1458">
        <v>1</v>
      </c>
      <c r="I1059" s="1458">
        <v>1</v>
      </c>
      <c r="J1059" s="1473">
        <v>2</v>
      </c>
      <c r="K1059" s="1462"/>
      <c r="L1059" s="1456">
        <v>13095000502</v>
      </c>
      <c r="M1059" s="1457">
        <v>1</v>
      </c>
      <c r="N1059" s="1457">
        <v>1</v>
      </c>
      <c r="O1059" s="1457">
        <v>2</v>
      </c>
    </row>
    <row r="1060" spans="3:15" ht="13.5">
      <c r="C1060" s="1463" t="s">
        <v>4852</v>
      </c>
      <c r="D1060" s="1460">
        <v>0</v>
      </c>
      <c r="E1060" s="1460">
        <v>0</v>
      </c>
      <c r="F1060" s="1461">
        <v>0</v>
      </c>
      <c r="G1060" s="1472" t="s">
        <v>4852</v>
      </c>
      <c r="H1060" s="1458">
        <v>0</v>
      </c>
      <c r="I1060" s="1458">
        <v>0</v>
      </c>
      <c r="J1060" s="1473">
        <v>0</v>
      </c>
      <c r="K1060" s="1462"/>
      <c r="L1060" s="1456">
        <v>13095000600</v>
      </c>
      <c r="M1060" s="1457">
        <v>0</v>
      </c>
      <c r="N1060" s="1457">
        <v>0</v>
      </c>
      <c r="O1060" s="1457">
        <v>0</v>
      </c>
    </row>
    <row r="1061" spans="3:15" ht="13.5">
      <c r="C1061" s="1463" t="s">
        <v>4853</v>
      </c>
      <c r="D1061" s="1460">
        <v>0</v>
      </c>
      <c r="E1061" s="1460">
        <v>0</v>
      </c>
      <c r="F1061" s="1461">
        <v>0</v>
      </c>
      <c r="G1061" s="1472" t="s">
        <v>4853</v>
      </c>
      <c r="H1061" s="1458">
        <v>1</v>
      </c>
      <c r="I1061" s="1458">
        <v>0</v>
      </c>
      <c r="J1061" s="1473">
        <v>1</v>
      </c>
      <c r="K1061" s="1462"/>
      <c r="L1061" s="1456">
        <v>13095000700</v>
      </c>
      <c r="M1061" s="1457">
        <v>1</v>
      </c>
      <c r="N1061" s="1457">
        <v>0</v>
      </c>
      <c r="O1061" s="1457">
        <v>1</v>
      </c>
    </row>
    <row r="1062" spans="3:15" ht="13.5">
      <c r="C1062" s="1463" t="s">
        <v>4854</v>
      </c>
      <c r="D1062" s="1460">
        <v>0</v>
      </c>
      <c r="E1062" s="1460">
        <v>0</v>
      </c>
      <c r="F1062" s="1461">
        <v>0</v>
      </c>
      <c r="G1062" s="1472" t="s">
        <v>4854</v>
      </c>
      <c r="H1062" s="1458">
        <v>0</v>
      </c>
      <c r="I1062" s="1458">
        <v>0</v>
      </c>
      <c r="J1062" s="1473">
        <v>0</v>
      </c>
      <c r="K1062" s="1462"/>
      <c r="L1062" s="1456">
        <v>13095000800</v>
      </c>
      <c r="M1062" s="1457">
        <v>0</v>
      </c>
      <c r="N1062" s="1457">
        <v>0</v>
      </c>
      <c r="O1062" s="1457">
        <v>0</v>
      </c>
    </row>
    <row r="1063" spans="3:15" ht="13.5">
      <c r="C1063" s="1463" t="s">
        <v>4855</v>
      </c>
      <c r="D1063" s="1460">
        <v>0</v>
      </c>
      <c r="E1063" s="1460">
        <v>0</v>
      </c>
      <c r="F1063" s="1461">
        <v>0</v>
      </c>
      <c r="G1063" s="1472" t="s">
        <v>4855</v>
      </c>
      <c r="H1063" s="1458">
        <v>0</v>
      </c>
      <c r="I1063" s="1458">
        <v>0</v>
      </c>
      <c r="J1063" s="1473">
        <v>0</v>
      </c>
      <c r="K1063" s="1462"/>
      <c r="L1063" s="1456">
        <v>13095000900</v>
      </c>
      <c r="M1063" s="1457">
        <v>0</v>
      </c>
      <c r="N1063" s="1457">
        <v>0</v>
      </c>
      <c r="O1063" s="1457">
        <v>0</v>
      </c>
    </row>
    <row r="1064" spans="3:15" ht="13.5">
      <c r="C1064" s="1463" t="s">
        <v>4856</v>
      </c>
      <c r="D1064" s="1460">
        <v>0</v>
      </c>
      <c r="E1064" s="1460">
        <v>0</v>
      </c>
      <c r="F1064" s="1461">
        <v>0</v>
      </c>
      <c r="G1064" s="1472" t="s">
        <v>4856</v>
      </c>
      <c r="H1064" s="1458">
        <v>0</v>
      </c>
      <c r="I1064" s="1458">
        <v>0</v>
      </c>
      <c r="J1064" s="1473">
        <v>0</v>
      </c>
      <c r="K1064" s="1462"/>
      <c r="L1064" s="1456">
        <v>13095001000</v>
      </c>
      <c r="M1064" s="1457">
        <v>0</v>
      </c>
      <c r="N1064" s="1457">
        <v>0</v>
      </c>
      <c r="O1064" s="1457">
        <v>0</v>
      </c>
    </row>
    <row r="1065" spans="3:15" ht="13.5">
      <c r="C1065" s="1463" t="s">
        <v>4857</v>
      </c>
      <c r="D1065" s="1460">
        <v>0</v>
      </c>
      <c r="E1065" s="1460">
        <v>0</v>
      </c>
      <c r="F1065" s="1461">
        <v>0</v>
      </c>
      <c r="G1065" s="1472" t="s">
        <v>4857</v>
      </c>
      <c r="H1065" s="1458">
        <v>0</v>
      </c>
      <c r="I1065" s="1458">
        <v>0</v>
      </c>
      <c r="J1065" s="1473">
        <v>0</v>
      </c>
      <c r="K1065" s="1462"/>
      <c r="L1065" s="1456">
        <v>13095001100</v>
      </c>
      <c r="M1065" s="1457">
        <v>0</v>
      </c>
      <c r="N1065" s="1457">
        <v>0</v>
      </c>
      <c r="O1065" s="1457">
        <v>0</v>
      </c>
    </row>
    <row r="1066" spans="3:15" ht="13.5">
      <c r="C1066" s="1463" t="s">
        <v>4858</v>
      </c>
      <c r="D1066" s="1460">
        <v>0</v>
      </c>
      <c r="E1066" s="1460">
        <v>0</v>
      </c>
      <c r="F1066" s="1461">
        <v>0</v>
      </c>
      <c r="G1066" s="1472" t="s">
        <v>4858</v>
      </c>
      <c r="H1066" s="1458">
        <v>0</v>
      </c>
      <c r="I1066" s="1458" t="s">
        <v>3911</v>
      </c>
      <c r="J1066" s="1473">
        <v>0</v>
      </c>
      <c r="K1066" s="1462"/>
      <c r="L1066" s="1456">
        <v>13095001403</v>
      </c>
      <c r="M1066" s="1457">
        <v>0</v>
      </c>
      <c r="N1066" s="1457">
        <v>0</v>
      </c>
      <c r="O1066" s="1457">
        <v>0</v>
      </c>
    </row>
    <row r="1067" spans="3:15" ht="13.5">
      <c r="C1067" s="1463" t="s">
        <v>4859</v>
      </c>
      <c r="D1067" s="1460">
        <v>0</v>
      </c>
      <c r="E1067" s="1460">
        <v>0</v>
      </c>
      <c r="F1067" s="1461">
        <v>0</v>
      </c>
      <c r="G1067" s="1472" t="s">
        <v>4859</v>
      </c>
      <c r="H1067" s="1458">
        <v>0</v>
      </c>
      <c r="I1067" s="1458">
        <v>0</v>
      </c>
      <c r="J1067" s="1473">
        <v>0</v>
      </c>
      <c r="K1067" s="1462"/>
      <c r="L1067" s="1456">
        <v>13095001500</v>
      </c>
      <c r="M1067" s="1457">
        <v>0</v>
      </c>
      <c r="N1067" s="1457">
        <v>0</v>
      </c>
      <c r="O1067" s="1457">
        <v>0</v>
      </c>
    </row>
    <row r="1068" spans="3:15" ht="13.5">
      <c r="C1068" s="1463" t="s">
        <v>4860</v>
      </c>
      <c r="D1068" s="1460">
        <v>0</v>
      </c>
      <c r="E1068" s="1460">
        <v>0</v>
      </c>
      <c r="F1068" s="1461">
        <v>0</v>
      </c>
      <c r="G1068" s="1472" t="s">
        <v>4860</v>
      </c>
      <c r="H1068" s="1458">
        <v>0</v>
      </c>
      <c r="I1068" s="1458">
        <v>0</v>
      </c>
      <c r="J1068" s="1473">
        <v>0</v>
      </c>
      <c r="K1068" s="1462"/>
      <c r="L1068" s="1456">
        <v>13095010302</v>
      </c>
      <c r="M1068" s="1457">
        <v>0</v>
      </c>
      <c r="N1068" s="1457">
        <v>0</v>
      </c>
      <c r="O1068" s="1457">
        <v>0</v>
      </c>
    </row>
    <row r="1069" spans="3:15" ht="13.5">
      <c r="C1069" s="1463" t="s">
        <v>4861</v>
      </c>
      <c r="D1069" s="1460">
        <v>1</v>
      </c>
      <c r="E1069" s="1460">
        <v>1</v>
      </c>
      <c r="F1069" s="1461">
        <v>2</v>
      </c>
      <c r="G1069" s="1472" t="s">
        <v>4861</v>
      </c>
      <c r="H1069" s="1458">
        <v>1</v>
      </c>
      <c r="I1069" s="1458">
        <v>1</v>
      </c>
      <c r="J1069" s="1473">
        <v>2</v>
      </c>
      <c r="K1069" s="1462"/>
      <c r="L1069" s="1456">
        <v>13095010401</v>
      </c>
      <c r="M1069" s="1457">
        <v>1</v>
      </c>
      <c r="N1069" s="1457">
        <v>1</v>
      </c>
      <c r="O1069" s="1457">
        <v>2</v>
      </c>
    </row>
    <row r="1070" spans="3:15" ht="13.5">
      <c r="C1070" s="1463" t="s">
        <v>4862</v>
      </c>
      <c r="D1070" s="1460">
        <v>0</v>
      </c>
      <c r="E1070" s="1460">
        <v>0</v>
      </c>
      <c r="F1070" s="1461">
        <v>0</v>
      </c>
      <c r="G1070" s="1472" t="s">
        <v>4862</v>
      </c>
      <c r="H1070" s="1458">
        <v>0</v>
      </c>
      <c r="I1070" s="1458">
        <v>1</v>
      </c>
      <c r="J1070" s="1473">
        <v>1</v>
      </c>
      <c r="K1070" s="1462"/>
      <c r="L1070" s="1456">
        <v>13095010402</v>
      </c>
      <c r="M1070" s="1457">
        <v>0</v>
      </c>
      <c r="N1070" s="1457">
        <v>1</v>
      </c>
      <c r="O1070" s="1457">
        <v>1</v>
      </c>
    </row>
    <row r="1071" spans="3:15" ht="13.5">
      <c r="C1071" s="1463" t="s">
        <v>4863</v>
      </c>
      <c r="D1071" s="1460">
        <v>1</v>
      </c>
      <c r="E1071" s="1460">
        <v>1</v>
      </c>
      <c r="F1071" s="1461">
        <v>2</v>
      </c>
      <c r="G1071" s="1472" t="s">
        <v>4863</v>
      </c>
      <c r="H1071" s="1458">
        <v>1</v>
      </c>
      <c r="I1071" s="1458">
        <v>0</v>
      </c>
      <c r="J1071" s="1473">
        <v>1</v>
      </c>
      <c r="K1071" s="1462"/>
      <c r="L1071" s="1456">
        <v>13095010403</v>
      </c>
      <c r="M1071" s="1457">
        <v>1</v>
      </c>
      <c r="N1071" s="1457">
        <v>1</v>
      </c>
      <c r="O1071" s="1457">
        <v>2</v>
      </c>
    </row>
    <row r="1072" spans="3:15" ht="13.5">
      <c r="C1072" s="1463" t="s">
        <v>4864</v>
      </c>
      <c r="D1072" s="1460">
        <v>0</v>
      </c>
      <c r="E1072" s="1460">
        <v>0</v>
      </c>
      <c r="F1072" s="1461">
        <v>0</v>
      </c>
      <c r="G1072" s="1472" t="s">
        <v>4864</v>
      </c>
      <c r="H1072" s="1458">
        <v>0</v>
      </c>
      <c r="I1072" s="1458">
        <v>0</v>
      </c>
      <c r="J1072" s="1473">
        <v>0</v>
      </c>
      <c r="K1072" s="1462"/>
      <c r="L1072" s="1456">
        <v>13095010500</v>
      </c>
      <c r="M1072" s="1457">
        <v>0</v>
      </c>
      <c r="N1072" s="1457">
        <v>0</v>
      </c>
      <c r="O1072" s="1457">
        <v>0</v>
      </c>
    </row>
    <row r="1073" spans="3:15" ht="13.5">
      <c r="C1073" s="1463" t="s">
        <v>4865</v>
      </c>
      <c r="D1073" s="1460">
        <v>0</v>
      </c>
      <c r="E1073" s="1460">
        <v>0</v>
      </c>
      <c r="F1073" s="1461">
        <v>0</v>
      </c>
      <c r="G1073" s="1472" t="s">
        <v>4865</v>
      </c>
      <c r="H1073" s="1458">
        <v>0</v>
      </c>
      <c r="I1073" s="1458">
        <v>0</v>
      </c>
      <c r="J1073" s="1473">
        <v>0</v>
      </c>
      <c r="K1073" s="1462"/>
      <c r="L1073" s="1456">
        <v>13095010601</v>
      </c>
      <c r="M1073" s="1457">
        <v>0</v>
      </c>
      <c r="N1073" s="1457">
        <v>0</v>
      </c>
      <c r="O1073" s="1457">
        <v>0</v>
      </c>
    </row>
    <row r="1074" spans="3:15" ht="13.5">
      <c r="C1074" s="1463" t="s">
        <v>4866</v>
      </c>
      <c r="D1074" s="1460">
        <v>0</v>
      </c>
      <c r="E1074" s="1460">
        <v>0</v>
      </c>
      <c r="F1074" s="1461">
        <v>0</v>
      </c>
      <c r="G1074" s="1472" t="s">
        <v>4866</v>
      </c>
      <c r="H1074" s="1458">
        <v>0</v>
      </c>
      <c r="I1074" s="1458">
        <v>0</v>
      </c>
      <c r="J1074" s="1473">
        <v>0</v>
      </c>
      <c r="K1074" s="1462"/>
      <c r="L1074" s="1456">
        <v>13095010602</v>
      </c>
      <c r="M1074" s="1457">
        <v>0</v>
      </c>
      <c r="N1074" s="1457">
        <v>0</v>
      </c>
      <c r="O1074" s="1457">
        <v>0</v>
      </c>
    </row>
    <row r="1075" spans="3:15" ht="13.5">
      <c r="C1075" s="1463" t="s">
        <v>4867</v>
      </c>
      <c r="D1075" s="1460">
        <v>0</v>
      </c>
      <c r="E1075" s="1460">
        <v>0</v>
      </c>
      <c r="F1075" s="1461">
        <v>0</v>
      </c>
      <c r="G1075" s="1472" t="s">
        <v>4867</v>
      </c>
      <c r="H1075" s="1458">
        <v>0</v>
      </c>
      <c r="I1075" s="1458">
        <v>0</v>
      </c>
      <c r="J1075" s="1473">
        <v>0</v>
      </c>
      <c r="K1075" s="1462"/>
      <c r="L1075" s="1456">
        <v>13095010700</v>
      </c>
      <c r="M1075" s="1457">
        <v>0</v>
      </c>
      <c r="N1075" s="1457">
        <v>0</v>
      </c>
      <c r="O1075" s="1457">
        <v>0</v>
      </c>
    </row>
    <row r="1076" spans="3:15" ht="13.5">
      <c r="C1076" s="1463" t="s">
        <v>4868</v>
      </c>
      <c r="D1076" s="1460">
        <v>0</v>
      </c>
      <c r="E1076" s="1460">
        <v>0</v>
      </c>
      <c r="F1076" s="1461">
        <v>0</v>
      </c>
      <c r="G1076" s="1472" t="s">
        <v>4868</v>
      </c>
      <c r="H1076" s="1458">
        <v>0</v>
      </c>
      <c r="I1076" s="1458">
        <v>1</v>
      </c>
      <c r="J1076" s="1473">
        <v>1</v>
      </c>
      <c r="K1076" s="1462"/>
      <c r="L1076" s="1456">
        <v>13095010900</v>
      </c>
      <c r="M1076" s="1457">
        <v>0</v>
      </c>
      <c r="N1076" s="1457">
        <v>1</v>
      </c>
      <c r="O1076" s="1457">
        <v>1</v>
      </c>
    </row>
    <row r="1077" spans="3:15" ht="13.5">
      <c r="C1077" s="1463" t="s">
        <v>4869</v>
      </c>
      <c r="D1077" s="1460">
        <v>0</v>
      </c>
      <c r="E1077" s="1460">
        <v>0</v>
      </c>
      <c r="F1077" s="1461">
        <v>0</v>
      </c>
      <c r="G1077" s="1472" t="s">
        <v>4869</v>
      </c>
      <c r="H1077" s="1458">
        <v>0</v>
      </c>
      <c r="I1077" s="1458">
        <v>0</v>
      </c>
      <c r="J1077" s="1473">
        <v>0</v>
      </c>
      <c r="K1077" s="1462"/>
      <c r="L1077" s="1456">
        <v>13095011000</v>
      </c>
      <c r="M1077" s="1457">
        <v>0</v>
      </c>
      <c r="N1077" s="1457">
        <v>0</v>
      </c>
      <c r="O1077" s="1457">
        <v>0</v>
      </c>
    </row>
    <row r="1078" spans="3:15" ht="13.5">
      <c r="C1078" s="1463" t="s">
        <v>4870</v>
      </c>
      <c r="D1078" s="1460">
        <v>0</v>
      </c>
      <c r="E1078" s="1460">
        <v>0</v>
      </c>
      <c r="F1078" s="1461">
        <v>0</v>
      </c>
      <c r="G1078" s="1472" t="s">
        <v>4870</v>
      </c>
      <c r="H1078" s="1458">
        <v>0</v>
      </c>
      <c r="I1078" s="1458">
        <v>0</v>
      </c>
      <c r="J1078" s="1473">
        <v>0</v>
      </c>
      <c r="K1078" s="1462"/>
      <c r="L1078" s="1456">
        <v>13095011200</v>
      </c>
      <c r="M1078" s="1457">
        <v>0</v>
      </c>
      <c r="N1078" s="1457">
        <v>0</v>
      </c>
      <c r="O1078" s="1457">
        <v>0</v>
      </c>
    </row>
    <row r="1079" spans="3:15" ht="13.5">
      <c r="C1079" s="1463" t="s">
        <v>4871</v>
      </c>
      <c r="D1079" s="1460">
        <v>0</v>
      </c>
      <c r="E1079" s="1460">
        <v>0</v>
      </c>
      <c r="F1079" s="1461">
        <v>0</v>
      </c>
      <c r="G1079" s="1472" t="s">
        <v>4871</v>
      </c>
      <c r="H1079" s="1458">
        <v>0</v>
      </c>
      <c r="I1079" s="1458">
        <v>0</v>
      </c>
      <c r="J1079" s="1473">
        <v>0</v>
      </c>
      <c r="K1079" s="1462"/>
      <c r="L1079" s="1456">
        <v>13095011300</v>
      </c>
      <c r="M1079" s="1457">
        <v>0</v>
      </c>
      <c r="N1079" s="1457">
        <v>0</v>
      </c>
      <c r="O1079" s="1457">
        <v>0</v>
      </c>
    </row>
    <row r="1080" spans="3:15" ht="13.5">
      <c r="C1080" s="1463" t="s">
        <v>4872</v>
      </c>
      <c r="D1080" s="1460">
        <v>0</v>
      </c>
      <c r="E1080" s="1460">
        <v>0</v>
      </c>
      <c r="F1080" s="1461">
        <v>0</v>
      </c>
      <c r="G1080" s="1472" t="s">
        <v>4872</v>
      </c>
      <c r="H1080" s="1458">
        <v>0</v>
      </c>
      <c r="I1080" s="1458">
        <v>0</v>
      </c>
      <c r="J1080" s="1473">
        <v>0</v>
      </c>
      <c r="K1080" s="1462"/>
      <c r="L1080" s="1456">
        <v>13095011400</v>
      </c>
      <c r="M1080" s="1457">
        <v>0</v>
      </c>
      <c r="N1080" s="1457">
        <v>0</v>
      </c>
      <c r="O1080" s="1457">
        <v>0</v>
      </c>
    </row>
    <row r="1081" spans="3:15" ht="13.5">
      <c r="C1081" s="1463" t="s">
        <v>4873</v>
      </c>
      <c r="D1081" s="1460">
        <v>0</v>
      </c>
      <c r="E1081" s="1460">
        <v>1</v>
      </c>
      <c r="F1081" s="1461">
        <v>1</v>
      </c>
      <c r="G1081" s="1472" t="s">
        <v>4873</v>
      </c>
      <c r="H1081" s="1458">
        <v>0</v>
      </c>
      <c r="I1081" s="1458">
        <v>0</v>
      </c>
      <c r="J1081" s="1473">
        <v>0</v>
      </c>
      <c r="K1081" s="1462"/>
      <c r="L1081" s="1456">
        <v>13095011600</v>
      </c>
      <c r="M1081" s="1457">
        <v>0</v>
      </c>
      <c r="N1081" s="1457">
        <v>1</v>
      </c>
      <c r="O1081" s="1457">
        <v>1</v>
      </c>
    </row>
    <row r="1082" spans="3:15" ht="13.5">
      <c r="C1082" s="1463" t="s">
        <v>4874</v>
      </c>
      <c r="D1082" s="1460">
        <v>0</v>
      </c>
      <c r="E1082" s="1460">
        <v>1</v>
      </c>
      <c r="F1082" s="1461">
        <v>1</v>
      </c>
      <c r="G1082" s="1472" t="s">
        <v>4874</v>
      </c>
      <c r="H1082" s="1458">
        <v>1</v>
      </c>
      <c r="I1082" s="1458">
        <v>1</v>
      </c>
      <c r="J1082" s="1473">
        <v>2</v>
      </c>
      <c r="K1082" s="1462"/>
      <c r="L1082" s="1456">
        <v>13097080102</v>
      </c>
      <c r="M1082" s="1457">
        <v>1</v>
      </c>
      <c r="N1082" s="1457">
        <v>1</v>
      </c>
      <c r="O1082" s="1457">
        <v>2</v>
      </c>
    </row>
    <row r="1083" spans="3:15" ht="13.5">
      <c r="C1083" s="1463" t="s">
        <v>4875</v>
      </c>
      <c r="D1083" s="1460">
        <v>0</v>
      </c>
      <c r="E1083" s="1460">
        <v>0</v>
      </c>
      <c r="F1083" s="1461">
        <v>0</v>
      </c>
      <c r="G1083" s="1472" t="s">
        <v>4875</v>
      </c>
      <c r="H1083" s="1458">
        <v>1</v>
      </c>
      <c r="I1083" s="1458">
        <v>0</v>
      </c>
      <c r="J1083" s="1473">
        <v>1</v>
      </c>
      <c r="K1083" s="1462"/>
      <c r="L1083" s="1456">
        <v>13097080103</v>
      </c>
      <c r="M1083" s="1457">
        <v>1</v>
      </c>
      <c r="N1083" s="1457">
        <v>0</v>
      </c>
      <c r="O1083" s="1457">
        <v>1</v>
      </c>
    </row>
    <row r="1084" spans="3:15" ht="13.5">
      <c r="C1084" s="1463" t="s">
        <v>4876</v>
      </c>
      <c r="D1084" s="1460">
        <v>0</v>
      </c>
      <c r="E1084" s="1460">
        <v>1</v>
      </c>
      <c r="F1084" s="1461">
        <v>1</v>
      </c>
      <c r="G1084" s="1472" t="s">
        <v>4876</v>
      </c>
      <c r="H1084" s="1458">
        <v>0</v>
      </c>
      <c r="I1084" s="1458">
        <v>0</v>
      </c>
      <c r="J1084" s="1473">
        <v>0</v>
      </c>
      <c r="K1084" s="1462"/>
      <c r="L1084" s="1456">
        <v>13097080201</v>
      </c>
      <c r="M1084" s="1457">
        <v>0</v>
      </c>
      <c r="N1084" s="1457">
        <v>1</v>
      </c>
      <c r="O1084" s="1457">
        <v>1</v>
      </c>
    </row>
    <row r="1085" spans="3:15" ht="13.5">
      <c r="C1085" s="1463" t="s">
        <v>4877</v>
      </c>
      <c r="D1085" s="1460">
        <v>0</v>
      </c>
      <c r="E1085" s="1460">
        <v>0</v>
      </c>
      <c r="F1085" s="1461">
        <v>0</v>
      </c>
      <c r="G1085" s="1472" t="s">
        <v>4877</v>
      </c>
      <c r="H1085" s="1458">
        <v>0</v>
      </c>
      <c r="I1085" s="1458">
        <v>0</v>
      </c>
      <c r="J1085" s="1473">
        <v>0</v>
      </c>
      <c r="K1085" s="1462"/>
      <c r="L1085" s="1456">
        <v>13097080202</v>
      </c>
      <c r="M1085" s="1457">
        <v>0</v>
      </c>
      <c r="N1085" s="1457">
        <v>0</v>
      </c>
      <c r="O1085" s="1457">
        <v>0</v>
      </c>
    </row>
    <row r="1086" spans="3:15" ht="13.5">
      <c r="C1086" s="1463" t="s">
        <v>4878</v>
      </c>
      <c r="D1086" s="1460">
        <v>0</v>
      </c>
      <c r="E1086" s="1460">
        <v>0</v>
      </c>
      <c r="F1086" s="1461">
        <v>0</v>
      </c>
      <c r="G1086" s="1472" t="s">
        <v>4878</v>
      </c>
      <c r="H1086" s="1458">
        <v>0</v>
      </c>
      <c r="I1086" s="1458">
        <v>0</v>
      </c>
      <c r="J1086" s="1473">
        <v>0</v>
      </c>
      <c r="K1086" s="1462"/>
      <c r="L1086" s="1456">
        <v>13097080301</v>
      </c>
      <c r="M1086" s="1457">
        <v>0</v>
      </c>
      <c r="N1086" s="1457">
        <v>0</v>
      </c>
      <c r="O1086" s="1457">
        <v>0</v>
      </c>
    </row>
    <row r="1087" spans="3:15" ht="13.5">
      <c r="C1087" s="1463" t="s">
        <v>4879</v>
      </c>
      <c r="D1087" s="1460">
        <v>0</v>
      </c>
      <c r="E1087" s="1460">
        <v>0</v>
      </c>
      <c r="F1087" s="1461">
        <v>0</v>
      </c>
      <c r="G1087" s="1472" t="s">
        <v>4879</v>
      </c>
      <c r="H1087" s="1458">
        <v>1</v>
      </c>
      <c r="I1087" s="1458">
        <v>0</v>
      </c>
      <c r="J1087" s="1473">
        <v>1</v>
      </c>
      <c r="K1087" s="1462"/>
      <c r="L1087" s="1456">
        <v>13097080303</v>
      </c>
      <c r="M1087" s="1457">
        <v>1</v>
      </c>
      <c r="N1087" s="1457">
        <v>0</v>
      </c>
      <c r="O1087" s="1457">
        <v>1</v>
      </c>
    </row>
    <row r="1088" spans="3:15" ht="13.5">
      <c r="C1088" s="1463" t="s">
        <v>4880</v>
      </c>
      <c r="D1088" s="1460">
        <v>0</v>
      </c>
      <c r="E1088" s="1460">
        <v>0</v>
      </c>
      <c r="F1088" s="1461">
        <v>0</v>
      </c>
      <c r="G1088" s="1472" t="s">
        <v>4880</v>
      </c>
      <c r="H1088" s="1458">
        <v>0</v>
      </c>
      <c r="I1088" s="1458">
        <v>0</v>
      </c>
      <c r="J1088" s="1473">
        <v>0</v>
      </c>
      <c r="K1088" s="1462"/>
      <c r="L1088" s="1456">
        <v>13097080304</v>
      </c>
      <c r="M1088" s="1457">
        <v>0</v>
      </c>
      <c r="N1088" s="1457">
        <v>0</v>
      </c>
      <c r="O1088" s="1457">
        <v>0</v>
      </c>
    </row>
    <row r="1089" spans="3:15" ht="13.5">
      <c r="C1089" s="1463" t="s">
        <v>4881</v>
      </c>
      <c r="D1089" s="1460">
        <v>1</v>
      </c>
      <c r="E1089" s="1460">
        <v>1</v>
      </c>
      <c r="F1089" s="1461">
        <v>2</v>
      </c>
      <c r="G1089" s="1472" t="s">
        <v>4881</v>
      </c>
      <c r="H1089" s="1458">
        <v>1</v>
      </c>
      <c r="I1089" s="1458">
        <v>1</v>
      </c>
      <c r="J1089" s="1473">
        <v>2</v>
      </c>
      <c r="K1089" s="1462"/>
      <c r="L1089" s="1456">
        <v>13097080402</v>
      </c>
      <c r="M1089" s="1457">
        <v>1</v>
      </c>
      <c r="N1089" s="1457">
        <v>1</v>
      </c>
      <c r="O1089" s="1457">
        <v>2</v>
      </c>
    </row>
    <row r="1090" spans="3:15" ht="13.5">
      <c r="C1090" s="1463" t="s">
        <v>4882</v>
      </c>
      <c r="D1090" s="1460">
        <v>1</v>
      </c>
      <c r="E1090" s="1460">
        <v>1</v>
      </c>
      <c r="F1090" s="1461">
        <v>2</v>
      </c>
      <c r="G1090" s="1472" t="s">
        <v>4882</v>
      </c>
      <c r="H1090" s="1458">
        <v>1</v>
      </c>
      <c r="I1090" s="1458">
        <v>1</v>
      </c>
      <c r="J1090" s="1473">
        <v>2</v>
      </c>
      <c r="K1090" s="1462"/>
      <c r="L1090" s="1456">
        <v>13097080403</v>
      </c>
      <c r="M1090" s="1457">
        <v>1</v>
      </c>
      <c r="N1090" s="1457">
        <v>1</v>
      </c>
      <c r="O1090" s="1457">
        <v>2</v>
      </c>
    </row>
    <row r="1091" spans="3:15" ht="13.5">
      <c r="C1091" s="1463" t="s">
        <v>4883</v>
      </c>
      <c r="D1091" s="1460">
        <v>0</v>
      </c>
      <c r="E1091" s="1460">
        <v>0</v>
      </c>
      <c r="F1091" s="1461">
        <v>0</v>
      </c>
      <c r="G1091" s="1472" t="s">
        <v>4883</v>
      </c>
      <c r="H1091" s="1458">
        <v>0</v>
      </c>
      <c r="I1091" s="1458">
        <v>0</v>
      </c>
      <c r="J1091" s="1473">
        <v>0</v>
      </c>
      <c r="K1091" s="1462"/>
      <c r="L1091" s="1456">
        <v>13097080404</v>
      </c>
      <c r="M1091" s="1457">
        <v>0</v>
      </c>
      <c r="N1091" s="1457">
        <v>0</v>
      </c>
      <c r="O1091" s="1457">
        <v>0</v>
      </c>
    </row>
    <row r="1092" spans="3:15" ht="13.5">
      <c r="C1092" s="1463" t="s">
        <v>4884</v>
      </c>
      <c r="D1092" s="1460">
        <v>0</v>
      </c>
      <c r="E1092" s="1460">
        <v>1</v>
      </c>
      <c r="F1092" s="1461">
        <v>1</v>
      </c>
      <c r="G1092" s="1472" t="s">
        <v>4884</v>
      </c>
      <c r="H1092" s="1458">
        <v>0</v>
      </c>
      <c r="I1092" s="1458">
        <v>0</v>
      </c>
      <c r="J1092" s="1473">
        <v>0</v>
      </c>
      <c r="K1092" s="1462"/>
      <c r="L1092" s="1456">
        <v>13097080505</v>
      </c>
      <c r="M1092" s="1457">
        <v>0</v>
      </c>
      <c r="N1092" s="1457">
        <v>1</v>
      </c>
      <c r="O1092" s="1457">
        <v>1</v>
      </c>
    </row>
    <row r="1093" spans="3:15" ht="13.5">
      <c r="C1093" s="1463" t="s">
        <v>4885</v>
      </c>
      <c r="D1093" s="1460">
        <v>1</v>
      </c>
      <c r="E1093" s="1460">
        <v>1</v>
      </c>
      <c r="F1093" s="1461">
        <v>2</v>
      </c>
      <c r="G1093" s="1472" t="s">
        <v>4885</v>
      </c>
      <c r="H1093" s="1458">
        <v>0</v>
      </c>
      <c r="I1093" s="1458">
        <v>0</v>
      </c>
      <c r="J1093" s="1473">
        <v>0</v>
      </c>
      <c r="K1093" s="1462"/>
      <c r="L1093" s="1456">
        <v>13097080506</v>
      </c>
      <c r="M1093" s="1457">
        <v>1</v>
      </c>
      <c r="N1093" s="1457">
        <v>1</v>
      </c>
      <c r="O1093" s="1457">
        <v>2</v>
      </c>
    </row>
    <row r="1094" spans="3:15" ht="13.5">
      <c r="C1094" s="1463" t="s">
        <v>4886</v>
      </c>
      <c r="D1094" s="1460">
        <v>1</v>
      </c>
      <c r="E1094" s="1460">
        <v>1</v>
      </c>
      <c r="F1094" s="1461">
        <v>2</v>
      </c>
      <c r="G1094" s="1472" t="s">
        <v>4886</v>
      </c>
      <c r="H1094" s="1458">
        <v>1</v>
      </c>
      <c r="I1094" s="1458">
        <v>0</v>
      </c>
      <c r="J1094" s="1473">
        <v>1</v>
      </c>
      <c r="K1094" s="1462"/>
      <c r="L1094" s="1456">
        <v>13097080507</v>
      </c>
      <c r="M1094" s="1457">
        <v>1</v>
      </c>
      <c r="N1094" s="1457">
        <v>1</v>
      </c>
      <c r="O1094" s="1457">
        <v>2</v>
      </c>
    </row>
    <row r="1095" spans="3:15" ht="13.5">
      <c r="C1095" s="1463" t="s">
        <v>4887</v>
      </c>
      <c r="D1095" s="1460">
        <v>0</v>
      </c>
      <c r="E1095" s="1460">
        <v>1</v>
      </c>
      <c r="F1095" s="1461">
        <v>1</v>
      </c>
      <c r="G1095" s="1472" t="s">
        <v>4887</v>
      </c>
      <c r="H1095" s="1458">
        <v>0</v>
      </c>
      <c r="I1095" s="1458">
        <v>0</v>
      </c>
      <c r="J1095" s="1473">
        <v>0</v>
      </c>
      <c r="K1095" s="1462"/>
      <c r="L1095" s="1456">
        <v>13097080508</v>
      </c>
      <c r="M1095" s="1457">
        <v>0</v>
      </c>
      <c r="N1095" s="1457">
        <v>1</v>
      </c>
      <c r="O1095" s="1457">
        <v>1</v>
      </c>
    </row>
    <row r="1096" spans="3:15" ht="13.5">
      <c r="C1096" s="1463" t="s">
        <v>4888</v>
      </c>
      <c r="D1096" s="1460">
        <v>1</v>
      </c>
      <c r="E1096" s="1460">
        <v>1</v>
      </c>
      <c r="F1096" s="1461">
        <v>2</v>
      </c>
      <c r="G1096" s="1472" t="s">
        <v>4888</v>
      </c>
      <c r="H1096" s="1458">
        <v>1</v>
      </c>
      <c r="I1096" s="1458">
        <v>1</v>
      </c>
      <c r="J1096" s="1473">
        <v>2</v>
      </c>
      <c r="K1096" s="1462"/>
      <c r="L1096" s="1456">
        <v>13097080509</v>
      </c>
      <c r="M1096" s="1457">
        <v>1</v>
      </c>
      <c r="N1096" s="1457">
        <v>1</v>
      </c>
      <c r="O1096" s="1457">
        <v>2</v>
      </c>
    </row>
    <row r="1097" spans="3:15" ht="13.5">
      <c r="C1097" s="1463" t="s">
        <v>4889</v>
      </c>
      <c r="D1097" s="1460">
        <v>1</v>
      </c>
      <c r="E1097" s="1460">
        <v>1</v>
      </c>
      <c r="F1097" s="1461">
        <v>2</v>
      </c>
      <c r="G1097" s="1472" t="s">
        <v>4889</v>
      </c>
      <c r="H1097" s="1458">
        <v>0</v>
      </c>
      <c r="I1097" s="1458">
        <v>1</v>
      </c>
      <c r="J1097" s="1473">
        <v>1</v>
      </c>
      <c r="K1097" s="1462"/>
      <c r="L1097" s="1456">
        <v>13097080510</v>
      </c>
      <c r="M1097" s="1457">
        <v>1</v>
      </c>
      <c r="N1097" s="1457">
        <v>1</v>
      </c>
      <c r="O1097" s="1457">
        <v>2</v>
      </c>
    </row>
    <row r="1098" spans="3:15" ht="13.5">
      <c r="C1098" s="1463" t="s">
        <v>4890</v>
      </c>
      <c r="D1098" s="1460">
        <v>1</v>
      </c>
      <c r="E1098" s="1460">
        <v>1</v>
      </c>
      <c r="F1098" s="1461">
        <v>2</v>
      </c>
      <c r="G1098" s="1472" t="s">
        <v>4890</v>
      </c>
      <c r="H1098" s="1458">
        <v>1</v>
      </c>
      <c r="I1098" s="1458">
        <v>1</v>
      </c>
      <c r="J1098" s="1473">
        <v>2</v>
      </c>
      <c r="K1098" s="1462"/>
      <c r="L1098" s="1456">
        <v>13097080511</v>
      </c>
      <c r="M1098" s="1457">
        <v>1</v>
      </c>
      <c r="N1098" s="1457">
        <v>1</v>
      </c>
      <c r="O1098" s="1457">
        <v>2</v>
      </c>
    </row>
    <row r="1099" spans="3:15" ht="13.5">
      <c r="C1099" s="1463" t="s">
        <v>4891</v>
      </c>
      <c r="D1099" s="1460">
        <v>1</v>
      </c>
      <c r="E1099" s="1460">
        <v>1</v>
      </c>
      <c r="F1099" s="1461">
        <v>2</v>
      </c>
      <c r="G1099" s="1472" t="s">
        <v>4891</v>
      </c>
      <c r="H1099" s="1458">
        <v>1</v>
      </c>
      <c r="I1099" s="1458">
        <v>1</v>
      </c>
      <c r="J1099" s="1473">
        <v>1</v>
      </c>
      <c r="K1099" s="1462"/>
      <c r="L1099" s="1456">
        <v>13097080602</v>
      </c>
      <c r="M1099" s="1457">
        <v>1</v>
      </c>
      <c r="N1099" s="1457">
        <v>1</v>
      </c>
      <c r="O1099" s="1457">
        <v>2</v>
      </c>
    </row>
    <row r="1100" spans="3:15" ht="13.5">
      <c r="C1100" s="1463" t="s">
        <v>4892</v>
      </c>
      <c r="D1100" s="1460">
        <v>1</v>
      </c>
      <c r="E1100" s="1460">
        <v>1</v>
      </c>
      <c r="F1100" s="1461">
        <v>2</v>
      </c>
      <c r="G1100" s="1472" t="s">
        <v>4892</v>
      </c>
      <c r="H1100" s="1458">
        <v>1</v>
      </c>
      <c r="I1100" s="1458">
        <v>0</v>
      </c>
      <c r="J1100" s="1473">
        <v>1</v>
      </c>
      <c r="K1100" s="1462"/>
      <c r="L1100" s="1456">
        <v>13097080603</v>
      </c>
      <c r="M1100" s="1457">
        <v>1</v>
      </c>
      <c r="N1100" s="1457">
        <v>1</v>
      </c>
      <c r="O1100" s="1457">
        <v>2</v>
      </c>
    </row>
    <row r="1101" spans="3:15" ht="13.5">
      <c r="C1101" s="1463" t="s">
        <v>4893</v>
      </c>
      <c r="D1101" s="1460">
        <v>1</v>
      </c>
      <c r="E1101" s="1460">
        <v>1</v>
      </c>
      <c r="F1101" s="1461">
        <v>2</v>
      </c>
      <c r="G1101" s="1472" t="s">
        <v>4893</v>
      </c>
      <c r="H1101" s="1458">
        <v>1</v>
      </c>
      <c r="I1101" s="1458">
        <v>0</v>
      </c>
      <c r="J1101" s="1473">
        <v>1</v>
      </c>
      <c r="K1101" s="1462"/>
      <c r="L1101" s="1456">
        <v>13097080604</v>
      </c>
      <c r="M1101" s="1457">
        <v>1</v>
      </c>
      <c r="N1101" s="1457">
        <v>1</v>
      </c>
      <c r="O1101" s="1457">
        <v>2</v>
      </c>
    </row>
    <row r="1102" spans="3:15" ht="13.5">
      <c r="C1102" s="1463" t="s">
        <v>4894</v>
      </c>
      <c r="D1102" s="1460">
        <v>0</v>
      </c>
      <c r="E1102" s="1460">
        <v>0</v>
      </c>
      <c r="F1102" s="1461">
        <v>0</v>
      </c>
      <c r="G1102" s="1472" t="s">
        <v>4894</v>
      </c>
      <c r="H1102" s="1458">
        <v>0</v>
      </c>
      <c r="I1102" s="1458">
        <v>0</v>
      </c>
      <c r="J1102" s="1473">
        <v>0</v>
      </c>
      <c r="K1102" s="1462"/>
      <c r="L1102" s="1456">
        <v>13099090100</v>
      </c>
      <c r="M1102" s="1457">
        <v>0</v>
      </c>
      <c r="N1102" s="1457">
        <v>0</v>
      </c>
      <c r="O1102" s="1457">
        <v>0</v>
      </c>
    </row>
    <row r="1103" spans="3:15" ht="13.5">
      <c r="C1103" s="1463" t="s">
        <v>4895</v>
      </c>
      <c r="D1103" s="1460">
        <v>0</v>
      </c>
      <c r="E1103" s="1460">
        <v>0</v>
      </c>
      <c r="F1103" s="1461">
        <v>0</v>
      </c>
      <c r="G1103" s="1472" t="s">
        <v>4895</v>
      </c>
      <c r="H1103" s="1458">
        <v>0</v>
      </c>
      <c r="I1103" s="1458">
        <v>0</v>
      </c>
      <c r="J1103" s="1473">
        <v>0</v>
      </c>
      <c r="K1103" s="1462"/>
      <c r="L1103" s="1456">
        <v>13099090200</v>
      </c>
      <c r="M1103" s="1457">
        <v>0</v>
      </c>
      <c r="N1103" s="1457">
        <v>0</v>
      </c>
      <c r="O1103" s="1457">
        <v>0</v>
      </c>
    </row>
    <row r="1104" spans="3:15" ht="13.5">
      <c r="C1104" s="1463" t="s">
        <v>4896</v>
      </c>
      <c r="D1104" s="1460">
        <v>1</v>
      </c>
      <c r="E1104" s="1460">
        <v>0</v>
      </c>
      <c r="F1104" s="1461">
        <v>1</v>
      </c>
      <c r="G1104" s="1472" t="s">
        <v>4896</v>
      </c>
      <c r="H1104" s="1458">
        <v>0</v>
      </c>
      <c r="I1104" s="1458">
        <v>0</v>
      </c>
      <c r="J1104" s="1473">
        <v>0</v>
      </c>
      <c r="K1104" s="1462"/>
      <c r="L1104" s="1456">
        <v>13099090300</v>
      </c>
      <c r="M1104" s="1457">
        <v>1</v>
      </c>
      <c r="N1104" s="1457">
        <v>0</v>
      </c>
      <c r="O1104" s="1457">
        <v>1</v>
      </c>
    </row>
    <row r="1105" spans="3:15" ht="13.5">
      <c r="C1105" s="1463" t="s">
        <v>4897</v>
      </c>
      <c r="D1105" s="1460">
        <v>0</v>
      </c>
      <c r="E1105" s="1460">
        <v>0</v>
      </c>
      <c r="F1105" s="1461">
        <v>0</v>
      </c>
      <c r="G1105" s="1472" t="s">
        <v>4897</v>
      </c>
      <c r="H1105" s="1458">
        <v>0</v>
      </c>
      <c r="I1105" s="1458">
        <v>0</v>
      </c>
      <c r="J1105" s="1473">
        <v>0</v>
      </c>
      <c r="K1105" s="1462"/>
      <c r="L1105" s="1456">
        <v>13099090400</v>
      </c>
      <c r="M1105" s="1457">
        <v>0</v>
      </c>
      <c r="N1105" s="1457">
        <v>0</v>
      </c>
      <c r="O1105" s="1457">
        <v>0</v>
      </c>
    </row>
    <row r="1106" spans="3:15" ht="13.5">
      <c r="C1106" s="1463" t="s">
        <v>4898</v>
      </c>
      <c r="D1106" s="1460">
        <v>0</v>
      </c>
      <c r="E1106" s="1460">
        <v>0</v>
      </c>
      <c r="F1106" s="1461">
        <v>0</v>
      </c>
      <c r="G1106" s="1472" t="s">
        <v>4898</v>
      </c>
      <c r="H1106" s="1458">
        <v>0</v>
      </c>
      <c r="I1106" s="1458">
        <v>0</v>
      </c>
      <c r="J1106" s="1473">
        <v>0</v>
      </c>
      <c r="K1106" s="1462"/>
      <c r="L1106" s="1456">
        <v>13099090500</v>
      </c>
      <c r="M1106" s="1457">
        <v>0</v>
      </c>
      <c r="N1106" s="1457">
        <v>0</v>
      </c>
      <c r="O1106" s="1457">
        <v>0</v>
      </c>
    </row>
    <row r="1107" spans="3:15" ht="13.5">
      <c r="C1107" s="1463" t="s">
        <v>4899</v>
      </c>
      <c r="D1107" s="1460">
        <v>0</v>
      </c>
      <c r="E1107" s="1460">
        <v>0</v>
      </c>
      <c r="F1107" s="1461">
        <v>0</v>
      </c>
      <c r="G1107" s="1472" t="s">
        <v>4899</v>
      </c>
      <c r="H1107" s="1458">
        <v>0</v>
      </c>
      <c r="I1107" s="1458">
        <v>0</v>
      </c>
      <c r="J1107" s="1473">
        <v>0</v>
      </c>
      <c r="K1107" s="1462"/>
      <c r="L1107" s="1456">
        <v>13101880100</v>
      </c>
      <c r="M1107" s="1457">
        <v>0</v>
      </c>
      <c r="N1107" s="1457">
        <v>0</v>
      </c>
      <c r="O1107" s="1457">
        <v>0</v>
      </c>
    </row>
    <row r="1108" spans="3:15" ht="13.5">
      <c r="C1108" s="1463" t="s">
        <v>4900</v>
      </c>
      <c r="D1108" s="1460">
        <v>0</v>
      </c>
      <c r="E1108" s="1460">
        <v>0</v>
      </c>
      <c r="F1108" s="1461">
        <v>0</v>
      </c>
      <c r="G1108" s="1472" t="s">
        <v>4900</v>
      </c>
      <c r="H1108" s="1458">
        <v>0</v>
      </c>
      <c r="I1108" s="1458">
        <v>0</v>
      </c>
      <c r="J1108" s="1473">
        <v>0</v>
      </c>
      <c r="K1108" s="1462"/>
      <c r="L1108" s="1456">
        <v>13101880200</v>
      </c>
      <c r="M1108" s="1457">
        <v>0</v>
      </c>
      <c r="N1108" s="1457">
        <v>0</v>
      </c>
      <c r="O1108" s="1457">
        <v>0</v>
      </c>
    </row>
    <row r="1109" spans="3:15" ht="13.5">
      <c r="C1109" s="1463" t="s">
        <v>4901</v>
      </c>
      <c r="D1109" s="1460">
        <v>1</v>
      </c>
      <c r="E1109" s="1460">
        <v>1</v>
      </c>
      <c r="F1109" s="1461">
        <v>2</v>
      </c>
      <c r="G1109" s="1472" t="s">
        <v>4901</v>
      </c>
      <c r="H1109" s="1458">
        <v>0</v>
      </c>
      <c r="I1109" s="1458">
        <v>0</v>
      </c>
      <c r="J1109" s="1473">
        <v>0</v>
      </c>
      <c r="K1109" s="1462"/>
      <c r="L1109" s="1456">
        <v>13103030100</v>
      </c>
      <c r="M1109" s="1457">
        <v>1</v>
      </c>
      <c r="N1109" s="1457">
        <v>1</v>
      </c>
      <c r="O1109" s="1457">
        <v>2</v>
      </c>
    </row>
    <row r="1110" spans="3:15" ht="13.5">
      <c r="C1110" s="1463" t="s">
        <v>4902</v>
      </c>
      <c r="D1110" s="1460">
        <v>1</v>
      </c>
      <c r="E1110" s="1460">
        <v>1</v>
      </c>
      <c r="F1110" s="1461">
        <v>2</v>
      </c>
      <c r="G1110" s="1472" t="s">
        <v>4902</v>
      </c>
      <c r="H1110" s="1458">
        <v>1</v>
      </c>
      <c r="I1110" s="1458">
        <v>0</v>
      </c>
      <c r="J1110" s="1473">
        <v>1</v>
      </c>
      <c r="K1110" s="1462"/>
      <c r="L1110" s="1456">
        <v>13103030202</v>
      </c>
      <c r="M1110" s="1457">
        <v>1</v>
      </c>
      <c r="N1110" s="1457">
        <v>1</v>
      </c>
      <c r="O1110" s="1457">
        <v>2</v>
      </c>
    </row>
    <row r="1111" spans="3:15" ht="13.5">
      <c r="C1111" s="1463" t="s">
        <v>4903</v>
      </c>
      <c r="D1111" s="1460">
        <v>1</v>
      </c>
      <c r="E1111" s="1460">
        <v>1</v>
      </c>
      <c r="F1111" s="1461">
        <v>2</v>
      </c>
      <c r="G1111" s="1472" t="s">
        <v>4903</v>
      </c>
      <c r="H1111" s="1458">
        <v>1</v>
      </c>
      <c r="I1111" s="1458">
        <v>0</v>
      </c>
      <c r="J1111" s="1473">
        <v>1</v>
      </c>
      <c r="K1111" s="1462"/>
      <c r="L1111" s="1456">
        <v>13103030203</v>
      </c>
      <c r="M1111" s="1457">
        <v>1</v>
      </c>
      <c r="N1111" s="1457">
        <v>1</v>
      </c>
      <c r="O1111" s="1457">
        <v>2</v>
      </c>
    </row>
    <row r="1112" spans="3:15" ht="13.5">
      <c r="C1112" s="1463" t="s">
        <v>4904</v>
      </c>
      <c r="D1112" s="1460">
        <v>0</v>
      </c>
      <c r="E1112" s="1460">
        <v>0</v>
      </c>
      <c r="F1112" s="1461">
        <v>0</v>
      </c>
      <c r="G1112" s="1472" t="s">
        <v>4904</v>
      </c>
      <c r="H1112" s="1458">
        <v>0</v>
      </c>
      <c r="I1112" s="1458">
        <v>1</v>
      </c>
      <c r="J1112" s="1473">
        <v>1</v>
      </c>
      <c r="K1112" s="1462"/>
      <c r="L1112" s="1456">
        <v>13103030204</v>
      </c>
      <c r="M1112" s="1457">
        <v>0</v>
      </c>
      <c r="N1112" s="1457">
        <v>1</v>
      </c>
      <c r="O1112" s="1457">
        <v>1</v>
      </c>
    </row>
    <row r="1113" spans="3:15" ht="13.5">
      <c r="C1113" s="1463" t="s">
        <v>4905</v>
      </c>
      <c r="D1113" s="1460">
        <v>1</v>
      </c>
      <c r="E1113" s="1460">
        <v>1</v>
      </c>
      <c r="F1113" s="1461">
        <v>2</v>
      </c>
      <c r="G1113" s="1472" t="s">
        <v>4905</v>
      </c>
      <c r="H1113" s="1458">
        <v>1</v>
      </c>
      <c r="I1113" s="1458">
        <v>1</v>
      </c>
      <c r="J1113" s="1473">
        <v>2</v>
      </c>
      <c r="K1113" s="1462"/>
      <c r="L1113" s="1456">
        <v>13103030301</v>
      </c>
      <c r="M1113" s="1457">
        <v>1</v>
      </c>
      <c r="N1113" s="1457">
        <v>1</v>
      </c>
      <c r="O1113" s="1457">
        <v>2</v>
      </c>
    </row>
    <row r="1114" spans="3:15" ht="13.5">
      <c r="C1114" s="1463" t="s">
        <v>4906</v>
      </c>
      <c r="D1114" s="1460">
        <v>0</v>
      </c>
      <c r="E1114" s="1460">
        <v>1</v>
      </c>
      <c r="F1114" s="1461">
        <v>1</v>
      </c>
      <c r="G1114" s="1472" t="s">
        <v>4906</v>
      </c>
      <c r="H1114" s="1458">
        <v>1</v>
      </c>
      <c r="I1114" s="1458">
        <v>0</v>
      </c>
      <c r="J1114" s="1473">
        <v>1</v>
      </c>
      <c r="K1114" s="1462"/>
      <c r="L1114" s="1456">
        <v>13103030303</v>
      </c>
      <c r="M1114" s="1457">
        <v>1</v>
      </c>
      <c r="N1114" s="1457">
        <v>1</v>
      </c>
      <c r="O1114" s="1457">
        <v>1</v>
      </c>
    </row>
    <row r="1115" spans="3:15" ht="13.5">
      <c r="C1115" s="1463" t="s">
        <v>4907</v>
      </c>
      <c r="D1115" s="1460">
        <v>1</v>
      </c>
      <c r="E1115" s="1460">
        <v>1</v>
      </c>
      <c r="F1115" s="1461">
        <v>2</v>
      </c>
      <c r="G1115" s="1472" t="s">
        <v>4907</v>
      </c>
      <c r="H1115" s="1458">
        <v>1</v>
      </c>
      <c r="I1115" s="1458">
        <v>0</v>
      </c>
      <c r="J1115" s="1473">
        <v>1</v>
      </c>
      <c r="K1115" s="1462"/>
      <c r="L1115" s="1456">
        <v>13103030304</v>
      </c>
      <c r="M1115" s="1457">
        <v>1</v>
      </c>
      <c r="N1115" s="1457">
        <v>1</v>
      </c>
      <c r="O1115" s="1457">
        <v>2</v>
      </c>
    </row>
    <row r="1116" spans="3:15" ht="13.5">
      <c r="C1116" s="1463" t="s">
        <v>4908</v>
      </c>
      <c r="D1116" s="1460">
        <v>1</v>
      </c>
      <c r="E1116" s="1460">
        <v>1</v>
      </c>
      <c r="F1116" s="1461">
        <v>2</v>
      </c>
      <c r="G1116" s="1472" t="s">
        <v>4908</v>
      </c>
      <c r="H1116" s="1458">
        <v>1</v>
      </c>
      <c r="I1116" s="1458">
        <v>1</v>
      </c>
      <c r="J1116" s="1473">
        <v>2</v>
      </c>
      <c r="K1116" s="1462"/>
      <c r="L1116" s="1456">
        <v>13103030305</v>
      </c>
      <c r="M1116" s="1457">
        <v>1</v>
      </c>
      <c r="N1116" s="1457">
        <v>1</v>
      </c>
      <c r="O1116" s="1457">
        <v>2</v>
      </c>
    </row>
    <row r="1117" spans="3:15" ht="13.5">
      <c r="C1117" s="1463" t="s">
        <v>4909</v>
      </c>
      <c r="D1117" s="1460">
        <v>1</v>
      </c>
      <c r="E1117" s="1460">
        <v>1</v>
      </c>
      <c r="F1117" s="1461">
        <v>2</v>
      </c>
      <c r="G1117" s="1472" t="s">
        <v>4909</v>
      </c>
      <c r="H1117" s="1458">
        <v>1</v>
      </c>
      <c r="I1117" s="1458">
        <v>1</v>
      </c>
      <c r="J1117" s="1473">
        <v>2</v>
      </c>
      <c r="K1117" s="1462"/>
      <c r="L1117" s="1456">
        <v>13103030401</v>
      </c>
      <c r="M1117" s="1457">
        <v>1</v>
      </c>
      <c r="N1117" s="1457">
        <v>1</v>
      </c>
      <c r="O1117" s="1457">
        <v>2</v>
      </c>
    </row>
    <row r="1118" spans="3:15" ht="13.5">
      <c r="C1118" s="1463" t="s">
        <v>4910</v>
      </c>
      <c r="D1118" s="1460">
        <v>1</v>
      </c>
      <c r="E1118" s="1460">
        <v>1</v>
      </c>
      <c r="F1118" s="1461">
        <v>2</v>
      </c>
      <c r="G1118" s="1472" t="s">
        <v>4910</v>
      </c>
      <c r="H1118" s="1458">
        <v>1</v>
      </c>
      <c r="I1118" s="1458">
        <v>1</v>
      </c>
      <c r="J1118" s="1473">
        <v>2</v>
      </c>
      <c r="K1118" s="1462"/>
      <c r="L1118" s="1456">
        <v>13103030402</v>
      </c>
      <c r="M1118" s="1457">
        <v>1</v>
      </c>
      <c r="N1118" s="1457">
        <v>1</v>
      </c>
      <c r="O1118" s="1457">
        <v>2</v>
      </c>
    </row>
    <row r="1119" spans="3:15" ht="13.5">
      <c r="C1119" s="1463" t="s">
        <v>4911</v>
      </c>
      <c r="D1119" s="1460">
        <v>0</v>
      </c>
      <c r="E1119" s="1460">
        <v>0</v>
      </c>
      <c r="F1119" s="1461">
        <v>0</v>
      </c>
      <c r="G1119" s="1472" t="s">
        <v>4911</v>
      </c>
      <c r="H1119" s="1458">
        <v>0</v>
      </c>
      <c r="I1119" s="1458">
        <v>0</v>
      </c>
      <c r="J1119" s="1473">
        <v>0</v>
      </c>
      <c r="K1119" s="1462"/>
      <c r="L1119" s="1456">
        <v>13105000100</v>
      </c>
      <c r="M1119" s="1457">
        <v>0</v>
      </c>
      <c r="N1119" s="1457">
        <v>0</v>
      </c>
      <c r="O1119" s="1457">
        <v>0</v>
      </c>
    </row>
    <row r="1120" spans="3:15" ht="13.5">
      <c r="C1120" s="1463" t="s">
        <v>4912</v>
      </c>
      <c r="D1120" s="1460">
        <v>0</v>
      </c>
      <c r="E1120" s="1460">
        <v>0</v>
      </c>
      <c r="F1120" s="1461">
        <v>0</v>
      </c>
      <c r="G1120" s="1472" t="s">
        <v>4912</v>
      </c>
      <c r="H1120" s="1458">
        <v>0</v>
      </c>
      <c r="I1120" s="1458">
        <v>0</v>
      </c>
      <c r="J1120" s="1473">
        <v>0</v>
      </c>
      <c r="K1120" s="1462"/>
      <c r="L1120" s="1456">
        <v>13105000200</v>
      </c>
      <c r="M1120" s="1457">
        <v>0</v>
      </c>
      <c r="N1120" s="1457">
        <v>0</v>
      </c>
      <c r="O1120" s="1457">
        <v>0</v>
      </c>
    </row>
    <row r="1121" spans="3:15" ht="13.5">
      <c r="C1121" s="1463" t="s">
        <v>4913</v>
      </c>
      <c r="D1121" s="1460">
        <v>0</v>
      </c>
      <c r="E1121" s="1460">
        <v>0</v>
      </c>
      <c r="F1121" s="1461">
        <v>0</v>
      </c>
      <c r="G1121" s="1472" t="s">
        <v>4913</v>
      </c>
      <c r="H1121" s="1458">
        <v>0</v>
      </c>
      <c r="I1121" s="1458">
        <v>0</v>
      </c>
      <c r="J1121" s="1473">
        <v>0</v>
      </c>
      <c r="K1121" s="1462"/>
      <c r="L1121" s="1456">
        <v>13105000300</v>
      </c>
      <c r="M1121" s="1457">
        <v>0</v>
      </c>
      <c r="N1121" s="1457">
        <v>0</v>
      </c>
      <c r="O1121" s="1457">
        <v>0</v>
      </c>
    </row>
    <row r="1122" spans="3:15" ht="13.5">
      <c r="C1122" s="1463" t="s">
        <v>4914</v>
      </c>
      <c r="D1122" s="1460">
        <v>0</v>
      </c>
      <c r="E1122" s="1460">
        <v>0</v>
      </c>
      <c r="F1122" s="1461">
        <v>0</v>
      </c>
      <c r="G1122" s="1472" t="s">
        <v>4914</v>
      </c>
      <c r="H1122" s="1458">
        <v>0</v>
      </c>
      <c r="I1122" s="1458">
        <v>0</v>
      </c>
      <c r="J1122" s="1473">
        <v>0</v>
      </c>
      <c r="K1122" s="1462"/>
      <c r="L1122" s="1456">
        <v>13105000400</v>
      </c>
      <c r="M1122" s="1457">
        <v>0</v>
      </c>
      <c r="N1122" s="1457">
        <v>0</v>
      </c>
      <c r="O1122" s="1457">
        <v>0</v>
      </c>
    </row>
    <row r="1123" spans="3:15" ht="13.5">
      <c r="C1123" s="1463" t="s">
        <v>4915</v>
      </c>
      <c r="D1123" s="1460">
        <v>0</v>
      </c>
      <c r="E1123" s="1460">
        <v>0</v>
      </c>
      <c r="F1123" s="1461">
        <v>0</v>
      </c>
      <c r="G1123" s="1472" t="s">
        <v>4915</v>
      </c>
      <c r="H1123" s="1458">
        <v>0</v>
      </c>
      <c r="I1123" s="1458">
        <v>1</v>
      </c>
      <c r="J1123" s="1473">
        <v>1</v>
      </c>
      <c r="K1123" s="1462"/>
      <c r="L1123" s="1456">
        <v>13105000500</v>
      </c>
      <c r="M1123" s="1457">
        <v>0</v>
      </c>
      <c r="N1123" s="1457">
        <v>1</v>
      </c>
      <c r="O1123" s="1457">
        <v>1</v>
      </c>
    </row>
    <row r="1124" spans="3:15" ht="13.5">
      <c r="C1124" s="1463" t="s">
        <v>4916</v>
      </c>
      <c r="D1124" s="1460">
        <v>0</v>
      </c>
      <c r="E1124" s="1460">
        <v>0</v>
      </c>
      <c r="F1124" s="1461">
        <v>0</v>
      </c>
      <c r="G1124" s="1472" t="s">
        <v>4916</v>
      </c>
      <c r="H1124" s="1458">
        <v>0</v>
      </c>
      <c r="I1124" s="1458">
        <v>0</v>
      </c>
      <c r="J1124" s="1473">
        <v>0</v>
      </c>
      <c r="K1124" s="1462"/>
      <c r="L1124" s="1456">
        <v>13107970100</v>
      </c>
      <c r="M1124" s="1457">
        <v>0</v>
      </c>
      <c r="N1124" s="1457">
        <v>0</v>
      </c>
      <c r="O1124" s="1457">
        <v>0</v>
      </c>
    </row>
    <row r="1125" spans="3:15" ht="13.5">
      <c r="C1125" s="1463" t="s">
        <v>4917</v>
      </c>
      <c r="D1125" s="1460">
        <v>0</v>
      </c>
      <c r="E1125" s="1460">
        <v>0</v>
      </c>
      <c r="F1125" s="1461">
        <v>0</v>
      </c>
      <c r="G1125" s="1472" t="s">
        <v>4917</v>
      </c>
      <c r="H1125" s="1458">
        <v>0</v>
      </c>
      <c r="I1125" s="1458">
        <v>0</v>
      </c>
      <c r="J1125" s="1473">
        <v>0</v>
      </c>
      <c r="K1125" s="1462"/>
      <c r="L1125" s="1456">
        <v>13107970200</v>
      </c>
      <c r="M1125" s="1457">
        <v>0</v>
      </c>
      <c r="N1125" s="1457">
        <v>0</v>
      </c>
      <c r="O1125" s="1457">
        <v>0</v>
      </c>
    </row>
    <row r="1126" spans="3:15" ht="13.5">
      <c r="C1126" s="1463" t="s">
        <v>4918</v>
      </c>
      <c r="D1126" s="1460">
        <v>0</v>
      </c>
      <c r="E1126" s="1460">
        <v>0</v>
      </c>
      <c r="F1126" s="1461">
        <v>0</v>
      </c>
      <c r="G1126" s="1472" t="s">
        <v>4918</v>
      </c>
      <c r="H1126" s="1458">
        <v>0</v>
      </c>
      <c r="I1126" s="1458">
        <v>0</v>
      </c>
      <c r="J1126" s="1473">
        <v>0</v>
      </c>
      <c r="K1126" s="1462"/>
      <c r="L1126" s="1456">
        <v>13107970300</v>
      </c>
      <c r="M1126" s="1457">
        <v>0</v>
      </c>
      <c r="N1126" s="1457">
        <v>0</v>
      </c>
      <c r="O1126" s="1457">
        <v>0</v>
      </c>
    </row>
    <row r="1127" spans="3:15" ht="13.5">
      <c r="C1127" s="1463" t="s">
        <v>4919</v>
      </c>
      <c r="D1127" s="1460">
        <v>0</v>
      </c>
      <c r="E1127" s="1460">
        <v>0</v>
      </c>
      <c r="F1127" s="1461">
        <v>0</v>
      </c>
      <c r="G1127" s="1472" t="s">
        <v>4919</v>
      </c>
      <c r="H1127" s="1458">
        <v>0</v>
      </c>
      <c r="I1127" s="1458">
        <v>0</v>
      </c>
      <c r="J1127" s="1473">
        <v>0</v>
      </c>
      <c r="K1127" s="1462"/>
      <c r="L1127" s="1456">
        <v>13107970400</v>
      </c>
      <c r="M1127" s="1457">
        <v>0</v>
      </c>
      <c r="N1127" s="1457">
        <v>0</v>
      </c>
      <c r="O1127" s="1457">
        <v>0</v>
      </c>
    </row>
    <row r="1128" spans="3:15" ht="13.5">
      <c r="C1128" s="1463" t="s">
        <v>4920</v>
      </c>
      <c r="D1128" s="1460">
        <v>0</v>
      </c>
      <c r="E1128" s="1460">
        <v>0</v>
      </c>
      <c r="F1128" s="1461">
        <v>0</v>
      </c>
      <c r="G1128" s="1472" t="s">
        <v>4920</v>
      </c>
      <c r="H1128" s="1458">
        <v>0</v>
      </c>
      <c r="I1128" s="1458">
        <v>0</v>
      </c>
      <c r="J1128" s="1473">
        <v>0</v>
      </c>
      <c r="K1128" s="1462"/>
      <c r="L1128" s="1456">
        <v>13107970500</v>
      </c>
      <c r="M1128" s="1457">
        <v>0</v>
      </c>
      <c r="N1128" s="1457">
        <v>0</v>
      </c>
      <c r="O1128" s="1457">
        <v>0</v>
      </c>
    </row>
    <row r="1129" spans="3:15" ht="13.5">
      <c r="C1129" s="1463" t="s">
        <v>4921</v>
      </c>
      <c r="D1129" s="1460">
        <v>0</v>
      </c>
      <c r="E1129" s="1460">
        <v>0</v>
      </c>
      <c r="F1129" s="1461">
        <v>0</v>
      </c>
      <c r="G1129" s="1472" t="s">
        <v>4921</v>
      </c>
      <c r="H1129" s="1458">
        <v>0</v>
      </c>
      <c r="I1129" s="1458">
        <v>0</v>
      </c>
      <c r="J1129" s="1473">
        <v>0</v>
      </c>
      <c r="K1129" s="1462"/>
      <c r="L1129" s="1456">
        <v>13107970600</v>
      </c>
      <c r="M1129" s="1457">
        <v>0</v>
      </c>
      <c r="N1129" s="1457">
        <v>0</v>
      </c>
      <c r="O1129" s="1457">
        <v>0</v>
      </c>
    </row>
    <row r="1130" spans="3:15" ht="13.5">
      <c r="C1130" s="1463" t="s">
        <v>4922</v>
      </c>
      <c r="D1130" s="1460">
        <v>0</v>
      </c>
      <c r="E1130" s="1460">
        <v>0</v>
      </c>
      <c r="F1130" s="1461">
        <v>0</v>
      </c>
      <c r="G1130" s="1472" t="s">
        <v>4922</v>
      </c>
      <c r="H1130" s="1458">
        <v>0</v>
      </c>
      <c r="I1130" s="1458">
        <v>0</v>
      </c>
      <c r="J1130" s="1473">
        <v>0</v>
      </c>
      <c r="K1130" s="1462"/>
      <c r="L1130" s="1456">
        <v>13109970100</v>
      </c>
      <c r="M1130" s="1457">
        <v>0</v>
      </c>
      <c r="N1130" s="1457">
        <v>0</v>
      </c>
      <c r="O1130" s="1457">
        <v>0</v>
      </c>
    </row>
    <row r="1131" spans="3:15" ht="13.5">
      <c r="C1131" s="1463" t="s">
        <v>4923</v>
      </c>
      <c r="D1131" s="1460">
        <v>0</v>
      </c>
      <c r="E1131" s="1460">
        <v>0</v>
      </c>
      <c r="F1131" s="1461">
        <v>0</v>
      </c>
      <c r="G1131" s="1472" t="s">
        <v>4923</v>
      </c>
      <c r="H1131" s="1458">
        <v>0</v>
      </c>
      <c r="I1131" s="1458">
        <v>0</v>
      </c>
      <c r="J1131" s="1473">
        <v>0</v>
      </c>
      <c r="K1131" s="1462"/>
      <c r="L1131" s="1456">
        <v>13109970200</v>
      </c>
      <c r="M1131" s="1457">
        <v>0</v>
      </c>
      <c r="N1131" s="1457">
        <v>0</v>
      </c>
      <c r="O1131" s="1457">
        <v>0</v>
      </c>
    </row>
    <row r="1132" spans="3:15" ht="13.5">
      <c r="C1132" s="1463" t="s">
        <v>4924</v>
      </c>
      <c r="D1132" s="1460">
        <v>0</v>
      </c>
      <c r="E1132" s="1460">
        <v>0</v>
      </c>
      <c r="F1132" s="1461">
        <v>0</v>
      </c>
      <c r="G1132" s="1472" t="s">
        <v>4924</v>
      </c>
      <c r="H1132" s="1458">
        <v>0</v>
      </c>
      <c r="I1132" s="1458">
        <v>0</v>
      </c>
      <c r="J1132" s="1473">
        <v>0</v>
      </c>
      <c r="K1132" s="1462"/>
      <c r="L1132" s="1456">
        <v>13109970300</v>
      </c>
      <c r="M1132" s="1457">
        <v>0</v>
      </c>
      <c r="N1132" s="1457">
        <v>0</v>
      </c>
      <c r="O1132" s="1457">
        <v>0</v>
      </c>
    </row>
    <row r="1133" spans="3:15" ht="13.5">
      <c r="C1133" s="1463" t="s">
        <v>4925</v>
      </c>
      <c r="D1133" s="1460">
        <v>0</v>
      </c>
      <c r="E1133" s="1460">
        <v>0</v>
      </c>
      <c r="F1133" s="1461">
        <v>0</v>
      </c>
      <c r="G1133" s="1472" t="s">
        <v>4925</v>
      </c>
      <c r="H1133" s="1458">
        <v>0</v>
      </c>
      <c r="I1133" s="1458">
        <v>0</v>
      </c>
      <c r="J1133" s="1473">
        <v>0</v>
      </c>
      <c r="K1133" s="1462"/>
      <c r="L1133" s="1456">
        <v>13111050100</v>
      </c>
      <c r="M1133" s="1457">
        <v>0</v>
      </c>
      <c r="N1133" s="1457">
        <v>0</v>
      </c>
      <c r="O1133" s="1457">
        <v>0</v>
      </c>
    </row>
    <row r="1134" spans="3:15" ht="13.5">
      <c r="C1134" s="1463" t="s">
        <v>4926</v>
      </c>
      <c r="D1134" s="1460">
        <v>0</v>
      </c>
      <c r="E1134" s="1460">
        <v>0</v>
      </c>
      <c r="F1134" s="1461">
        <v>0</v>
      </c>
      <c r="G1134" s="1472" t="s">
        <v>4926</v>
      </c>
      <c r="H1134" s="1458">
        <v>0</v>
      </c>
      <c r="I1134" s="1458">
        <v>0</v>
      </c>
      <c r="J1134" s="1473">
        <v>0</v>
      </c>
      <c r="K1134" s="1462"/>
      <c r="L1134" s="1456">
        <v>13111050200</v>
      </c>
      <c r="M1134" s="1457">
        <v>0</v>
      </c>
      <c r="N1134" s="1457">
        <v>0</v>
      </c>
      <c r="O1134" s="1457">
        <v>0</v>
      </c>
    </row>
    <row r="1135" spans="3:15" ht="13.5">
      <c r="C1135" s="1463" t="s">
        <v>4927</v>
      </c>
      <c r="D1135" s="1460">
        <v>0</v>
      </c>
      <c r="E1135" s="1460">
        <v>0</v>
      </c>
      <c r="F1135" s="1461">
        <v>0</v>
      </c>
      <c r="G1135" s="1472" t="s">
        <v>4927</v>
      </c>
      <c r="H1135" s="1458">
        <v>0</v>
      </c>
      <c r="I1135" s="1458" t="s">
        <v>3911</v>
      </c>
      <c r="J1135" s="1473">
        <v>0</v>
      </c>
      <c r="K1135" s="1462"/>
      <c r="L1135" s="1456">
        <v>13111050300</v>
      </c>
      <c r="M1135" s="1457">
        <v>0</v>
      </c>
      <c r="N1135" s="1457">
        <v>0</v>
      </c>
      <c r="O1135" s="1457">
        <v>0</v>
      </c>
    </row>
    <row r="1136" spans="3:15" ht="13.5">
      <c r="C1136" s="1463" t="s">
        <v>4928</v>
      </c>
      <c r="D1136" s="1460">
        <v>0</v>
      </c>
      <c r="E1136" s="1460">
        <v>0</v>
      </c>
      <c r="F1136" s="1461">
        <v>0</v>
      </c>
      <c r="G1136" s="1472" t="s">
        <v>4928</v>
      </c>
      <c r="H1136" s="1458">
        <v>0</v>
      </c>
      <c r="I1136" s="1458">
        <v>1</v>
      </c>
      <c r="J1136" s="1473">
        <v>1</v>
      </c>
      <c r="K1136" s="1462"/>
      <c r="L1136" s="1456">
        <v>13111050400</v>
      </c>
      <c r="M1136" s="1457">
        <v>0</v>
      </c>
      <c r="N1136" s="1457">
        <v>1</v>
      </c>
      <c r="O1136" s="1457">
        <v>1</v>
      </c>
    </row>
    <row r="1137" spans="3:15" ht="13.5">
      <c r="C1137" s="1463" t="s">
        <v>4929</v>
      </c>
      <c r="D1137" s="1460">
        <v>0</v>
      </c>
      <c r="E1137" s="1460">
        <v>0</v>
      </c>
      <c r="F1137" s="1461">
        <v>0</v>
      </c>
      <c r="G1137" s="1472" t="s">
        <v>4929</v>
      </c>
      <c r="H1137" s="1458">
        <v>1</v>
      </c>
      <c r="I1137" s="1458">
        <v>0</v>
      </c>
      <c r="J1137" s="1473">
        <v>1</v>
      </c>
      <c r="K1137" s="1462"/>
      <c r="L1137" s="1456">
        <v>13111050500</v>
      </c>
      <c r="M1137" s="1457">
        <v>1</v>
      </c>
      <c r="N1137" s="1457">
        <v>0</v>
      </c>
      <c r="O1137" s="1457">
        <v>1</v>
      </c>
    </row>
    <row r="1138" spans="3:15" ht="13.5">
      <c r="C1138" s="1463" t="s">
        <v>4930</v>
      </c>
      <c r="D1138" s="1460">
        <v>1</v>
      </c>
      <c r="E1138" s="1460">
        <v>0</v>
      </c>
      <c r="F1138" s="1461">
        <v>1</v>
      </c>
      <c r="G1138" s="1472" t="s">
        <v>4930</v>
      </c>
      <c r="H1138" s="1458">
        <v>1</v>
      </c>
      <c r="I1138" s="1458">
        <v>1</v>
      </c>
      <c r="J1138" s="1473">
        <v>2</v>
      </c>
      <c r="K1138" s="1462"/>
      <c r="L1138" s="1456">
        <v>13113140101</v>
      </c>
      <c r="M1138" s="1457">
        <v>1</v>
      </c>
      <c r="N1138" s="1457">
        <v>1</v>
      </c>
      <c r="O1138" s="1457">
        <v>2</v>
      </c>
    </row>
    <row r="1139" spans="3:15" ht="13.5">
      <c r="C1139" s="1463" t="s">
        <v>4931</v>
      </c>
      <c r="D1139" s="1460">
        <v>1</v>
      </c>
      <c r="E1139" s="1460">
        <v>1</v>
      </c>
      <c r="F1139" s="1461">
        <v>2</v>
      </c>
      <c r="G1139" s="1472" t="s">
        <v>4931</v>
      </c>
      <c r="H1139" s="1458">
        <v>1</v>
      </c>
      <c r="I1139" s="1458">
        <v>1</v>
      </c>
      <c r="J1139" s="1473">
        <v>2</v>
      </c>
      <c r="K1139" s="1462"/>
      <c r="L1139" s="1456">
        <v>13113140102</v>
      </c>
      <c r="M1139" s="1457">
        <v>1</v>
      </c>
      <c r="N1139" s="1457">
        <v>1</v>
      </c>
      <c r="O1139" s="1457">
        <v>2</v>
      </c>
    </row>
    <row r="1140" spans="3:15" ht="13.5">
      <c r="C1140" s="1463" t="s">
        <v>4932</v>
      </c>
      <c r="D1140" s="1460">
        <v>1</v>
      </c>
      <c r="E1140" s="1460">
        <v>1</v>
      </c>
      <c r="F1140" s="1461">
        <v>2</v>
      </c>
      <c r="G1140" s="1472" t="s">
        <v>4932</v>
      </c>
      <c r="H1140" s="1458">
        <v>1</v>
      </c>
      <c r="I1140" s="1458">
        <v>1</v>
      </c>
      <c r="J1140" s="1473">
        <v>2</v>
      </c>
      <c r="K1140" s="1462"/>
      <c r="L1140" s="1456">
        <v>13113140203</v>
      </c>
      <c r="M1140" s="1457">
        <v>1</v>
      </c>
      <c r="N1140" s="1457">
        <v>1</v>
      </c>
      <c r="O1140" s="1457">
        <v>2</v>
      </c>
    </row>
    <row r="1141" spans="3:15" ht="13.5">
      <c r="C1141" s="1463" t="s">
        <v>4933</v>
      </c>
      <c r="D1141" s="1460">
        <v>1</v>
      </c>
      <c r="E1141" s="1460">
        <v>1</v>
      </c>
      <c r="F1141" s="1461">
        <v>2</v>
      </c>
      <c r="G1141" s="1472" t="s">
        <v>4933</v>
      </c>
      <c r="H1141" s="1458">
        <v>1</v>
      </c>
      <c r="I1141" s="1458">
        <v>1</v>
      </c>
      <c r="J1141" s="1473">
        <v>2</v>
      </c>
      <c r="K1141" s="1462"/>
      <c r="L1141" s="1456">
        <v>13113140204</v>
      </c>
      <c r="M1141" s="1457">
        <v>1</v>
      </c>
      <c r="N1141" s="1457">
        <v>1</v>
      </c>
      <c r="O1141" s="1457">
        <v>2</v>
      </c>
    </row>
    <row r="1142" spans="3:15" ht="13.5">
      <c r="C1142" s="1463" t="s">
        <v>4934</v>
      </c>
      <c r="D1142" s="1460">
        <v>1</v>
      </c>
      <c r="E1142" s="1460">
        <v>1</v>
      </c>
      <c r="F1142" s="1461">
        <v>2</v>
      </c>
      <c r="G1142" s="1472" t="s">
        <v>4934</v>
      </c>
      <c r="H1142" s="1458">
        <v>1</v>
      </c>
      <c r="I1142" s="1458">
        <v>1</v>
      </c>
      <c r="J1142" s="1473">
        <v>2</v>
      </c>
      <c r="K1142" s="1462"/>
      <c r="L1142" s="1456">
        <v>13113140206</v>
      </c>
      <c r="M1142" s="1457">
        <v>1</v>
      </c>
      <c r="N1142" s="1457">
        <v>1</v>
      </c>
      <c r="O1142" s="1457">
        <v>2</v>
      </c>
    </row>
    <row r="1143" spans="3:15" ht="13.5">
      <c r="C1143" s="1463" t="s">
        <v>4935</v>
      </c>
      <c r="D1143" s="1460">
        <v>1</v>
      </c>
      <c r="E1143" s="1460">
        <v>1</v>
      </c>
      <c r="F1143" s="1461">
        <v>2</v>
      </c>
      <c r="G1143" s="1472" t="s">
        <v>4935</v>
      </c>
      <c r="H1143" s="1458">
        <v>1</v>
      </c>
      <c r="I1143" s="1458">
        <v>1</v>
      </c>
      <c r="J1143" s="1473">
        <v>2</v>
      </c>
      <c r="K1143" s="1462"/>
      <c r="L1143" s="1456">
        <v>13113140207</v>
      </c>
      <c r="M1143" s="1457">
        <v>1</v>
      </c>
      <c r="N1143" s="1457">
        <v>1</v>
      </c>
      <c r="O1143" s="1457">
        <v>2</v>
      </c>
    </row>
    <row r="1144" spans="3:15" ht="13.5">
      <c r="C1144" s="1463" t="s">
        <v>4936</v>
      </c>
      <c r="D1144" s="1460">
        <v>1</v>
      </c>
      <c r="E1144" s="1460">
        <v>1</v>
      </c>
      <c r="F1144" s="1461">
        <v>2</v>
      </c>
      <c r="G1144" s="1472" t="s">
        <v>4936</v>
      </c>
      <c r="H1144" s="1458">
        <v>1</v>
      </c>
      <c r="I1144" s="1458">
        <v>1</v>
      </c>
      <c r="J1144" s="1473">
        <v>2</v>
      </c>
      <c r="K1144" s="1462"/>
      <c r="L1144" s="1456">
        <v>13113140208</v>
      </c>
      <c r="M1144" s="1457">
        <v>1</v>
      </c>
      <c r="N1144" s="1457">
        <v>1</v>
      </c>
      <c r="O1144" s="1457">
        <v>2</v>
      </c>
    </row>
    <row r="1145" spans="3:15" ht="13.5">
      <c r="C1145" s="1463" t="s">
        <v>4937</v>
      </c>
      <c r="D1145" s="1460">
        <v>1</v>
      </c>
      <c r="E1145" s="1460">
        <v>1</v>
      </c>
      <c r="F1145" s="1461">
        <v>2</v>
      </c>
      <c r="G1145" s="1472" t="s">
        <v>4937</v>
      </c>
      <c r="H1145" s="1458">
        <v>1</v>
      </c>
      <c r="I1145" s="1458">
        <v>1</v>
      </c>
      <c r="J1145" s="1473">
        <v>2</v>
      </c>
      <c r="K1145" s="1462"/>
      <c r="L1145" s="1456">
        <v>13113140303</v>
      </c>
      <c r="M1145" s="1457">
        <v>1</v>
      </c>
      <c r="N1145" s="1457">
        <v>1</v>
      </c>
      <c r="O1145" s="1457">
        <v>2</v>
      </c>
    </row>
    <row r="1146" spans="3:15" ht="13.5">
      <c r="C1146" s="1463" t="s">
        <v>4938</v>
      </c>
      <c r="D1146" s="1460">
        <v>1</v>
      </c>
      <c r="E1146" s="1460">
        <v>1</v>
      </c>
      <c r="F1146" s="1461">
        <v>2</v>
      </c>
      <c r="G1146" s="1472" t="s">
        <v>4938</v>
      </c>
      <c r="H1146" s="1458">
        <v>1</v>
      </c>
      <c r="I1146" s="1458">
        <v>1</v>
      </c>
      <c r="J1146" s="1473">
        <v>2</v>
      </c>
      <c r="K1146" s="1462"/>
      <c r="L1146" s="1456">
        <v>13113140304</v>
      </c>
      <c r="M1146" s="1457">
        <v>1</v>
      </c>
      <c r="N1146" s="1457">
        <v>1</v>
      </c>
      <c r="O1146" s="1457">
        <v>2</v>
      </c>
    </row>
    <row r="1147" spans="3:15" ht="13.5">
      <c r="C1147" s="1463" t="s">
        <v>4939</v>
      </c>
      <c r="D1147" s="1460">
        <v>1</v>
      </c>
      <c r="E1147" s="1460">
        <v>1</v>
      </c>
      <c r="F1147" s="1461">
        <v>2</v>
      </c>
      <c r="G1147" s="1472" t="s">
        <v>4939</v>
      </c>
      <c r="H1147" s="1458">
        <v>1</v>
      </c>
      <c r="I1147" s="1458">
        <v>1</v>
      </c>
      <c r="J1147" s="1473">
        <v>2</v>
      </c>
      <c r="K1147" s="1462"/>
      <c r="L1147" s="1456">
        <v>13113140305</v>
      </c>
      <c r="M1147" s="1457">
        <v>1</v>
      </c>
      <c r="N1147" s="1457">
        <v>1</v>
      </c>
      <c r="O1147" s="1457">
        <v>2</v>
      </c>
    </row>
    <row r="1148" spans="3:15" ht="13.5">
      <c r="C1148" s="1463" t="s">
        <v>4940</v>
      </c>
      <c r="D1148" s="1460">
        <v>1</v>
      </c>
      <c r="E1148" s="1460">
        <v>1</v>
      </c>
      <c r="F1148" s="1461">
        <v>2</v>
      </c>
      <c r="G1148" s="1472" t="s">
        <v>4940</v>
      </c>
      <c r="H1148" s="1458">
        <v>1</v>
      </c>
      <c r="I1148" s="1458">
        <v>1</v>
      </c>
      <c r="J1148" s="1473">
        <v>2</v>
      </c>
      <c r="K1148" s="1462"/>
      <c r="L1148" s="1456">
        <v>13113140306</v>
      </c>
      <c r="M1148" s="1457">
        <v>1</v>
      </c>
      <c r="N1148" s="1457">
        <v>1</v>
      </c>
      <c r="O1148" s="1457">
        <v>2</v>
      </c>
    </row>
    <row r="1149" spans="3:15" ht="13.5">
      <c r="C1149" s="1463" t="s">
        <v>4941</v>
      </c>
      <c r="D1149" s="1460">
        <v>1</v>
      </c>
      <c r="E1149" s="1460">
        <v>1</v>
      </c>
      <c r="F1149" s="1461">
        <v>2</v>
      </c>
      <c r="G1149" s="1472" t="s">
        <v>4941</v>
      </c>
      <c r="H1149" s="1458">
        <v>1</v>
      </c>
      <c r="I1149" s="1458">
        <v>1</v>
      </c>
      <c r="J1149" s="1473">
        <v>2</v>
      </c>
      <c r="K1149" s="1462"/>
      <c r="L1149" s="1456">
        <v>13113140307</v>
      </c>
      <c r="M1149" s="1457">
        <v>1</v>
      </c>
      <c r="N1149" s="1457">
        <v>1</v>
      </c>
      <c r="O1149" s="1457">
        <v>2</v>
      </c>
    </row>
    <row r="1150" spans="3:15" ht="13.5">
      <c r="C1150" s="1463" t="s">
        <v>4942</v>
      </c>
      <c r="D1150" s="1460">
        <v>1</v>
      </c>
      <c r="E1150" s="1460">
        <v>1</v>
      </c>
      <c r="F1150" s="1461">
        <v>2</v>
      </c>
      <c r="G1150" s="1472" t="s">
        <v>4942</v>
      </c>
      <c r="H1150" s="1458">
        <v>1</v>
      </c>
      <c r="I1150" s="1458">
        <v>1</v>
      </c>
      <c r="J1150" s="1473">
        <v>2</v>
      </c>
      <c r="K1150" s="1462"/>
      <c r="L1150" s="1456">
        <v>13113140403</v>
      </c>
      <c r="M1150" s="1457">
        <v>1</v>
      </c>
      <c r="N1150" s="1457">
        <v>1</v>
      </c>
      <c r="O1150" s="1457">
        <v>2</v>
      </c>
    </row>
    <row r="1151" spans="3:15" ht="13.5">
      <c r="C1151" s="1463" t="s">
        <v>4943</v>
      </c>
      <c r="D1151" s="1460">
        <v>1</v>
      </c>
      <c r="E1151" s="1460">
        <v>1</v>
      </c>
      <c r="F1151" s="1461">
        <v>2</v>
      </c>
      <c r="G1151" s="1472" t="s">
        <v>4943</v>
      </c>
      <c r="H1151" s="1458">
        <v>1</v>
      </c>
      <c r="I1151" s="1458">
        <v>1</v>
      </c>
      <c r="J1151" s="1473">
        <v>2</v>
      </c>
      <c r="K1151" s="1462"/>
      <c r="L1151" s="1456">
        <v>13113140404</v>
      </c>
      <c r="M1151" s="1457">
        <v>1</v>
      </c>
      <c r="N1151" s="1457">
        <v>1</v>
      </c>
      <c r="O1151" s="1457">
        <v>2</v>
      </c>
    </row>
    <row r="1152" spans="3:15" ht="13.5">
      <c r="C1152" s="1463" t="s">
        <v>4944</v>
      </c>
      <c r="D1152" s="1460">
        <v>1</v>
      </c>
      <c r="E1152" s="1460">
        <v>1</v>
      </c>
      <c r="F1152" s="1461">
        <v>2</v>
      </c>
      <c r="G1152" s="1472" t="s">
        <v>4944</v>
      </c>
      <c r="H1152" s="1458">
        <v>1</v>
      </c>
      <c r="I1152" s="1458">
        <v>1</v>
      </c>
      <c r="J1152" s="1473">
        <v>2</v>
      </c>
      <c r="K1152" s="1462"/>
      <c r="L1152" s="1456">
        <v>13113140405</v>
      </c>
      <c r="M1152" s="1457">
        <v>1</v>
      </c>
      <c r="N1152" s="1457">
        <v>1</v>
      </c>
      <c r="O1152" s="1457">
        <v>2</v>
      </c>
    </row>
    <row r="1153" spans="3:15" ht="13.5">
      <c r="C1153" s="1463" t="s">
        <v>4945</v>
      </c>
      <c r="D1153" s="1460">
        <v>0</v>
      </c>
      <c r="E1153" s="1460">
        <v>1</v>
      </c>
      <c r="F1153" s="1461">
        <v>1</v>
      </c>
      <c r="G1153" s="1472" t="s">
        <v>4945</v>
      </c>
      <c r="H1153" s="1458">
        <v>0</v>
      </c>
      <c r="I1153" s="1458">
        <v>1</v>
      </c>
      <c r="J1153" s="1473">
        <v>1</v>
      </c>
      <c r="K1153" s="1462"/>
      <c r="L1153" s="1456">
        <v>13113140406</v>
      </c>
      <c r="M1153" s="1457">
        <v>0</v>
      </c>
      <c r="N1153" s="1457">
        <v>1</v>
      </c>
      <c r="O1153" s="1457">
        <v>1</v>
      </c>
    </row>
    <row r="1154" spans="3:15" ht="13.5">
      <c r="C1154" s="1463" t="s">
        <v>4946</v>
      </c>
      <c r="D1154" s="1460">
        <v>1</v>
      </c>
      <c r="E1154" s="1460">
        <v>1</v>
      </c>
      <c r="F1154" s="1461">
        <v>2</v>
      </c>
      <c r="G1154" s="1472" t="s">
        <v>4946</v>
      </c>
      <c r="H1154" s="1458">
        <v>1</v>
      </c>
      <c r="I1154" s="1458">
        <v>1</v>
      </c>
      <c r="J1154" s="1473">
        <v>2</v>
      </c>
      <c r="K1154" s="1462"/>
      <c r="L1154" s="1456">
        <v>13113140407</v>
      </c>
      <c r="M1154" s="1457">
        <v>1</v>
      </c>
      <c r="N1154" s="1457">
        <v>1</v>
      </c>
      <c r="O1154" s="1457">
        <v>2</v>
      </c>
    </row>
    <row r="1155" spans="3:15" ht="13.5">
      <c r="C1155" s="1463" t="s">
        <v>4947</v>
      </c>
      <c r="D1155" s="1460">
        <v>1</v>
      </c>
      <c r="E1155" s="1460">
        <v>1</v>
      </c>
      <c r="F1155" s="1461">
        <v>2</v>
      </c>
      <c r="G1155" s="1472" t="s">
        <v>4947</v>
      </c>
      <c r="H1155" s="1458">
        <v>1</v>
      </c>
      <c r="I1155" s="1458">
        <v>1</v>
      </c>
      <c r="J1155" s="1473">
        <v>2</v>
      </c>
      <c r="K1155" s="1462"/>
      <c r="L1155" s="1456">
        <v>13113140408</v>
      </c>
      <c r="M1155" s="1457">
        <v>1</v>
      </c>
      <c r="N1155" s="1457">
        <v>1</v>
      </c>
      <c r="O1155" s="1457">
        <v>2</v>
      </c>
    </row>
    <row r="1156" spans="3:15" ht="13.5">
      <c r="C1156" s="1463" t="s">
        <v>4948</v>
      </c>
      <c r="D1156" s="1460">
        <v>1</v>
      </c>
      <c r="E1156" s="1460">
        <v>1</v>
      </c>
      <c r="F1156" s="1461">
        <v>2</v>
      </c>
      <c r="G1156" s="1472" t="s">
        <v>4948</v>
      </c>
      <c r="H1156" s="1458">
        <v>1</v>
      </c>
      <c r="I1156" s="1458">
        <v>1</v>
      </c>
      <c r="J1156" s="1473">
        <v>2</v>
      </c>
      <c r="K1156" s="1462"/>
      <c r="L1156" s="1456">
        <v>13113140501</v>
      </c>
      <c r="M1156" s="1457">
        <v>1</v>
      </c>
      <c r="N1156" s="1457">
        <v>1</v>
      </c>
      <c r="O1156" s="1457">
        <v>2</v>
      </c>
    </row>
    <row r="1157" spans="3:15" ht="13.5">
      <c r="C1157" s="1463" t="s">
        <v>4949</v>
      </c>
      <c r="D1157" s="1460">
        <v>1</v>
      </c>
      <c r="E1157" s="1460">
        <v>1</v>
      </c>
      <c r="F1157" s="1461">
        <v>2</v>
      </c>
      <c r="G1157" s="1472" t="s">
        <v>4949</v>
      </c>
      <c r="H1157" s="1458">
        <v>1</v>
      </c>
      <c r="I1157" s="1458">
        <v>1</v>
      </c>
      <c r="J1157" s="1473">
        <v>2</v>
      </c>
      <c r="K1157" s="1462"/>
      <c r="L1157" s="1456">
        <v>13113140502</v>
      </c>
      <c r="M1157" s="1457">
        <v>1</v>
      </c>
      <c r="N1157" s="1457">
        <v>1</v>
      </c>
      <c r="O1157" s="1457">
        <v>2</v>
      </c>
    </row>
    <row r="1158" spans="3:15" ht="13.5">
      <c r="C1158" s="1463" t="s">
        <v>4950</v>
      </c>
      <c r="D1158" s="1460">
        <v>0</v>
      </c>
      <c r="E1158" s="1460">
        <v>0</v>
      </c>
      <c r="F1158" s="1461">
        <v>0</v>
      </c>
      <c r="G1158" s="1472" t="s">
        <v>4950</v>
      </c>
      <c r="H1158" s="1458">
        <v>0</v>
      </c>
      <c r="I1158" s="1458">
        <v>1</v>
      </c>
      <c r="J1158" s="1473">
        <v>1</v>
      </c>
      <c r="K1158" s="1462"/>
      <c r="L1158" s="1456">
        <v>13115000100</v>
      </c>
      <c r="M1158" s="1457">
        <v>0</v>
      </c>
      <c r="N1158" s="1457">
        <v>1</v>
      </c>
      <c r="O1158" s="1457">
        <v>1</v>
      </c>
    </row>
    <row r="1159" spans="3:15" ht="13.5">
      <c r="C1159" s="1463" t="s">
        <v>4951</v>
      </c>
      <c r="D1159" s="1460">
        <v>1</v>
      </c>
      <c r="E1159" s="1460">
        <v>1</v>
      </c>
      <c r="F1159" s="1461">
        <v>2</v>
      </c>
      <c r="G1159" s="1472" t="s">
        <v>4951</v>
      </c>
      <c r="H1159" s="1458">
        <v>1</v>
      </c>
      <c r="I1159" s="1458">
        <v>0</v>
      </c>
      <c r="J1159" s="1473">
        <v>1</v>
      </c>
      <c r="K1159" s="1462"/>
      <c r="L1159" s="1456">
        <v>13115000201</v>
      </c>
      <c r="M1159" s="1457">
        <v>1</v>
      </c>
      <c r="N1159" s="1457">
        <v>1</v>
      </c>
      <c r="O1159" s="1457">
        <v>2</v>
      </c>
    </row>
    <row r="1160" spans="3:15" ht="13.5">
      <c r="C1160" s="1463" t="s">
        <v>4952</v>
      </c>
      <c r="D1160" s="1460">
        <v>1</v>
      </c>
      <c r="E1160" s="1460">
        <v>1</v>
      </c>
      <c r="F1160" s="1461">
        <v>2</v>
      </c>
      <c r="G1160" s="1472" t="s">
        <v>4952</v>
      </c>
      <c r="H1160" s="1458">
        <v>1</v>
      </c>
      <c r="I1160" s="1458">
        <v>1</v>
      </c>
      <c r="J1160" s="1473">
        <v>2</v>
      </c>
      <c r="K1160" s="1462"/>
      <c r="L1160" s="1456">
        <v>13115000202</v>
      </c>
      <c r="M1160" s="1457">
        <v>1</v>
      </c>
      <c r="N1160" s="1457">
        <v>1</v>
      </c>
      <c r="O1160" s="1458">
        <v>2</v>
      </c>
    </row>
    <row r="1161" spans="3:15" ht="13.5">
      <c r="C1161" s="1463" t="s">
        <v>4953</v>
      </c>
      <c r="D1161" s="1460">
        <v>1</v>
      </c>
      <c r="E1161" s="1460">
        <v>1</v>
      </c>
      <c r="F1161" s="1461">
        <v>2</v>
      </c>
      <c r="G1161" s="1472" t="s">
        <v>4953</v>
      </c>
      <c r="H1161" s="1458">
        <v>1</v>
      </c>
      <c r="I1161" s="1458">
        <v>1</v>
      </c>
      <c r="J1161" s="1473">
        <v>2</v>
      </c>
      <c r="K1161" s="1462"/>
      <c r="L1161" s="1456">
        <v>13115000300</v>
      </c>
      <c r="M1161" s="1457">
        <v>1</v>
      </c>
      <c r="N1161" s="1457">
        <v>1</v>
      </c>
      <c r="O1161" s="1458">
        <v>2</v>
      </c>
    </row>
    <row r="1162" spans="3:15" ht="13.5">
      <c r="C1162" s="1463" t="s">
        <v>4954</v>
      </c>
      <c r="D1162" s="1460">
        <v>0</v>
      </c>
      <c r="E1162" s="1460">
        <v>0</v>
      </c>
      <c r="F1162" s="1461">
        <v>0</v>
      </c>
      <c r="G1162" s="1472" t="s">
        <v>4954</v>
      </c>
      <c r="H1162" s="1458">
        <v>0</v>
      </c>
      <c r="I1162" s="1458">
        <v>1</v>
      </c>
      <c r="J1162" s="1473">
        <v>1</v>
      </c>
      <c r="K1162" s="1462"/>
      <c r="L1162" s="1456">
        <v>13115000400</v>
      </c>
      <c r="M1162" s="1457">
        <v>0</v>
      </c>
      <c r="N1162" s="1457">
        <v>1</v>
      </c>
      <c r="O1162" s="1458">
        <v>1</v>
      </c>
    </row>
    <row r="1163" spans="3:15" ht="13.5">
      <c r="C1163" s="1463" t="s">
        <v>4955</v>
      </c>
      <c r="D1163" s="1460">
        <v>0</v>
      </c>
      <c r="E1163" s="1460">
        <v>0</v>
      </c>
      <c r="F1163" s="1461">
        <v>0</v>
      </c>
      <c r="G1163" s="1472" t="s">
        <v>4955</v>
      </c>
      <c r="H1163" s="1458">
        <v>0</v>
      </c>
      <c r="I1163" s="1458">
        <v>0</v>
      </c>
      <c r="J1163" s="1473">
        <v>0</v>
      </c>
      <c r="K1163" s="1462"/>
      <c r="L1163" s="1456">
        <v>13115000500</v>
      </c>
      <c r="M1163" s="1457">
        <v>0</v>
      </c>
      <c r="N1163" s="1457">
        <v>0</v>
      </c>
      <c r="O1163" s="1458">
        <v>0</v>
      </c>
    </row>
    <row r="1164" spans="3:15" ht="13.5">
      <c r="C1164" s="1463" t="s">
        <v>4956</v>
      </c>
      <c r="D1164" s="1460">
        <v>0</v>
      </c>
      <c r="E1164" s="1460">
        <v>0</v>
      </c>
      <c r="F1164" s="1461">
        <v>0</v>
      </c>
      <c r="G1164" s="1472" t="s">
        <v>4956</v>
      </c>
      <c r="H1164" s="1458">
        <v>0</v>
      </c>
      <c r="I1164" s="1458">
        <v>0</v>
      </c>
      <c r="J1164" s="1473">
        <v>0</v>
      </c>
      <c r="K1164" s="1462"/>
      <c r="L1164" s="1456">
        <v>13115000600</v>
      </c>
      <c r="M1164" s="1457">
        <v>0</v>
      </c>
      <c r="N1164" s="1457">
        <v>0</v>
      </c>
      <c r="O1164" s="1458">
        <v>0</v>
      </c>
    </row>
    <row r="1165" spans="3:15" ht="13.5">
      <c r="C1165" s="1463" t="s">
        <v>4957</v>
      </c>
      <c r="D1165" s="1460">
        <v>1</v>
      </c>
      <c r="E1165" s="1460">
        <v>1</v>
      </c>
      <c r="F1165" s="1461">
        <v>2</v>
      </c>
      <c r="G1165" s="1472" t="s">
        <v>4957</v>
      </c>
      <c r="H1165" s="1458">
        <v>0</v>
      </c>
      <c r="I1165" s="1458">
        <v>1</v>
      </c>
      <c r="J1165" s="1473">
        <v>1</v>
      </c>
      <c r="K1165" s="1462"/>
      <c r="L1165" s="1456">
        <v>13115000700</v>
      </c>
      <c r="M1165" s="1457">
        <v>1</v>
      </c>
      <c r="N1165" s="1457">
        <v>1</v>
      </c>
      <c r="O1165" s="1458">
        <v>2</v>
      </c>
    </row>
    <row r="1166" spans="3:15" ht="13.5">
      <c r="C1166" s="1463" t="s">
        <v>4958</v>
      </c>
      <c r="D1166" s="1460">
        <v>1</v>
      </c>
      <c r="E1166" s="1460">
        <v>1</v>
      </c>
      <c r="F1166" s="1461">
        <v>2</v>
      </c>
      <c r="G1166" s="1472" t="s">
        <v>4958</v>
      </c>
      <c r="H1166" s="1458">
        <v>1</v>
      </c>
      <c r="I1166" s="1458">
        <v>1</v>
      </c>
      <c r="J1166" s="1473">
        <v>2</v>
      </c>
      <c r="K1166" s="1462"/>
      <c r="L1166" s="1456">
        <v>13115000800</v>
      </c>
      <c r="M1166" s="1457">
        <v>1</v>
      </c>
      <c r="N1166" s="1457">
        <v>1</v>
      </c>
      <c r="O1166" s="1458">
        <v>2</v>
      </c>
    </row>
    <row r="1167" spans="3:15" ht="13.5">
      <c r="C1167" s="1463" t="s">
        <v>4959</v>
      </c>
      <c r="D1167" s="1460">
        <v>0</v>
      </c>
      <c r="E1167" s="1460">
        <v>1</v>
      </c>
      <c r="F1167" s="1461">
        <v>1</v>
      </c>
      <c r="G1167" s="1472" t="s">
        <v>4959</v>
      </c>
      <c r="H1167" s="1458">
        <v>0</v>
      </c>
      <c r="I1167" s="1458">
        <v>1</v>
      </c>
      <c r="J1167" s="1473">
        <v>1</v>
      </c>
      <c r="K1167" s="1462"/>
      <c r="L1167" s="1456">
        <v>13115000900</v>
      </c>
      <c r="M1167" s="1457">
        <v>0</v>
      </c>
      <c r="N1167" s="1457">
        <v>1</v>
      </c>
      <c r="O1167" s="1458">
        <v>1</v>
      </c>
    </row>
    <row r="1168" spans="3:15" ht="13.5">
      <c r="C1168" s="1463" t="s">
        <v>4960</v>
      </c>
      <c r="D1168" s="1460">
        <v>0</v>
      </c>
      <c r="E1168" s="1460">
        <v>0</v>
      </c>
      <c r="F1168" s="1461">
        <v>0</v>
      </c>
      <c r="G1168" s="1472" t="s">
        <v>4960</v>
      </c>
      <c r="H1168" s="1458">
        <v>0</v>
      </c>
      <c r="I1168" s="1458">
        <v>0</v>
      </c>
      <c r="J1168" s="1473">
        <v>0</v>
      </c>
      <c r="K1168" s="1462"/>
      <c r="L1168" s="1456">
        <v>13115001100</v>
      </c>
      <c r="M1168" s="1457">
        <v>0</v>
      </c>
      <c r="N1168" s="1457">
        <v>0</v>
      </c>
      <c r="O1168" s="1458">
        <v>0</v>
      </c>
    </row>
    <row r="1169" spans="3:15" ht="13.5">
      <c r="C1169" s="1463" t="s">
        <v>4961</v>
      </c>
      <c r="D1169" s="1460">
        <v>0</v>
      </c>
      <c r="E1169" s="1460">
        <v>0</v>
      </c>
      <c r="F1169" s="1461">
        <v>0</v>
      </c>
      <c r="G1169" s="1472" t="s">
        <v>4961</v>
      </c>
      <c r="H1169" s="1458">
        <v>0</v>
      </c>
      <c r="I1169" s="1458">
        <v>0</v>
      </c>
      <c r="J1169" s="1473">
        <v>0</v>
      </c>
      <c r="K1169" s="1462"/>
      <c r="L1169" s="1456">
        <v>13115001200</v>
      </c>
      <c r="M1169" s="1457">
        <v>0</v>
      </c>
      <c r="N1169" s="1457">
        <v>0</v>
      </c>
      <c r="O1169" s="1458">
        <v>0</v>
      </c>
    </row>
    <row r="1170" spans="3:15" ht="13.5">
      <c r="C1170" s="1463" t="s">
        <v>4962</v>
      </c>
      <c r="D1170" s="1460">
        <v>0</v>
      </c>
      <c r="E1170" s="1460">
        <v>0</v>
      </c>
      <c r="F1170" s="1461">
        <v>0</v>
      </c>
      <c r="G1170" s="1472" t="s">
        <v>4962</v>
      </c>
      <c r="H1170" s="1458">
        <v>0</v>
      </c>
      <c r="I1170" s="1458">
        <v>0</v>
      </c>
      <c r="J1170" s="1473">
        <v>0</v>
      </c>
      <c r="K1170" s="1462"/>
      <c r="L1170" s="1456">
        <v>13115001300</v>
      </c>
      <c r="M1170" s="1457">
        <v>0</v>
      </c>
      <c r="N1170" s="1457">
        <v>0</v>
      </c>
      <c r="O1170" s="1458">
        <v>0</v>
      </c>
    </row>
    <row r="1171" spans="3:15" ht="13.5">
      <c r="C1171" s="1463" t="s">
        <v>4963</v>
      </c>
      <c r="D1171" s="1460">
        <v>1</v>
      </c>
      <c r="E1171" s="1460">
        <v>1</v>
      </c>
      <c r="F1171" s="1461">
        <v>2</v>
      </c>
      <c r="G1171" s="1472" t="s">
        <v>4963</v>
      </c>
      <c r="H1171" s="1458">
        <v>0</v>
      </c>
      <c r="I1171" s="1458">
        <v>1</v>
      </c>
      <c r="J1171" s="1473">
        <v>1</v>
      </c>
      <c r="K1171" s="1462"/>
      <c r="L1171" s="1456">
        <v>13115001400</v>
      </c>
      <c r="M1171" s="1457">
        <v>1</v>
      </c>
      <c r="N1171" s="1457">
        <v>1</v>
      </c>
      <c r="O1171" s="1458">
        <v>2</v>
      </c>
    </row>
    <row r="1172" spans="3:15" ht="13.5">
      <c r="C1172" s="1463" t="s">
        <v>4964</v>
      </c>
      <c r="D1172" s="1460">
        <v>0</v>
      </c>
      <c r="E1172" s="1460">
        <v>0</v>
      </c>
      <c r="F1172" s="1461">
        <v>0</v>
      </c>
      <c r="G1172" s="1472" t="s">
        <v>4964</v>
      </c>
      <c r="H1172" s="1458">
        <v>0</v>
      </c>
      <c r="I1172" s="1458">
        <v>0</v>
      </c>
      <c r="J1172" s="1473">
        <v>0</v>
      </c>
      <c r="K1172" s="1462"/>
      <c r="L1172" s="1456">
        <v>13115001600</v>
      </c>
      <c r="M1172" s="1457">
        <v>0</v>
      </c>
      <c r="N1172" s="1457">
        <v>0</v>
      </c>
      <c r="O1172" s="1458">
        <v>0</v>
      </c>
    </row>
    <row r="1173" spans="3:15" ht="13.5">
      <c r="C1173" s="1463" t="s">
        <v>4965</v>
      </c>
      <c r="D1173" s="1460">
        <v>1</v>
      </c>
      <c r="E1173" s="1460">
        <v>0</v>
      </c>
      <c r="F1173" s="1461">
        <v>1</v>
      </c>
      <c r="G1173" s="1472" t="s">
        <v>4965</v>
      </c>
      <c r="H1173" s="1458">
        <v>1</v>
      </c>
      <c r="I1173" s="1458">
        <v>1</v>
      </c>
      <c r="J1173" s="1473">
        <v>2</v>
      </c>
      <c r="K1173" s="1462"/>
      <c r="L1173" s="1456">
        <v>13115001701</v>
      </c>
      <c r="M1173" s="1457">
        <v>1</v>
      </c>
      <c r="N1173" s="1457">
        <v>1</v>
      </c>
      <c r="O1173" s="1458">
        <v>2</v>
      </c>
    </row>
    <row r="1174" spans="3:15" ht="13.5">
      <c r="C1174" s="1463" t="s">
        <v>4966</v>
      </c>
      <c r="D1174" s="1460">
        <v>1</v>
      </c>
      <c r="E1174" s="1460">
        <v>1</v>
      </c>
      <c r="F1174" s="1461">
        <v>2</v>
      </c>
      <c r="G1174" s="1472" t="s">
        <v>4966</v>
      </c>
      <c r="H1174" s="1458">
        <v>0</v>
      </c>
      <c r="I1174" s="1458">
        <v>0</v>
      </c>
      <c r="J1174" s="1473">
        <v>0</v>
      </c>
      <c r="K1174" s="1462"/>
      <c r="L1174" s="1456">
        <v>13115001702</v>
      </c>
      <c r="M1174" s="1457">
        <v>1</v>
      </c>
      <c r="N1174" s="1457">
        <v>1</v>
      </c>
      <c r="O1174" s="1458">
        <v>2</v>
      </c>
    </row>
    <row r="1175" spans="3:15" ht="13.5">
      <c r="C1175" s="1463" t="s">
        <v>4967</v>
      </c>
      <c r="D1175" s="1460">
        <v>0</v>
      </c>
      <c r="E1175" s="1460">
        <v>0</v>
      </c>
      <c r="F1175" s="1461">
        <v>0</v>
      </c>
      <c r="G1175" s="1472" t="s">
        <v>4967</v>
      </c>
      <c r="H1175" s="1458">
        <v>0</v>
      </c>
      <c r="I1175" s="1458">
        <v>0</v>
      </c>
      <c r="J1175" s="1473">
        <v>0</v>
      </c>
      <c r="K1175" s="1462"/>
      <c r="L1175" s="1456">
        <v>13115001800</v>
      </c>
      <c r="M1175" s="1457">
        <v>0</v>
      </c>
      <c r="N1175" s="1457">
        <v>0</v>
      </c>
      <c r="O1175" s="1458">
        <v>0</v>
      </c>
    </row>
    <row r="1176" spans="3:15" ht="13.5">
      <c r="C1176" s="1463" t="s">
        <v>4968</v>
      </c>
      <c r="D1176" s="1460">
        <v>0</v>
      </c>
      <c r="E1176" s="1460">
        <v>0</v>
      </c>
      <c r="F1176" s="1461">
        <v>0</v>
      </c>
      <c r="G1176" s="1472" t="s">
        <v>4968</v>
      </c>
      <c r="H1176" s="1458">
        <v>0</v>
      </c>
      <c r="I1176" s="1458">
        <v>0</v>
      </c>
      <c r="J1176" s="1473">
        <v>0</v>
      </c>
      <c r="K1176" s="1462"/>
      <c r="L1176" s="1456">
        <v>13115002000</v>
      </c>
      <c r="M1176" s="1457">
        <v>0</v>
      </c>
      <c r="N1176" s="1457">
        <v>0</v>
      </c>
      <c r="O1176" s="1458">
        <v>0</v>
      </c>
    </row>
    <row r="1177" spans="3:15" ht="13.5">
      <c r="C1177" s="1463" t="s">
        <v>4969</v>
      </c>
      <c r="D1177" s="1460">
        <v>0</v>
      </c>
      <c r="E1177" s="1460">
        <v>0</v>
      </c>
      <c r="F1177" s="1461">
        <v>0</v>
      </c>
      <c r="G1177" s="1472" t="s">
        <v>4969</v>
      </c>
      <c r="H1177" s="1458">
        <v>0</v>
      </c>
      <c r="I1177" s="1458">
        <v>0</v>
      </c>
      <c r="J1177" s="1473">
        <v>0</v>
      </c>
      <c r="K1177" s="1462"/>
      <c r="L1177" s="1456">
        <v>13115002100</v>
      </c>
      <c r="M1177" s="1457">
        <v>0</v>
      </c>
      <c r="N1177" s="1457">
        <v>0</v>
      </c>
      <c r="O1177" s="1458">
        <v>0</v>
      </c>
    </row>
    <row r="1178" spans="3:15" ht="13.5">
      <c r="C1178" s="1463" t="s">
        <v>4970</v>
      </c>
      <c r="D1178" s="1460">
        <v>1</v>
      </c>
      <c r="E1178" s="1460">
        <v>1</v>
      </c>
      <c r="F1178" s="1461">
        <v>2</v>
      </c>
      <c r="G1178" s="1472" t="s">
        <v>4970</v>
      </c>
      <c r="H1178" s="1458">
        <v>1</v>
      </c>
      <c r="I1178" s="1458">
        <v>1</v>
      </c>
      <c r="J1178" s="1473">
        <v>2</v>
      </c>
      <c r="K1178" s="1462"/>
      <c r="L1178" s="1456">
        <v>13117130101</v>
      </c>
      <c r="M1178" s="1457">
        <v>1</v>
      </c>
      <c r="N1178" s="1457">
        <v>1</v>
      </c>
      <c r="O1178" s="1458">
        <v>2</v>
      </c>
    </row>
    <row r="1179" spans="3:15" ht="13.5">
      <c r="C1179" s="1463" t="s">
        <v>4971</v>
      </c>
      <c r="D1179" s="1460">
        <v>1</v>
      </c>
      <c r="E1179" s="1460">
        <v>1</v>
      </c>
      <c r="F1179" s="1461">
        <v>2</v>
      </c>
      <c r="G1179" s="1472" t="s">
        <v>4971</v>
      </c>
      <c r="H1179" s="1458">
        <v>1</v>
      </c>
      <c r="I1179" s="1458">
        <v>1</v>
      </c>
      <c r="J1179" s="1473">
        <v>2</v>
      </c>
      <c r="K1179" s="1462"/>
      <c r="L1179" s="1456">
        <v>13117130102</v>
      </c>
      <c r="M1179" s="1457">
        <v>1</v>
      </c>
      <c r="N1179" s="1457">
        <v>1</v>
      </c>
      <c r="O1179" s="1458">
        <v>2</v>
      </c>
    </row>
    <row r="1180" spans="3:15" ht="13.5">
      <c r="C1180" s="1463" t="s">
        <v>4972</v>
      </c>
      <c r="D1180" s="1460">
        <v>1</v>
      </c>
      <c r="E1180" s="1460">
        <v>1</v>
      </c>
      <c r="F1180" s="1461">
        <v>2</v>
      </c>
      <c r="G1180" s="1472" t="s">
        <v>4972</v>
      </c>
      <c r="H1180" s="1458">
        <v>1</v>
      </c>
      <c r="I1180" s="1458">
        <v>0</v>
      </c>
      <c r="J1180" s="1473">
        <v>1</v>
      </c>
      <c r="K1180" s="1462"/>
      <c r="L1180" s="1456">
        <v>13117130103</v>
      </c>
      <c r="M1180" s="1457">
        <v>1</v>
      </c>
      <c r="N1180" s="1457">
        <v>1</v>
      </c>
      <c r="O1180" s="1458">
        <v>2</v>
      </c>
    </row>
    <row r="1181" spans="3:15" ht="13.5">
      <c r="C1181" s="1463" t="s">
        <v>4973</v>
      </c>
      <c r="D1181" s="1460">
        <v>1</v>
      </c>
      <c r="E1181" s="1460">
        <v>1</v>
      </c>
      <c r="F1181" s="1461">
        <v>2</v>
      </c>
      <c r="G1181" s="1472" t="s">
        <v>4973</v>
      </c>
      <c r="H1181" s="1458">
        <v>1</v>
      </c>
      <c r="I1181" s="1458">
        <v>1</v>
      </c>
      <c r="J1181" s="1473">
        <v>2</v>
      </c>
      <c r="K1181" s="1462"/>
      <c r="L1181" s="1456">
        <v>13117130104</v>
      </c>
      <c r="M1181" s="1457">
        <v>1</v>
      </c>
      <c r="N1181" s="1457">
        <v>1</v>
      </c>
      <c r="O1181" s="1458">
        <v>2</v>
      </c>
    </row>
    <row r="1182" spans="3:15" ht="13.5">
      <c r="C1182" s="1463" t="s">
        <v>4974</v>
      </c>
      <c r="D1182" s="1460">
        <v>0</v>
      </c>
      <c r="E1182" s="1460">
        <v>0</v>
      </c>
      <c r="F1182" s="1461">
        <v>0</v>
      </c>
      <c r="G1182" s="1472" t="s">
        <v>4974</v>
      </c>
      <c r="H1182" s="1458">
        <v>0</v>
      </c>
      <c r="I1182" s="1458">
        <v>1</v>
      </c>
      <c r="J1182" s="1473">
        <v>1</v>
      </c>
      <c r="K1182" s="1462"/>
      <c r="L1182" s="1456">
        <v>13117130105</v>
      </c>
      <c r="M1182" s="1457">
        <v>0</v>
      </c>
      <c r="N1182" s="1457">
        <v>1</v>
      </c>
      <c r="O1182" s="1458">
        <v>1</v>
      </c>
    </row>
    <row r="1183" spans="3:15" ht="13.5">
      <c r="C1183" s="1463" t="s">
        <v>4975</v>
      </c>
      <c r="D1183" s="1460">
        <v>1</v>
      </c>
      <c r="E1183" s="1460">
        <v>1</v>
      </c>
      <c r="F1183" s="1461">
        <v>2</v>
      </c>
      <c r="G1183" s="1472" t="s">
        <v>4975</v>
      </c>
      <c r="H1183" s="1458">
        <v>1</v>
      </c>
      <c r="I1183" s="1458">
        <v>1</v>
      </c>
      <c r="J1183" s="1473">
        <v>2</v>
      </c>
      <c r="K1183" s="1462"/>
      <c r="L1183" s="1456">
        <v>13117130201</v>
      </c>
      <c r="M1183" s="1457">
        <v>1</v>
      </c>
      <c r="N1183" s="1457">
        <v>1</v>
      </c>
      <c r="O1183" s="1458">
        <v>2</v>
      </c>
    </row>
    <row r="1184" spans="3:15" ht="13.5">
      <c r="C1184" s="1463" t="s">
        <v>4976</v>
      </c>
      <c r="D1184" s="1460">
        <v>1</v>
      </c>
      <c r="E1184" s="1460">
        <v>1</v>
      </c>
      <c r="F1184" s="1461">
        <v>2</v>
      </c>
      <c r="G1184" s="1472" t="s">
        <v>4976</v>
      </c>
      <c r="H1184" s="1458">
        <v>1</v>
      </c>
      <c r="I1184" s="1458" t="s">
        <v>3911</v>
      </c>
      <c r="J1184" s="1473">
        <v>1</v>
      </c>
      <c r="K1184" s="1462"/>
      <c r="L1184" s="1456">
        <v>13117130202</v>
      </c>
      <c r="M1184" s="1457">
        <v>1</v>
      </c>
      <c r="N1184" s="1457">
        <v>1</v>
      </c>
      <c r="O1184" s="1458">
        <v>2</v>
      </c>
    </row>
    <row r="1185" spans="3:15" ht="13.5">
      <c r="C1185" s="1463" t="s">
        <v>4977</v>
      </c>
      <c r="D1185" s="1460">
        <v>1</v>
      </c>
      <c r="E1185" s="1460">
        <v>1</v>
      </c>
      <c r="F1185" s="1461">
        <v>2</v>
      </c>
      <c r="G1185" s="1472" t="s">
        <v>4977</v>
      </c>
      <c r="H1185" s="1458">
        <v>1</v>
      </c>
      <c r="I1185" s="1458">
        <v>1</v>
      </c>
      <c r="J1185" s="1473">
        <v>2</v>
      </c>
      <c r="K1185" s="1462"/>
      <c r="L1185" s="1456">
        <v>13117130203</v>
      </c>
      <c r="M1185" s="1457">
        <v>1</v>
      </c>
      <c r="N1185" s="1457">
        <v>1</v>
      </c>
      <c r="O1185" s="1458">
        <v>2</v>
      </c>
    </row>
    <row r="1186" spans="3:15" ht="13.5">
      <c r="C1186" s="1463" t="s">
        <v>4978</v>
      </c>
      <c r="D1186" s="1460">
        <v>1</v>
      </c>
      <c r="E1186" s="1460">
        <v>0</v>
      </c>
      <c r="F1186" s="1461">
        <v>1</v>
      </c>
      <c r="G1186" s="1472" t="s">
        <v>4978</v>
      </c>
      <c r="H1186" s="1458">
        <v>1</v>
      </c>
      <c r="I1186" s="1458">
        <v>0</v>
      </c>
      <c r="J1186" s="1473">
        <v>1</v>
      </c>
      <c r="K1186" s="1462"/>
      <c r="L1186" s="1456">
        <v>13117130204</v>
      </c>
      <c r="M1186" s="1457">
        <v>1</v>
      </c>
      <c r="N1186" s="1457">
        <v>0</v>
      </c>
      <c r="O1186" s="1458">
        <v>1</v>
      </c>
    </row>
    <row r="1187" spans="3:15" ht="13.5">
      <c r="C1187" s="1463" t="s">
        <v>4979</v>
      </c>
      <c r="D1187" s="1460">
        <v>1</v>
      </c>
      <c r="E1187" s="1460">
        <v>1</v>
      </c>
      <c r="F1187" s="1461">
        <v>2</v>
      </c>
      <c r="G1187" s="1472" t="s">
        <v>4979</v>
      </c>
      <c r="H1187" s="1458">
        <v>1</v>
      </c>
      <c r="I1187" s="1458" t="s">
        <v>3911</v>
      </c>
      <c r="J1187" s="1473">
        <v>1</v>
      </c>
      <c r="K1187" s="1462"/>
      <c r="L1187" s="1456">
        <v>13117130205</v>
      </c>
      <c r="M1187" s="1457">
        <v>1</v>
      </c>
      <c r="N1187" s="1457">
        <v>1</v>
      </c>
      <c r="O1187" s="1458">
        <v>2</v>
      </c>
    </row>
    <row r="1188" spans="3:15" ht="13.5">
      <c r="C1188" s="1463" t="s">
        <v>4980</v>
      </c>
      <c r="D1188" s="1460">
        <v>1</v>
      </c>
      <c r="E1188" s="1460">
        <v>1</v>
      </c>
      <c r="F1188" s="1461">
        <v>2</v>
      </c>
      <c r="G1188" s="1472" t="s">
        <v>4980</v>
      </c>
      <c r="H1188" s="1458">
        <v>1</v>
      </c>
      <c r="I1188" s="1458">
        <v>1</v>
      </c>
      <c r="J1188" s="1473">
        <v>2</v>
      </c>
      <c r="K1188" s="1462"/>
      <c r="L1188" s="1456">
        <v>13117130301</v>
      </c>
      <c r="M1188" s="1457">
        <v>1</v>
      </c>
      <c r="N1188" s="1457">
        <v>1</v>
      </c>
      <c r="O1188" s="1458">
        <v>2</v>
      </c>
    </row>
    <row r="1189" spans="3:15" ht="13.5">
      <c r="C1189" s="1463" t="s">
        <v>4981</v>
      </c>
      <c r="D1189" s="1460">
        <v>1</v>
      </c>
      <c r="E1189" s="1460">
        <v>1</v>
      </c>
      <c r="F1189" s="1461">
        <v>2</v>
      </c>
      <c r="G1189" s="1472" t="s">
        <v>4981</v>
      </c>
      <c r="H1189" s="1458">
        <v>1</v>
      </c>
      <c r="I1189" s="1458">
        <v>1</v>
      </c>
      <c r="J1189" s="1473">
        <v>2</v>
      </c>
      <c r="K1189" s="1462"/>
      <c r="L1189" s="1456">
        <v>13117130302</v>
      </c>
      <c r="M1189" s="1457">
        <v>1</v>
      </c>
      <c r="N1189" s="1457">
        <v>1</v>
      </c>
      <c r="O1189" s="1458">
        <v>2</v>
      </c>
    </row>
    <row r="1190" spans="3:15" ht="13.5">
      <c r="C1190" s="1463" t="s">
        <v>4982</v>
      </c>
      <c r="D1190" s="1460">
        <v>1</v>
      </c>
      <c r="E1190" s="1460">
        <v>1</v>
      </c>
      <c r="F1190" s="1461">
        <v>2</v>
      </c>
      <c r="G1190" s="1472" t="s">
        <v>4982</v>
      </c>
      <c r="H1190" s="1458">
        <v>1</v>
      </c>
      <c r="I1190" s="1458">
        <v>1</v>
      </c>
      <c r="J1190" s="1473">
        <v>2</v>
      </c>
      <c r="K1190" s="1462"/>
      <c r="L1190" s="1456">
        <v>13117130303</v>
      </c>
      <c r="M1190" s="1457">
        <v>1</v>
      </c>
      <c r="N1190" s="1457">
        <v>1</v>
      </c>
      <c r="O1190" s="1458">
        <v>2</v>
      </c>
    </row>
    <row r="1191" spans="3:15" ht="13.5">
      <c r="C1191" s="1463" t="s">
        <v>4983</v>
      </c>
      <c r="D1191" s="1460">
        <v>1</v>
      </c>
      <c r="E1191" s="1460">
        <v>1</v>
      </c>
      <c r="F1191" s="1461">
        <v>2</v>
      </c>
      <c r="G1191" s="1472" t="s">
        <v>4983</v>
      </c>
      <c r="H1191" s="1458">
        <v>1</v>
      </c>
      <c r="I1191" s="1458">
        <v>1</v>
      </c>
      <c r="J1191" s="1473">
        <v>2</v>
      </c>
      <c r="K1191" s="1462"/>
      <c r="L1191" s="1456">
        <v>13117130304</v>
      </c>
      <c r="M1191" s="1457">
        <v>1</v>
      </c>
      <c r="N1191" s="1457">
        <v>1</v>
      </c>
      <c r="O1191" s="1458">
        <v>2</v>
      </c>
    </row>
    <row r="1192" spans="3:15" ht="13.5">
      <c r="C1192" s="1463" t="s">
        <v>4984</v>
      </c>
      <c r="D1192" s="1460">
        <v>1</v>
      </c>
      <c r="E1192" s="1460">
        <v>1</v>
      </c>
      <c r="F1192" s="1461">
        <v>2</v>
      </c>
      <c r="G1192" s="1472" t="s">
        <v>4984</v>
      </c>
      <c r="H1192" s="1458">
        <v>1</v>
      </c>
      <c r="I1192" s="1458">
        <v>1</v>
      </c>
      <c r="J1192" s="1473">
        <v>2</v>
      </c>
      <c r="K1192" s="1462"/>
      <c r="L1192" s="1456">
        <v>13117130305</v>
      </c>
      <c r="M1192" s="1457">
        <v>1</v>
      </c>
      <c r="N1192" s="1457">
        <v>1</v>
      </c>
      <c r="O1192" s="1458">
        <v>2</v>
      </c>
    </row>
    <row r="1193" spans="3:15" ht="13.5">
      <c r="C1193" s="1463" t="s">
        <v>4985</v>
      </c>
      <c r="D1193" s="1460">
        <v>1</v>
      </c>
      <c r="E1193" s="1460">
        <v>1</v>
      </c>
      <c r="F1193" s="1461">
        <v>2</v>
      </c>
      <c r="G1193" s="1472" t="s">
        <v>4985</v>
      </c>
      <c r="H1193" s="1458">
        <v>1</v>
      </c>
      <c r="I1193" s="1458">
        <v>1</v>
      </c>
      <c r="J1193" s="1473">
        <v>2</v>
      </c>
      <c r="K1193" s="1462"/>
      <c r="L1193" s="1456">
        <v>13117130306</v>
      </c>
      <c r="M1193" s="1457">
        <v>1</v>
      </c>
      <c r="N1193" s="1457">
        <v>1</v>
      </c>
      <c r="O1193" s="1458">
        <v>2</v>
      </c>
    </row>
    <row r="1194" spans="3:15" ht="13.5">
      <c r="C1194" s="1463" t="s">
        <v>4986</v>
      </c>
      <c r="D1194" s="1460">
        <v>1</v>
      </c>
      <c r="E1194" s="1460">
        <v>1</v>
      </c>
      <c r="F1194" s="1461">
        <v>2</v>
      </c>
      <c r="G1194" s="1472" t="s">
        <v>4986</v>
      </c>
      <c r="H1194" s="1458">
        <v>1</v>
      </c>
      <c r="I1194" s="1458">
        <v>1</v>
      </c>
      <c r="J1194" s="1473">
        <v>2</v>
      </c>
      <c r="K1194" s="1462"/>
      <c r="L1194" s="1456">
        <v>13117130307</v>
      </c>
      <c r="M1194" s="1457">
        <v>1</v>
      </c>
      <c r="N1194" s="1457">
        <v>1</v>
      </c>
      <c r="O1194" s="1458">
        <v>2</v>
      </c>
    </row>
    <row r="1195" spans="3:15" ht="13.5">
      <c r="C1195" s="1463" t="s">
        <v>4987</v>
      </c>
      <c r="D1195" s="1460">
        <v>1</v>
      </c>
      <c r="E1195" s="1460">
        <v>1</v>
      </c>
      <c r="F1195" s="1461">
        <v>2</v>
      </c>
      <c r="G1195" s="1472" t="s">
        <v>4987</v>
      </c>
      <c r="H1195" s="1458">
        <v>1</v>
      </c>
      <c r="I1195" s="1458">
        <v>1</v>
      </c>
      <c r="J1195" s="1473">
        <v>2</v>
      </c>
      <c r="K1195" s="1462"/>
      <c r="L1195" s="1456">
        <v>13117130403</v>
      </c>
      <c r="M1195" s="1457">
        <v>1</v>
      </c>
      <c r="N1195" s="1457">
        <v>1</v>
      </c>
      <c r="O1195" s="1458">
        <v>2</v>
      </c>
    </row>
    <row r="1196" spans="3:15" ht="13.5">
      <c r="C1196" s="1463" t="s">
        <v>4988</v>
      </c>
      <c r="D1196" s="1460">
        <v>1</v>
      </c>
      <c r="E1196" s="1460">
        <v>1</v>
      </c>
      <c r="F1196" s="1461">
        <v>2</v>
      </c>
      <c r="G1196" s="1472" t="s">
        <v>4988</v>
      </c>
      <c r="H1196" s="1458">
        <v>1</v>
      </c>
      <c r="I1196" s="1458">
        <v>1</v>
      </c>
      <c r="J1196" s="1473">
        <v>2</v>
      </c>
      <c r="K1196" s="1462"/>
      <c r="L1196" s="1456">
        <v>13117130404</v>
      </c>
      <c r="M1196" s="1457">
        <v>1</v>
      </c>
      <c r="N1196" s="1457">
        <v>1</v>
      </c>
      <c r="O1196" s="1458">
        <v>2</v>
      </c>
    </row>
    <row r="1197" spans="3:15" ht="13.5">
      <c r="C1197" s="1463" t="s">
        <v>4989</v>
      </c>
      <c r="D1197" s="1460">
        <v>1</v>
      </c>
      <c r="E1197" s="1460">
        <v>1</v>
      </c>
      <c r="F1197" s="1461">
        <v>2</v>
      </c>
      <c r="G1197" s="1472" t="s">
        <v>4989</v>
      </c>
      <c r="H1197" s="1458">
        <v>1</v>
      </c>
      <c r="I1197" s="1458">
        <v>1</v>
      </c>
      <c r="J1197" s="1473">
        <v>2</v>
      </c>
      <c r="K1197" s="1462"/>
      <c r="L1197" s="1456">
        <v>13117130405</v>
      </c>
      <c r="M1197" s="1457">
        <v>1</v>
      </c>
      <c r="N1197" s="1457">
        <v>1</v>
      </c>
      <c r="O1197" s="1458">
        <v>2</v>
      </c>
    </row>
    <row r="1198" spans="3:15" ht="13.5">
      <c r="C1198" s="1463" t="s">
        <v>4990</v>
      </c>
      <c r="D1198" s="1460">
        <v>1</v>
      </c>
      <c r="E1198" s="1460">
        <v>0</v>
      </c>
      <c r="F1198" s="1461">
        <v>1</v>
      </c>
      <c r="G1198" s="1472" t="s">
        <v>4990</v>
      </c>
      <c r="H1198" s="1458">
        <v>1</v>
      </c>
      <c r="I1198" s="1458">
        <v>0</v>
      </c>
      <c r="J1198" s="1473">
        <v>1</v>
      </c>
      <c r="K1198" s="1462"/>
      <c r="L1198" s="1456">
        <v>13117130406</v>
      </c>
      <c r="M1198" s="1457">
        <v>1</v>
      </c>
      <c r="N1198" s="1457">
        <v>0</v>
      </c>
      <c r="O1198" s="1458">
        <v>1</v>
      </c>
    </row>
    <row r="1199" spans="3:15" ht="13.5">
      <c r="C1199" s="1463" t="s">
        <v>4991</v>
      </c>
      <c r="D1199" s="1460">
        <v>1</v>
      </c>
      <c r="E1199" s="1460">
        <v>0</v>
      </c>
      <c r="F1199" s="1461">
        <v>1</v>
      </c>
      <c r="G1199" s="1472" t="s">
        <v>4991</v>
      </c>
      <c r="H1199" s="1458">
        <v>0</v>
      </c>
      <c r="I1199" s="1458">
        <v>0</v>
      </c>
      <c r="J1199" s="1473">
        <v>0</v>
      </c>
      <c r="K1199" s="1462"/>
      <c r="L1199" s="1456">
        <v>13117130408</v>
      </c>
      <c r="M1199" s="1457">
        <v>1</v>
      </c>
      <c r="N1199" s="1457">
        <v>0</v>
      </c>
      <c r="O1199" s="1458">
        <v>1</v>
      </c>
    </row>
    <row r="1200" spans="3:15" ht="13.5">
      <c r="C1200" s="1463" t="s">
        <v>4992</v>
      </c>
      <c r="D1200" s="1460">
        <v>1</v>
      </c>
      <c r="E1200" s="1460">
        <v>1</v>
      </c>
      <c r="F1200" s="1461">
        <v>2</v>
      </c>
      <c r="G1200" s="1472" t="s">
        <v>4992</v>
      </c>
      <c r="H1200" s="1458">
        <v>1</v>
      </c>
      <c r="I1200" s="1458">
        <v>0</v>
      </c>
      <c r="J1200" s="1473">
        <v>1</v>
      </c>
      <c r="K1200" s="1462"/>
      <c r="L1200" s="1456">
        <v>13117130409</v>
      </c>
      <c r="M1200" s="1457">
        <v>1</v>
      </c>
      <c r="N1200" s="1457">
        <v>1</v>
      </c>
      <c r="O1200" s="1458">
        <v>2</v>
      </c>
    </row>
    <row r="1201" spans="3:15" ht="13.5">
      <c r="C1201" s="1463" t="s">
        <v>4993</v>
      </c>
      <c r="D1201" s="1460">
        <v>1</v>
      </c>
      <c r="E1201" s="1460">
        <v>1</v>
      </c>
      <c r="F1201" s="1461">
        <v>2</v>
      </c>
      <c r="G1201" s="1472" t="s">
        <v>4993</v>
      </c>
      <c r="H1201" s="1458">
        <v>1</v>
      </c>
      <c r="I1201" s="1458">
        <v>1</v>
      </c>
      <c r="J1201" s="1473">
        <v>1</v>
      </c>
      <c r="K1201" s="1462"/>
      <c r="L1201" s="1456">
        <v>13117130410</v>
      </c>
      <c r="M1201" s="1457">
        <v>1</v>
      </c>
      <c r="N1201" s="1457">
        <v>1</v>
      </c>
      <c r="O1201" s="1458">
        <v>2</v>
      </c>
    </row>
    <row r="1202" spans="3:15" ht="13.5">
      <c r="C1202" s="1463" t="s">
        <v>4994</v>
      </c>
      <c r="D1202" s="1460">
        <v>1</v>
      </c>
      <c r="E1202" s="1460">
        <v>1</v>
      </c>
      <c r="F1202" s="1461">
        <v>2</v>
      </c>
      <c r="G1202" s="1472" t="s">
        <v>4994</v>
      </c>
      <c r="H1202" s="1458">
        <v>1</v>
      </c>
      <c r="I1202" s="1458">
        <v>0</v>
      </c>
      <c r="J1202" s="1473">
        <v>1</v>
      </c>
      <c r="K1202" s="1462"/>
      <c r="L1202" s="1456">
        <v>13117130503</v>
      </c>
      <c r="M1202" s="1457">
        <v>1</v>
      </c>
      <c r="N1202" s="1457">
        <v>1</v>
      </c>
      <c r="O1202" s="1458">
        <v>2</v>
      </c>
    </row>
    <row r="1203" spans="3:15" ht="13.5">
      <c r="C1203" s="1463" t="s">
        <v>4995</v>
      </c>
      <c r="D1203" s="1460">
        <v>1</v>
      </c>
      <c r="E1203" s="1460">
        <v>1</v>
      </c>
      <c r="F1203" s="1461">
        <v>2</v>
      </c>
      <c r="G1203" s="1472" t="s">
        <v>4995</v>
      </c>
      <c r="H1203" s="1458">
        <v>1</v>
      </c>
      <c r="I1203" s="1458">
        <v>0</v>
      </c>
      <c r="J1203" s="1473">
        <v>1</v>
      </c>
      <c r="K1203" s="1462"/>
      <c r="L1203" s="1456">
        <v>13117130504</v>
      </c>
      <c r="M1203" s="1457">
        <v>1</v>
      </c>
      <c r="N1203" s="1457">
        <v>1</v>
      </c>
      <c r="O1203" s="1458">
        <v>2</v>
      </c>
    </row>
    <row r="1204" spans="3:15" ht="13.5">
      <c r="C1204" s="1463" t="s">
        <v>4996</v>
      </c>
      <c r="D1204" s="1460">
        <v>1</v>
      </c>
      <c r="E1204" s="1460">
        <v>1</v>
      </c>
      <c r="F1204" s="1461">
        <v>2</v>
      </c>
      <c r="G1204" s="1472" t="s">
        <v>4996</v>
      </c>
      <c r="H1204" s="1458">
        <v>1</v>
      </c>
      <c r="I1204" s="1458" t="s">
        <v>3911</v>
      </c>
      <c r="J1204" s="1473">
        <v>1</v>
      </c>
      <c r="K1204" s="1462"/>
      <c r="L1204" s="1456">
        <v>13117130505</v>
      </c>
      <c r="M1204" s="1457">
        <v>1</v>
      </c>
      <c r="N1204" s="1457">
        <v>1</v>
      </c>
      <c r="O1204" s="1458">
        <v>2</v>
      </c>
    </row>
    <row r="1205" spans="3:15" ht="13.5">
      <c r="C1205" s="1463" t="s">
        <v>4997</v>
      </c>
      <c r="D1205" s="1460">
        <v>1</v>
      </c>
      <c r="E1205" s="1460">
        <v>1</v>
      </c>
      <c r="F1205" s="1461">
        <v>2</v>
      </c>
      <c r="G1205" s="1472" t="s">
        <v>4997</v>
      </c>
      <c r="H1205" s="1458">
        <v>1</v>
      </c>
      <c r="I1205" s="1458">
        <v>1</v>
      </c>
      <c r="J1205" s="1473">
        <v>2</v>
      </c>
      <c r="K1205" s="1462"/>
      <c r="L1205" s="1456">
        <v>13117130506</v>
      </c>
      <c r="M1205" s="1457">
        <v>1</v>
      </c>
      <c r="N1205" s="1457">
        <v>1</v>
      </c>
      <c r="O1205" s="1458">
        <v>2</v>
      </c>
    </row>
    <row r="1206" spans="3:15" ht="13.5">
      <c r="C1206" s="1463" t="s">
        <v>4998</v>
      </c>
      <c r="D1206" s="1460">
        <v>1</v>
      </c>
      <c r="E1206" s="1460">
        <v>1</v>
      </c>
      <c r="F1206" s="1461">
        <v>2</v>
      </c>
      <c r="G1206" s="1472" t="s">
        <v>4998</v>
      </c>
      <c r="H1206" s="1458">
        <v>1</v>
      </c>
      <c r="I1206" s="1458">
        <v>1</v>
      </c>
      <c r="J1206" s="1473">
        <v>2</v>
      </c>
      <c r="K1206" s="1462"/>
      <c r="L1206" s="1456">
        <v>13117130507</v>
      </c>
      <c r="M1206" s="1457">
        <v>1</v>
      </c>
      <c r="N1206" s="1457">
        <v>1</v>
      </c>
      <c r="O1206" s="1458">
        <v>2</v>
      </c>
    </row>
    <row r="1207" spans="3:15" ht="13.5">
      <c r="C1207" s="1463" t="s">
        <v>4999</v>
      </c>
      <c r="D1207" s="1460">
        <v>1</v>
      </c>
      <c r="E1207" s="1460">
        <v>1</v>
      </c>
      <c r="F1207" s="1461">
        <v>2</v>
      </c>
      <c r="G1207" s="1472" t="s">
        <v>4999</v>
      </c>
      <c r="H1207" s="1458">
        <v>1</v>
      </c>
      <c r="I1207" s="1458">
        <v>1</v>
      </c>
      <c r="J1207" s="1473">
        <v>2</v>
      </c>
      <c r="K1207" s="1462"/>
      <c r="L1207" s="1456">
        <v>13117130508</v>
      </c>
      <c r="M1207" s="1457">
        <v>1</v>
      </c>
      <c r="N1207" s="1457">
        <v>1</v>
      </c>
      <c r="O1207" s="1458">
        <v>2</v>
      </c>
    </row>
    <row r="1208" spans="3:15" ht="13.5">
      <c r="C1208" s="1463" t="s">
        <v>5000</v>
      </c>
      <c r="D1208" s="1460">
        <v>1</v>
      </c>
      <c r="E1208" s="1460">
        <v>1</v>
      </c>
      <c r="F1208" s="1461">
        <v>2</v>
      </c>
      <c r="G1208" s="1472" t="s">
        <v>5000</v>
      </c>
      <c r="H1208" s="1458">
        <v>1</v>
      </c>
      <c r="I1208" s="1458">
        <v>1</v>
      </c>
      <c r="J1208" s="1473">
        <v>2</v>
      </c>
      <c r="K1208" s="1462"/>
      <c r="L1208" s="1456">
        <v>13117130509</v>
      </c>
      <c r="M1208" s="1457">
        <v>1</v>
      </c>
      <c r="N1208" s="1457">
        <v>1</v>
      </c>
      <c r="O1208" s="1458">
        <v>2</v>
      </c>
    </row>
    <row r="1209" spans="3:15" ht="13.5">
      <c r="C1209" s="1463" t="s">
        <v>5001</v>
      </c>
      <c r="D1209" s="1460">
        <v>1</v>
      </c>
      <c r="E1209" s="1460">
        <v>1</v>
      </c>
      <c r="F1209" s="1461">
        <v>2</v>
      </c>
      <c r="G1209" s="1472" t="s">
        <v>5001</v>
      </c>
      <c r="H1209" s="1458">
        <v>1</v>
      </c>
      <c r="I1209" s="1458">
        <v>1</v>
      </c>
      <c r="J1209" s="1473">
        <v>2</v>
      </c>
      <c r="K1209" s="1462"/>
      <c r="L1209" s="1456">
        <v>13117130510</v>
      </c>
      <c r="M1209" s="1457">
        <v>1</v>
      </c>
      <c r="N1209" s="1457">
        <v>1</v>
      </c>
      <c r="O1209" s="1458">
        <v>2</v>
      </c>
    </row>
    <row r="1210" spans="3:15" ht="13.5">
      <c r="C1210" s="1463" t="s">
        <v>5002</v>
      </c>
      <c r="D1210" s="1460">
        <v>1</v>
      </c>
      <c r="E1210" s="1460">
        <v>1</v>
      </c>
      <c r="F1210" s="1461">
        <v>2</v>
      </c>
      <c r="G1210" s="1472" t="s">
        <v>5002</v>
      </c>
      <c r="H1210" s="1458">
        <v>1</v>
      </c>
      <c r="I1210" s="1458">
        <v>1</v>
      </c>
      <c r="J1210" s="1473">
        <v>2</v>
      </c>
      <c r="K1210" s="1462"/>
      <c r="L1210" s="1456">
        <v>13117130601</v>
      </c>
      <c r="M1210" s="1457">
        <v>1</v>
      </c>
      <c r="N1210" s="1457">
        <v>1</v>
      </c>
      <c r="O1210" s="1458">
        <v>2</v>
      </c>
    </row>
    <row r="1211" spans="3:15" ht="13.5">
      <c r="C1211" s="1463" t="s">
        <v>5003</v>
      </c>
      <c r="D1211" s="1460">
        <v>1</v>
      </c>
      <c r="E1211" s="1460">
        <v>1</v>
      </c>
      <c r="F1211" s="1461">
        <v>2</v>
      </c>
      <c r="G1211" s="1472" t="s">
        <v>5003</v>
      </c>
      <c r="H1211" s="1458">
        <v>1</v>
      </c>
      <c r="I1211" s="1458">
        <v>0</v>
      </c>
      <c r="J1211" s="1473">
        <v>1</v>
      </c>
      <c r="K1211" s="1462"/>
      <c r="L1211" s="1456">
        <v>13117130602</v>
      </c>
      <c r="M1211" s="1457">
        <v>1</v>
      </c>
      <c r="N1211" s="1457">
        <v>1</v>
      </c>
      <c r="O1211" s="1458">
        <v>2</v>
      </c>
    </row>
    <row r="1212" spans="3:15" ht="13.5">
      <c r="C1212" s="1463" t="s">
        <v>5004</v>
      </c>
      <c r="D1212" s="1460">
        <v>1</v>
      </c>
      <c r="E1212" s="1460">
        <v>1</v>
      </c>
      <c r="F1212" s="1461">
        <v>2</v>
      </c>
      <c r="G1212" s="1472" t="s">
        <v>5004</v>
      </c>
      <c r="H1212" s="1458">
        <v>1</v>
      </c>
      <c r="I1212" s="1458" t="s">
        <v>3911</v>
      </c>
      <c r="J1212" s="1473">
        <v>1</v>
      </c>
      <c r="K1212" s="1462"/>
      <c r="L1212" s="1456">
        <v>13117130603</v>
      </c>
      <c r="M1212" s="1457">
        <v>1</v>
      </c>
      <c r="N1212" s="1457">
        <v>1</v>
      </c>
      <c r="O1212" s="1458">
        <v>2</v>
      </c>
    </row>
    <row r="1213" spans="3:15" ht="13.5">
      <c r="C1213" s="1463" t="s">
        <v>5005</v>
      </c>
      <c r="D1213" s="1460">
        <v>1</v>
      </c>
      <c r="E1213" s="1460">
        <v>1</v>
      </c>
      <c r="F1213" s="1461">
        <v>2</v>
      </c>
      <c r="G1213" s="1472" t="s">
        <v>5005</v>
      </c>
      <c r="H1213" s="1458">
        <v>1</v>
      </c>
      <c r="I1213" s="1458">
        <v>1</v>
      </c>
      <c r="J1213" s="1473">
        <v>2</v>
      </c>
      <c r="K1213" s="1462"/>
      <c r="L1213" s="1456">
        <v>13117130604</v>
      </c>
      <c r="M1213" s="1457">
        <v>1</v>
      </c>
      <c r="N1213" s="1457">
        <v>1</v>
      </c>
      <c r="O1213" s="1458">
        <v>2</v>
      </c>
    </row>
    <row r="1214" spans="3:15" ht="13.5">
      <c r="C1214" s="1463" t="s">
        <v>5006</v>
      </c>
      <c r="D1214" s="1460">
        <v>1</v>
      </c>
      <c r="E1214" s="1460">
        <v>1</v>
      </c>
      <c r="F1214" s="1461">
        <v>2</v>
      </c>
      <c r="G1214" s="1472" t="s">
        <v>5006</v>
      </c>
      <c r="H1214" s="1458">
        <v>1</v>
      </c>
      <c r="I1214" s="1458">
        <v>1</v>
      </c>
      <c r="J1214" s="1473">
        <v>2</v>
      </c>
      <c r="K1214" s="1462"/>
      <c r="L1214" s="1456">
        <v>13117130605</v>
      </c>
      <c r="M1214" s="1457">
        <v>1</v>
      </c>
      <c r="N1214" s="1457">
        <v>1</v>
      </c>
      <c r="O1214" s="1458">
        <v>2</v>
      </c>
    </row>
    <row r="1215" spans="3:15" ht="13.5">
      <c r="C1215" s="1463" t="s">
        <v>5007</v>
      </c>
      <c r="D1215" s="1460">
        <v>1</v>
      </c>
      <c r="E1215" s="1460">
        <v>1</v>
      </c>
      <c r="F1215" s="1461">
        <v>2</v>
      </c>
      <c r="G1215" s="1472" t="s">
        <v>5007</v>
      </c>
      <c r="H1215" s="1458">
        <v>1</v>
      </c>
      <c r="I1215" s="1458">
        <v>1</v>
      </c>
      <c r="J1215" s="1473">
        <v>2</v>
      </c>
      <c r="K1215" s="1462"/>
      <c r="L1215" s="1456">
        <v>13117130606</v>
      </c>
      <c r="M1215" s="1457">
        <v>1</v>
      </c>
      <c r="N1215" s="1457">
        <v>1</v>
      </c>
      <c r="O1215" s="1458">
        <v>2</v>
      </c>
    </row>
    <row r="1216" spans="3:15" ht="13.5">
      <c r="C1216" s="1463" t="s">
        <v>5008</v>
      </c>
      <c r="D1216" s="1460">
        <v>1</v>
      </c>
      <c r="E1216" s="1460">
        <v>1</v>
      </c>
      <c r="F1216" s="1461">
        <v>2</v>
      </c>
      <c r="G1216" s="1472" t="s">
        <v>5008</v>
      </c>
      <c r="H1216" s="1458">
        <v>1</v>
      </c>
      <c r="I1216" s="1458">
        <v>1</v>
      </c>
      <c r="J1216" s="1473">
        <v>2</v>
      </c>
      <c r="K1216" s="1462"/>
      <c r="L1216" s="1456">
        <v>13117130607</v>
      </c>
      <c r="M1216" s="1457">
        <v>1</v>
      </c>
      <c r="N1216" s="1457">
        <v>1</v>
      </c>
      <c r="O1216" s="1458">
        <v>2</v>
      </c>
    </row>
    <row r="1217" spans="3:15" ht="13.5">
      <c r="C1217" s="1463" t="s">
        <v>5009</v>
      </c>
      <c r="D1217" s="1460">
        <v>1</v>
      </c>
      <c r="E1217" s="1460">
        <v>1</v>
      </c>
      <c r="F1217" s="1461">
        <v>2</v>
      </c>
      <c r="G1217" s="1472" t="s">
        <v>5009</v>
      </c>
      <c r="H1217" s="1458">
        <v>1</v>
      </c>
      <c r="I1217" s="1458">
        <v>1</v>
      </c>
      <c r="J1217" s="1473">
        <v>2</v>
      </c>
      <c r="K1217" s="1462"/>
      <c r="L1217" s="1456">
        <v>13117130608</v>
      </c>
      <c r="M1217" s="1457">
        <v>1</v>
      </c>
      <c r="N1217" s="1457">
        <v>1</v>
      </c>
      <c r="O1217" s="1458">
        <v>2</v>
      </c>
    </row>
    <row r="1218" spans="3:15" ht="13.5">
      <c r="C1218" s="1463" t="s">
        <v>5010</v>
      </c>
      <c r="D1218" s="1460">
        <v>1</v>
      </c>
      <c r="E1218" s="1460">
        <v>1</v>
      </c>
      <c r="F1218" s="1461">
        <v>2</v>
      </c>
      <c r="G1218" s="1472" t="s">
        <v>5010</v>
      </c>
      <c r="H1218" s="1458">
        <v>1</v>
      </c>
      <c r="I1218" s="1458">
        <v>1</v>
      </c>
      <c r="J1218" s="1473">
        <v>2</v>
      </c>
      <c r="K1218" s="1462"/>
      <c r="L1218" s="1456">
        <v>13117130609</v>
      </c>
      <c r="M1218" s="1457">
        <v>1</v>
      </c>
      <c r="N1218" s="1457">
        <v>1</v>
      </c>
      <c r="O1218" s="1458">
        <v>2</v>
      </c>
    </row>
    <row r="1219" spans="3:15" ht="13.5">
      <c r="C1219" s="1463" t="s">
        <v>5011</v>
      </c>
      <c r="D1219" s="1460">
        <v>1</v>
      </c>
      <c r="E1219" s="1460">
        <v>1</v>
      </c>
      <c r="F1219" s="1461">
        <v>2</v>
      </c>
      <c r="G1219" s="1472" t="s">
        <v>5011</v>
      </c>
      <c r="H1219" s="1458">
        <v>1</v>
      </c>
      <c r="I1219" s="1458">
        <v>1</v>
      </c>
      <c r="J1219" s="1473">
        <v>2</v>
      </c>
      <c r="K1219" s="1462"/>
      <c r="L1219" s="1456">
        <v>13117130610</v>
      </c>
      <c r="M1219" s="1457">
        <v>1</v>
      </c>
      <c r="N1219" s="1457">
        <v>1</v>
      </c>
      <c r="O1219" s="1458">
        <v>2</v>
      </c>
    </row>
    <row r="1220" spans="3:15" ht="13.5">
      <c r="C1220" s="1463" t="s">
        <v>5012</v>
      </c>
      <c r="D1220" s="1460">
        <v>1</v>
      </c>
      <c r="E1220" s="1460">
        <v>1</v>
      </c>
      <c r="F1220" s="1461">
        <v>2</v>
      </c>
      <c r="G1220" s="1472" t="s">
        <v>5012</v>
      </c>
      <c r="H1220" s="1458">
        <v>1</v>
      </c>
      <c r="I1220" s="1458">
        <v>1</v>
      </c>
      <c r="J1220" s="1473">
        <v>2</v>
      </c>
      <c r="K1220" s="1462"/>
      <c r="L1220" s="1456">
        <v>13117130611</v>
      </c>
      <c r="M1220" s="1457">
        <v>1</v>
      </c>
      <c r="N1220" s="1457">
        <v>1</v>
      </c>
      <c r="O1220" s="1458">
        <v>2</v>
      </c>
    </row>
    <row r="1221" spans="3:15" ht="13.5">
      <c r="C1221" s="1463" t="s">
        <v>5013</v>
      </c>
      <c r="D1221" s="1460">
        <v>1</v>
      </c>
      <c r="E1221" s="1460">
        <v>1</v>
      </c>
      <c r="F1221" s="1461">
        <v>2</v>
      </c>
      <c r="G1221" s="1472" t="s">
        <v>5013</v>
      </c>
      <c r="H1221" s="1458">
        <v>1</v>
      </c>
      <c r="I1221" s="1458">
        <v>1</v>
      </c>
      <c r="J1221" s="1473">
        <v>2</v>
      </c>
      <c r="K1221" s="1462"/>
      <c r="L1221" s="1456">
        <v>13117130612</v>
      </c>
      <c r="M1221" s="1457">
        <v>1</v>
      </c>
      <c r="N1221" s="1457">
        <v>1</v>
      </c>
      <c r="O1221" s="1458">
        <v>2</v>
      </c>
    </row>
    <row r="1222" spans="3:15" ht="13.5">
      <c r="C1222" s="1463" t="s">
        <v>5014</v>
      </c>
      <c r="D1222" s="1460">
        <v>1</v>
      </c>
      <c r="E1222" s="1460">
        <v>1</v>
      </c>
      <c r="F1222" s="1461">
        <v>2</v>
      </c>
      <c r="G1222" s="1472" t="s">
        <v>5014</v>
      </c>
      <c r="H1222" s="1458">
        <v>1</v>
      </c>
      <c r="I1222" s="1458" t="s">
        <v>3911</v>
      </c>
      <c r="J1222" s="1473">
        <v>1</v>
      </c>
      <c r="K1222" s="1462"/>
      <c r="L1222" s="1456">
        <v>13117130613</v>
      </c>
      <c r="M1222" s="1457">
        <v>1</v>
      </c>
      <c r="N1222" s="1457">
        <v>1</v>
      </c>
      <c r="O1222" s="1458">
        <v>2</v>
      </c>
    </row>
    <row r="1223" spans="3:15" ht="13.5">
      <c r="C1223" s="1463" t="s">
        <v>5015</v>
      </c>
      <c r="D1223" s="1460">
        <v>0</v>
      </c>
      <c r="E1223" s="1460">
        <v>0</v>
      </c>
      <c r="F1223" s="1461">
        <v>0</v>
      </c>
      <c r="G1223" s="1472" t="s">
        <v>5015</v>
      </c>
      <c r="H1223" s="1458">
        <v>0</v>
      </c>
      <c r="I1223" s="1458">
        <v>0</v>
      </c>
      <c r="J1223" s="1473">
        <v>0</v>
      </c>
      <c r="K1223" s="1462"/>
      <c r="L1223" s="1456">
        <v>13119890101</v>
      </c>
      <c r="M1223" s="1457">
        <v>0</v>
      </c>
      <c r="N1223" s="1457">
        <v>0</v>
      </c>
      <c r="O1223" s="1458">
        <v>0</v>
      </c>
    </row>
    <row r="1224" spans="3:15" ht="13.5">
      <c r="C1224" s="1463" t="s">
        <v>5016</v>
      </c>
      <c r="D1224" s="1460">
        <v>0</v>
      </c>
      <c r="E1224" s="1460">
        <v>1</v>
      </c>
      <c r="F1224" s="1461">
        <v>1</v>
      </c>
      <c r="G1224" s="1472" t="s">
        <v>5016</v>
      </c>
      <c r="H1224" s="1458">
        <v>0</v>
      </c>
      <c r="I1224" s="1458">
        <v>0</v>
      </c>
      <c r="J1224" s="1473">
        <v>0</v>
      </c>
      <c r="K1224" s="1462"/>
      <c r="L1224" s="1456">
        <v>13119890102</v>
      </c>
      <c r="M1224" s="1457">
        <v>0</v>
      </c>
      <c r="N1224" s="1457">
        <v>1</v>
      </c>
      <c r="O1224" s="1458">
        <v>1</v>
      </c>
    </row>
    <row r="1225" spans="3:15" ht="13.5">
      <c r="C1225" s="1463" t="s">
        <v>5017</v>
      </c>
      <c r="D1225" s="1460">
        <v>0</v>
      </c>
      <c r="E1225" s="1460">
        <v>0</v>
      </c>
      <c r="F1225" s="1461">
        <v>0</v>
      </c>
      <c r="G1225" s="1472" t="s">
        <v>5017</v>
      </c>
      <c r="H1225" s="1458">
        <v>0</v>
      </c>
      <c r="I1225" s="1458">
        <v>0</v>
      </c>
      <c r="J1225" s="1473">
        <v>0</v>
      </c>
      <c r="K1225" s="1462"/>
      <c r="L1225" s="1456">
        <v>13119890200</v>
      </c>
      <c r="M1225" s="1457">
        <v>0</v>
      </c>
      <c r="N1225" s="1457">
        <v>0</v>
      </c>
      <c r="O1225" s="1458">
        <v>0</v>
      </c>
    </row>
    <row r="1226" spans="3:15" ht="13.5">
      <c r="C1226" s="1463" t="s">
        <v>5018</v>
      </c>
      <c r="D1226" s="1460">
        <v>0</v>
      </c>
      <c r="E1226" s="1460">
        <v>0</v>
      </c>
      <c r="F1226" s="1461">
        <v>0</v>
      </c>
      <c r="G1226" s="1472" t="s">
        <v>5018</v>
      </c>
      <c r="H1226" s="1458">
        <v>0</v>
      </c>
      <c r="I1226" s="1458">
        <v>0</v>
      </c>
      <c r="J1226" s="1473">
        <v>0</v>
      </c>
      <c r="K1226" s="1462"/>
      <c r="L1226" s="1456">
        <v>13119890300</v>
      </c>
      <c r="M1226" s="1457">
        <v>0</v>
      </c>
      <c r="N1226" s="1457">
        <v>0</v>
      </c>
      <c r="O1226" s="1458">
        <v>0</v>
      </c>
    </row>
    <row r="1227" spans="3:15" ht="13.5">
      <c r="C1227" s="1463" t="s">
        <v>5019</v>
      </c>
      <c r="D1227" s="1460">
        <v>0</v>
      </c>
      <c r="E1227" s="1460">
        <v>0</v>
      </c>
      <c r="F1227" s="1461">
        <v>0</v>
      </c>
      <c r="G1227" s="1472" t="s">
        <v>5019</v>
      </c>
      <c r="H1227" s="1458">
        <v>0</v>
      </c>
      <c r="I1227" s="1458">
        <v>0</v>
      </c>
      <c r="J1227" s="1473">
        <v>0</v>
      </c>
      <c r="K1227" s="1462"/>
      <c r="L1227" s="1456">
        <v>13119890400</v>
      </c>
      <c r="M1227" s="1457">
        <v>0</v>
      </c>
      <c r="N1227" s="1457">
        <v>0</v>
      </c>
      <c r="O1227" s="1458">
        <v>0</v>
      </c>
    </row>
    <row r="1228" spans="3:15" ht="13.5">
      <c r="C1228" s="1463" t="s">
        <v>5020</v>
      </c>
      <c r="D1228" s="1460">
        <v>1</v>
      </c>
      <c r="E1228" s="1460">
        <v>1</v>
      </c>
      <c r="F1228" s="1461">
        <v>2</v>
      </c>
      <c r="G1228" s="1472" t="s">
        <v>5020</v>
      </c>
      <c r="H1228" s="1458">
        <v>1</v>
      </c>
      <c r="I1228" s="1458">
        <v>1</v>
      </c>
      <c r="J1228" s="1473">
        <v>2</v>
      </c>
      <c r="K1228" s="1462"/>
      <c r="L1228" s="1456">
        <v>13121000100</v>
      </c>
      <c r="M1228" s="1457">
        <v>1</v>
      </c>
      <c r="N1228" s="1457">
        <v>1</v>
      </c>
      <c r="O1228" s="1458">
        <v>2</v>
      </c>
    </row>
    <row r="1229" spans="3:15" ht="13.5">
      <c r="C1229" s="1463" t="s">
        <v>5021</v>
      </c>
      <c r="D1229" s="1460">
        <v>1</v>
      </c>
      <c r="E1229" s="1460">
        <v>1</v>
      </c>
      <c r="F1229" s="1461">
        <v>2</v>
      </c>
      <c r="G1229" s="1472" t="s">
        <v>5021</v>
      </c>
      <c r="H1229" s="1458">
        <v>1</v>
      </c>
      <c r="I1229" s="1458">
        <v>1</v>
      </c>
      <c r="J1229" s="1473">
        <v>2</v>
      </c>
      <c r="K1229" s="1462"/>
      <c r="L1229" s="1456">
        <v>13121000200</v>
      </c>
      <c r="M1229" s="1457">
        <v>1</v>
      </c>
      <c r="N1229" s="1457">
        <v>1</v>
      </c>
      <c r="O1229" s="1458">
        <v>2</v>
      </c>
    </row>
    <row r="1230" spans="3:15" ht="13.5">
      <c r="C1230" s="1463" t="s">
        <v>5022</v>
      </c>
      <c r="D1230" s="1460">
        <v>1</v>
      </c>
      <c r="E1230" s="1460">
        <v>1</v>
      </c>
      <c r="F1230" s="1461">
        <v>2</v>
      </c>
      <c r="G1230" s="1472" t="s">
        <v>5022</v>
      </c>
      <c r="H1230" s="1458">
        <v>1</v>
      </c>
      <c r="I1230" s="1458">
        <v>1</v>
      </c>
      <c r="J1230" s="1473">
        <v>2</v>
      </c>
      <c r="K1230" s="1462"/>
      <c r="L1230" s="1456">
        <v>13121000400</v>
      </c>
      <c r="M1230" s="1457">
        <v>1</v>
      </c>
      <c r="N1230" s="1457">
        <v>1</v>
      </c>
      <c r="O1230" s="1458">
        <v>2</v>
      </c>
    </row>
    <row r="1231" spans="3:15" ht="13.5">
      <c r="C1231" s="1463" t="s">
        <v>5023</v>
      </c>
      <c r="D1231" s="1460">
        <v>1</v>
      </c>
      <c r="E1231" s="1460">
        <v>1</v>
      </c>
      <c r="F1231" s="1461">
        <v>2</v>
      </c>
      <c r="G1231" s="1472" t="s">
        <v>5023</v>
      </c>
      <c r="H1231" s="1458">
        <v>1</v>
      </c>
      <c r="I1231" s="1458" t="s">
        <v>3911</v>
      </c>
      <c r="J1231" s="1473">
        <v>1</v>
      </c>
      <c r="K1231" s="1462"/>
      <c r="L1231" s="1456">
        <v>13121000500</v>
      </c>
      <c r="M1231" s="1457">
        <v>1</v>
      </c>
      <c r="N1231" s="1457">
        <v>1</v>
      </c>
      <c r="O1231" s="1458">
        <v>2</v>
      </c>
    </row>
    <row r="1232" spans="3:15" ht="13.5">
      <c r="C1232" s="1463" t="s">
        <v>5024</v>
      </c>
      <c r="D1232" s="1460">
        <v>0</v>
      </c>
      <c r="E1232" s="1460">
        <v>1</v>
      </c>
      <c r="F1232" s="1461">
        <v>1</v>
      </c>
      <c r="G1232" s="1472" t="s">
        <v>5024</v>
      </c>
      <c r="H1232" s="1458">
        <v>0</v>
      </c>
      <c r="I1232" s="1458" t="s">
        <v>3911</v>
      </c>
      <c r="J1232" s="1473">
        <v>0</v>
      </c>
      <c r="K1232" s="1462"/>
      <c r="L1232" s="1456">
        <v>13121000600</v>
      </c>
      <c r="M1232" s="1457">
        <v>0</v>
      </c>
      <c r="N1232" s="1457">
        <v>1</v>
      </c>
      <c r="O1232" s="1458">
        <v>1</v>
      </c>
    </row>
    <row r="1233" spans="3:15" ht="13.5">
      <c r="C1233" s="1463" t="s">
        <v>5025</v>
      </c>
      <c r="D1233" s="1460">
        <v>0</v>
      </c>
      <c r="E1233" s="1460">
        <v>0</v>
      </c>
      <c r="F1233" s="1461">
        <v>0</v>
      </c>
      <c r="G1233" s="1472" t="s">
        <v>5025</v>
      </c>
      <c r="H1233" s="1458">
        <v>0</v>
      </c>
      <c r="I1233" s="1458" t="s">
        <v>3911</v>
      </c>
      <c r="J1233" s="1473">
        <v>0</v>
      </c>
      <c r="K1233" s="1462"/>
      <c r="L1233" s="1456">
        <v>13121000700</v>
      </c>
      <c r="M1233" s="1457">
        <v>0</v>
      </c>
      <c r="N1233" s="1457">
        <v>0</v>
      </c>
      <c r="O1233" s="1458">
        <v>0</v>
      </c>
    </row>
    <row r="1234" spans="3:15" ht="13.5">
      <c r="C1234" s="1463" t="s">
        <v>5026</v>
      </c>
      <c r="D1234" s="1460">
        <v>1</v>
      </c>
      <c r="E1234" s="1460">
        <v>1</v>
      </c>
      <c r="F1234" s="1461">
        <v>2</v>
      </c>
      <c r="G1234" s="1472" t="s">
        <v>5026</v>
      </c>
      <c r="H1234" s="1458">
        <v>1</v>
      </c>
      <c r="I1234" s="1458" t="s">
        <v>3911</v>
      </c>
      <c r="J1234" s="1473">
        <v>1</v>
      </c>
      <c r="K1234" s="1462"/>
      <c r="L1234" s="1456">
        <v>13121001001</v>
      </c>
      <c r="M1234" s="1457">
        <v>1</v>
      </c>
      <c r="N1234" s="1457">
        <v>1</v>
      </c>
      <c r="O1234" s="1458">
        <v>2</v>
      </c>
    </row>
    <row r="1235" spans="3:15" ht="13.5">
      <c r="C1235" s="1463" t="s">
        <v>5027</v>
      </c>
      <c r="D1235" s="1460">
        <v>0</v>
      </c>
      <c r="E1235" s="1460">
        <v>1</v>
      </c>
      <c r="F1235" s="1461">
        <v>1</v>
      </c>
      <c r="G1235" s="1472" t="s">
        <v>5027</v>
      </c>
      <c r="H1235" s="1458">
        <v>0</v>
      </c>
      <c r="I1235" s="1458" t="s">
        <v>3911</v>
      </c>
      <c r="J1235" s="1473">
        <v>0</v>
      </c>
      <c r="K1235" s="1462"/>
      <c r="L1235" s="1456">
        <v>13121001002</v>
      </c>
      <c r="M1235" s="1457">
        <v>0</v>
      </c>
      <c r="N1235" s="1457">
        <v>1</v>
      </c>
      <c r="O1235" s="1458">
        <v>1</v>
      </c>
    </row>
    <row r="1236" spans="3:15" ht="13.5">
      <c r="C1236" s="1463" t="s">
        <v>5028</v>
      </c>
      <c r="D1236" s="1460">
        <v>1</v>
      </c>
      <c r="E1236" s="1460">
        <v>1</v>
      </c>
      <c r="F1236" s="1461">
        <v>2</v>
      </c>
      <c r="G1236" s="1472" t="s">
        <v>5028</v>
      </c>
      <c r="H1236" s="1458">
        <v>1</v>
      </c>
      <c r="I1236" s="1458" t="s">
        <v>3911</v>
      </c>
      <c r="J1236" s="1473">
        <v>1</v>
      </c>
      <c r="K1236" s="1462"/>
      <c r="L1236" s="1456">
        <v>13121001100</v>
      </c>
      <c r="M1236" s="1457">
        <v>1</v>
      </c>
      <c r="N1236" s="1457">
        <v>1</v>
      </c>
      <c r="O1236" s="1458">
        <v>2</v>
      </c>
    </row>
    <row r="1237" spans="3:15" ht="13.5">
      <c r="C1237" s="1463" t="s">
        <v>5029</v>
      </c>
      <c r="D1237" s="1460">
        <v>1</v>
      </c>
      <c r="E1237" s="1460">
        <v>1</v>
      </c>
      <c r="F1237" s="1461">
        <v>2</v>
      </c>
      <c r="G1237" s="1472" t="s">
        <v>5029</v>
      </c>
      <c r="H1237" s="1458">
        <v>1</v>
      </c>
      <c r="I1237" s="1458">
        <v>1</v>
      </c>
      <c r="J1237" s="1473">
        <v>2</v>
      </c>
      <c r="K1237" s="1462"/>
      <c r="L1237" s="1456">
        <v>13121001201</v>
      </c>
      <c r="M1237" s="1457">
        <v>1</v>
      </c>
      <c r="N1237" s="1457">
        <v>1</v>
      </c>
      <c r="O1237" s="1458">
        <v>2</v>
      </c>
    </row>
    <row r="1238" spans="3:15" ht="13.5">
      <c r="C1238" s="1463" t="s">
        <v>5030</v>
      </c>
      <c r="D1238" s="1460">
        <v>1</v>
      </c>
      <c r="E1238" s="1460">
        <v>1</v>
      </c>
      <c r="F1238" s="1461">
        <v>2</v>
      </c>
      <c r="G1238" s="1472" t="s">
        <v>5030</v>
      </c>
      <c r="H1238" s="1458">
        <v>1</v>
      </c>
      <c r="I1238" s="1458" t="s">
        <v>3911</v>
      </c>
      <c r="J1238" s="1473">
        <v>1</v>
      </c>
      <c r="K1238" s="1462"/>
      <c r="L1238" s="1456">
        <v>13121001202</v>
      </c>
      <c r="M1238" s="1457">
        <v>1</v>
      </c>
      <c r="N1238" s="1457">
        <v>1</v>
      </c>
      <c r="O1238" s="1458">
        <v>2</v>
      </c>
    </row>
    <row r="1239" spans="3:15" ht="13.5">
      <c r="C1239" s="1463" t="s">
        <v>5031</v>
      </c>
      <c r="D1239" s="1460">
        <v>1</v>
      </c>
      <c r="E1239" s="1460">
        <v>1</v>
      </c>
      <c r="F1239" s="1461">
        <v>2</v>
      </c>
      <c r="G1239" s="1472" t="s">
        <v>5031</v>
      </c>
      <c r="H1239" s="1458">
        <v>1</v>
      </c>
      <c r="I1239" s="1458">
        <v>1</v>
      </c>
      <c r="J1239" s="1473">
        <v>2</v>
      </c>
      <c r="K1239" s="1462"/>
      <c r="L1239" s="1456">
        <v>13121001300</v>
      </c>
      <c r="M1239" s="1457">
        <v>1</v>
      </c>
      <c r="N1239" s="1457">
        <v>1</v>
      </c>
      <c r="O1239" s="1458">
        <v>2</v>
      </c>
    </row>
    <row r="1240" spans="3:15" ht="13.5">
      <c r="C1240" s="1463" t="s">
        <v>5032</v>
      </c>
      <c r="D1240" s="1460">
        <v>1</v>
      </c>
      <c r="E1240" s="1460">
        <v>1</v>
      </c>
      <c r="F1240" s="1461">
        <v>2</v>
      </c>
      <c r="G1240" s="1472" t="s">
        <v>5032</v>
      </c>
      <c r="H1240" s="1458">
        <v>1</v>
      </c>
      <c r="I1240" s="1458" t="s">
        <v>3911</v>
      </c>
      <c r="J1240" s="1473">
        <v>1</v>
      </c>
      <c r="K1240" s="1462"/>
      <c r="L1240" s="1456">
        <v>13121001400</v>
      </c>
      <c r="M1240" s="1457">
        <v>1</v>
      </c>
      <c r="N1240" s="1457">
        <v>1</v>
      </c>
      <c r="O1240" s="1458">
        <v>2</v>
      </c>
    </row>
    <row r="1241" spans="3:15" ht="13.5">
      <c r="C1241" s="1463" t="s">
        <v>5033</v>
      </c>
      <c r="D1241" s="1460">
        <v>1</v>
      </c>
      <c r="E1241" s="1460">
        <v>1</v>
      </c>
      <c r="F1241" s="1461">
        <v>2</v>
      </c>
      <c r="G1241" s="1472" t="s">
        <v>5033</v>
      </c>
      <c r="H1241" s="1458">
        <v>1</v>
      </c>
      <c r="I1241" s="1458">
        <v>0</v>
      </c>
      <c r="J1241" s="1473">
        <v>1</v>
      </c>
      <c r="K1241" s="1462"/>
      <c r="L1241" s="1456">
        <v>13121001500</v>
      </c>
      <c r="M1241" s="1457">
        <v>1</v>
      </c>
      <c r="N1241" s="1457">
        <v>1</v>
      </c>
      <c r="O1241" s="1458">
        <v>2</v>
      </c>
    </row>
    <row r="1242" spans="3:15" ht="13.5">
      <c r="C1242" s="1463" t="s">
        <v>5034</v>
      </c>
      <c r="D1242" s="1460">
        <v>1</v>
      </c>
      <c r="E1242" s="1460">
        <v>1</v>
      </c>
      <c r="F1242" s="1461">
        <v>2</v>
      </c>
      <c r="G1242" s="1472" t="s">
        <v>5034</v>
      </c>
      <c r="H1242" s="1458">
        <v>1</v>
      </c>
      <c r="I1242" s="1458" t="s">
        <v>3911</v>
      </c>
      <c r="J1242" s="1473">
        <v>1</v>
      </c>
      <c r="K1242" s="1462"/>
      <c r="L1242" s="1456">
        <v>13121001600</v>
      </c>
      <c r="M1242" s="1457">
        <v>1</v>
      </c>
      <c r="N1242" s="1457">
        <v>1</v>
      </c>
      <c r="O1242" s="1458">
        <v>2</v>
      </c>
    </row>
    <row r="1243" spans="3:15" ht="13.5">
      <c r="C1243" s="1463" t="s">
        <v>5035</v>
      </c>
      <c r="D1243" s="1460">
        <v>1</v>
      </c>
      <c r="E1243" s="1460">
        <v>0</v>
      </c>
      <c r="F1243" s="1461">
        <v>1</v>
      </c>
      <c r="G1243" s="1472" t="s">
        <v>5035</v>
      </c>
      <c r="H1243" s="1458">
        <v>1</v>
      </c>
      <c r="I1243" s="1458">
        <v>1</v>
      </c>
      <c r="J1243" s="1473">
        <v>2</v>
      </c>
      <c r="K1243" s="1462"/>
      <c r="L1243" s="1456">
        <v>13121001700</v>
      </c>
      <c r="M1243" s="1457">
        <v>1</v>
      </c>
      <c r="N1243" s="1457">
        <v>1</v>
      </c>
      <c r="O1243" s="1458">
        <v>2</v>
      </c>
    </row>
    <row r="1244" spans="3:15" ht="13.5">
      <c r="C1244" s="1463" t="s">
        <v>5036</v>
      </c>
      <c r="D1244" s="1460">
        <v>0</v>
      </c>
      <c r="E1244" s="1460">
        <v>0</v>
      </c>
      <c r="F1244" s="1461">
        <v>0</v>
      </c>
      <c r="G1244" s="1472" t="s">
        <v>5036</v>
      </c>
      <c r="H1244" s="1458">
        <v>0</v>
      </c>
      <c r="I1244" s="1458">
        <v>1</v>
      </c>
      <c r="J1244" s="1473">
        <v>1</v>
      </c>
      <c r="K1244" s="1462"/>
      <c r="L1244" s="1456">
        <v>13121001800</v>
      </c>
      <c r="M1244" s="1457">
        <v>0</v>
      </c>
      <c r="N1244" s="1457">
        <v>1</v>
      </c>
      <c r="O1244" s="1458">
        <v>1</v>
      </c>
    </row>
    <row r="1245" spans="3:15" ht="13.5">
      <c r="C1245" s="1463" t="s">
        <v>5037</v>
      </c>
      <c r="D1245" s="1460">
        <v>0</v>
      </c>
      <c r="E1245" s="1460">
        <v>1</v>
      </c>
      <c r="F1245" s="1461">
        <v>1</v>
      </c>
      <c r="G1245" s="1472" t="s">
        <v>5037</v>
      </c>
      <c r="H1245" s="1458">
        <v>0</v>
      </c>
      <c r="I1245" s="1458" t="s">
        <v>3911</v>
      </c>
      <c r="J1245" s="1473">
        <v>0</v>
      </c>
      <c r="K1245" s="1462"/>
      <c r="L1245" s="1456">
        <v>13121001900</v>
      </c>
      <c r="M1245" s="1457">
        <v>0</v>
      </c>
      <c r="N1245" s="1457">
        <v>1</v>
      </c>
      <c r="O1245" s="1458">
        <v>1</v>
      </c>
    </row>
    <row r="1246" spans="3:15" ht="13.5">
      <c r="C1246" s="1463" t="s">
        <v>5038</v>
      </c>
      <c r="D1246" s="1460">
        <v>0</v>
      </c>
      <c r="E1246" s="1460">
        <v>0</v>
      </c>
      <c r="F1246" s="1461">
        <v>0</v>
      </c>
      <c r="G1246" s="1472" t="s">
        <v>5038</v>
      </c>
      <c r="H1246" s="1458">
        <v>0</v>
      </c>
      <c r="I1246" s="1458" t="s">
        <v>3911</v>
      </c>
      <c r="J1246" s="1473">
        <v>0</v>
      </c>
      <c r="K1246" s="1462"/>
      <c r="L1246" s="1456">
        <v>13121002100</v>
      </c>
      <c r="M1246" s="1457">
        <v>0</v>
      </c>
      <c r="N1246" s="1457">
        <v>0</v>
      </c>
      <c r="O1246" s="1458">
        <v>0</v>
      </c>
    </row>
    <row r="1247" spans="3:15" ht="13.5">
      <c r="C1247" s="1463" t="s">
        <v>5039</v>
      </c>
      <c r="D1247" s="1460">
        <v>0</v>
      </c>
      <c r="E1247" s="1460">
        <v>0</v>
      </c>
      <c r="F1247" s="1461">
        <v>0</v>
      </c>
      <c r="G1247" s="1472" t="s">
        <v>5039</v>
      </c>
      <c r="H1247" s="1458">
        <v>0</v>
      </c>
      <c r="I1247" s="1458">
        <v>0</v>
      </c>
      <c r="J1247" s="1473">
        <v>0</v>
      </c>
      <c r="K1247" s="1462"/>
      <c r="L1247" s="1456">
        <v>13121002300</v>
      </c>
      <c r="M1247" s="1457">
        <v>0</v>
      </c>
      <c r="N1247" s="1457">
        <v>0</v>
      </c>
      <c r="O1247" s="1458">
        <v>0</v>
      </c>
    </row>
    <row r="1248" spans="3:15" ht="13.5">
      <c r="C1248" s="1463" t="s">
        <v>5040</v>
      </c>
      <c r="D1248" s="1460">
        <v>0</v>
      </c>
      <c r="E1248" s="1460">
        <v>0</v>
      </c>
      <c r="F1248" s="1461">
        <v>0</v>
      </c>
      <c r="G1248" s="1472" t="s">
        <v>5040</v>
      </c>
      <c r="H1248" s="1458">
        <v>0</v>
      </c>
      <c r="I1248" s="1458">
        <v>0</v>
      </c>
      <c r="J1248" s="1473">
        <v>0</v>
      </c>
      <c r="K1248" s="1462"/>
      <c r="L1248" s="1456">
        <v>13121002400</v>
      </c>
      <c r="M1248" s="1457">
        <v>0</v>
      </c>
      <c r="N1248" s="1457">
        <v>0</v>
      </c>
      <c r="O1248" s="1458">
        <v>0</v>
      </c>
    </row>
    <row r="1249" spans="3:15" ht="13.5">
      <c r="C1249" s="1463" t="s">
        <v>5041</v>
      </c>
      <c r="D1249" s="1460">
        <v>0</v>
      </c>
      <c r="E1249" s="1460">
        <v>0</v>
      </c>
      <c r="F1249" s="1461">
        <v>0</v>
      </c>
      <c r="G1249" s="1472" t="s">
        <v>5041</v>
      </c>
      <c r="H1249" s="1458">
        <v>0</v>
      </c>
      <c r="I1249" s="1458">
        <v>0</v>
      </c>
      <c r="J1249" s="1473">
        <v>0</v>
      </c>
      <c r="K1249" s="1462"/>
      <c r="L1249" s="1456">
        <v>13121002500</v>
      </c>
      <c r="M1249" s="1457">
        <v>0</v>
      </c>
      <c r="N1249" s="1457">
        <v>0</v>
      </c>
      <c r="O1249" s="1458">
        <v>0</v>
      </c>
    </row>
    <row r="1250" spans="3:15" ht="13.5">
      <c r="C1250" s="1463" t="s">
        <v>5042</v>
      </c>
      <c r="D1250" s="1460">
        <v>0</v>
      </c>
      <c r="E1250" s="1460">
        <v>0</v>
      </c>
      <c r="F1250" s="1461">
        <v>0</v>
      </c>
      <c r="G1250" s="1472" t="s">
        <v>5042</v>
      </c>
      <c r="H1250" s="1458">
        <v>0</v>
      </c>
      <c r="I1250" s="1458" t="s">
        <v>3911</v>
      </c>
      <c r="J1250" s="1473">
        <v>0</v>
      </c>
      <c r="K1250" s="1462"/>
      <c r="L1250" s="1456">
        <v>13121002600</v>
      </c>
      <c r="M1250" s="1457">
        <v>0</v>
      </c>
      <c r="N1250" s="1457">
        <v>0</v>
      </c>
      <c r="O1250" s="1458">
        <v>0</v>
      </c>
    </row>
    <row r="1251" spans="3:15" ht="13.5">
      <c r="C1251" s="1463" t="s">
        <v>5043</v>
      </c>
      <c r="D1251" s="1460">
        <v>0</v>
      </c>
      <c r="E1251" s="1460">
        <v>0</v>
      </c>
      <c r="F1251" s="1461">
        <v>0</v>
      </c>
      <c r="G1251" s="1472" t="s">
        <v>5043</v>
      </c>
      <c r="H1251" s="1458">
        <v>0</v>
      </c>
      <c r="I1251" s="1458" t="s">
        <v>3911</v>
      </c>
      <c r="J1251" s="1473">
        <v>0</v>
      </c>
      <c r="K1251" s="1462"/>
      <c r="L1251" s="1456">
        <v>13121002800</v>
      </c>
      <c r="M1251" s="1457">
        <v>0</v>
      </c>
      <c r="N1251" s="1457">
        <v>0</v>
      </c>
      <c r="O1251" s="1458">
        <v>0</v>
      </c>
    </row>
    <row r="1252" spans="3:15" ht="13.5">
      <c r="C1252" s="1463" t="s">
        <v>5044</v>
      </c>
      <c r="D1252" s="1460">
        <v>1</v>
      </c>
      <c r="E1252" s="1460">
        <v>1</v>
      </c>
      <c r="F1252" s="1461">
        <v>2</v>
      </c>
      <c r="G1252" s="1472" t="s">
        <v>5044</v>
      </c>
      <c r="H1252" s="1458">
        <v>1</v>
      </c>
      <c r="I1252" s="1458">
        <v>1</v>
      </c>
      <c r="J1252" s="1473">
        <v>2</v>
      </c>
      <c r="K1252" s="1462"/>
      <c r="L1252" s="1456">
        <v>13121002900</v>
      </c>
      <c r="M1252" s="1457">
        <v>1</v>
      </c>
      <c r="N1252" s="1457">
        <v>1</v>
      </c>
      <c r="O1252" s="1458">
        <v>2</v>
      </c>
    </row>
    <row r="1253" spans="3:15" ht="13.5">
      <c r="C1253" s="1463" t="s">
        <v>5045</v>
      </c>
      <c r="D1253" s="1460">
        <v>1</v>
      </c>
      <c r="E1253" s="1460">
        <v>1</v>
      </c>
      <c r="F1253" s="1461">
        <v>2</v>
      </c>
      <c r="G1253" s="1472" t="s">
        <v>5045</v>
      </c>
      <c r="H1253" s="1458">
        <v>1</v>
      </c>
      <c r="I1253" s="1458" t="s">
        <v>3911</v>
      </c>
      <c r="J1253" s="1473">
        <v>1</v>
      </c>
      <c r="K1253" s="1462"/>
      <c r="L1253" s="1456">
        <v>13121003000</v>
      </c>
      <c r="M1253" s="1457">
        <v>1</v>
      </c>
      <c r="N1253" s="1457">
        <v>1</v>
      </c>
      <c r="O1253" s="1458">
        <v>2</v>
      </c>
    </row>
    <row r="1254" spans="3:15" ht="13.5">
      <c r="C1254" s="1463" t="s">
        <v>5046</v>
      </c>
      <c r="D1254" s="1460">
        <v>1</v>
      </c>
      <c r="E1254" s="1460">
        <v>0</v>
      </c>
      <c r="F1254" s="1461">
        <v>1</v>
      </c>
      <c r="G1254" s="1472" t="s">
        <v>5046</v>
      </c>
      <c r="H1254" s="1458">
        <v>1</v>
      </c>
      <c r="I1254" s="1458">
        <v>0</v>
      </c>
      <c r="J1254" s="1473">
        <v>1</v>
      </c>
      <c r="K1254" s="1462"/>
      <c r="L1254" s="1456">
        <v>13121003100</v>
      </c>
      <c r="M1254" s="1457">
        <v>1</v>
      </c>
      <c r="N1254" s="1457">
        <v>0</v>
      </c>
      <c r="O1254" s="1458">
        <v>1</v>
      </c>
    </row>
    <row r="1255" spans="3:15" ht="13.5">
      <c r="C1255" s="1463" t="s">
        <v>5047</v>
      </c>
      <c r="D1255" s="1460">
        <v>1</v>
      </c>
      <c r="E1255" s="1460">
        <v>1</v>
      </c>
      <c r="F1255" s="1461">
        <v>2</v>
      </c>
      <c r="G1255" s="1472" t="s">
        <v>5047</v>
      </c>
      <c r="H1255" s="1458">
        <v>1</v>
      </c>
      <c r="I1255" s="1458" t="s">
        <v>3911</v>
      </c>
      <c r="J1255" s="1473">
        <v>1</v>
      </c>
      <c r="K1255" s="1462"/>
      <c r="L1255" s="1456">
        <v>13121003200</v>
      </c>
      <c r="M1255" s="1457">
        <v>1</v>
      </c>
      <c r="N1255" s="1457">
        <v>1</v>
      </c>
      <c r="O1255" s="1458">
        <v>2</v>
      </c>
    </row>
    <row r="1256" spans="3:15" ht="13.5">
      <c r="C1256" s="1463" t="s">
        <v>5048</v>
      </c>
      <c r="D1256" s="1460">
        <v>0</v>
      </c>
      <c r="E1256" s="1460">
        <v>0</v>
      </c>
      <c r="F1256" s="1461">
        <v>0</v>
      </c>
      <c r="G1256" s="1472" t="s">
        <v>5048</v>
      </c>
      <c r="H1256" s="1458">
        <v>0</v>
      </c>
      <c r="I1256" s="1458" t="s">
        <v>3911</v>
      </c>
      <c r="J1256" s="1473">
        <v>0</v>
      </c>
      <c r="K1256" s="1462"/>
      <c r="L1256" s="1456">
        <v>13121003500</v>
      </c>
      <c r="M1256" s="1457">
        <v>0</v>
      </c>
      <c r="N1256" s="1457">
        <v>0</v>
      </c>
      <c r="O1256" s="1458">
        <v>0</v>
      </c>
    </row>
    <row r="1257" spans="3:15" ht="13.5">
      <c r="C1257" s="1463" t="s">
        <v>5049</v>
      </c>
      <c r="D1257" s="1460">
        <v>1</v>
      </c>
      <c r="E1257" s="1460">
        <v>0</v>
      </c>
      <c r="F1257" s="1461">
        <v>1</v>
      </c>
      <c r="G1257" s="1472" t="s">
        <v>5049</v>
      </c>
      <c r="H1257" s="1458">
        <v>0</v>
      </c>
      <c r="I1257" s="1458">
        <v>0</v>
      </c>
      <c r="J1257" s="1473">
        <v>0</v>
      </c>
      <c r="K1257" s="1462"/>
      <c r="L1257" s="1456">
        <v>13121003600</v>
      </c>
      <c r="M1257" s="1457">
        <v>1</v>
      </c>
      <c r="N1257" s="1457">
        <v>0</v>
      </c>
      <c r="O1257" s="1458">
        <v>1</v>
      </c>
    </row>
    <row r="1258" spans="3:15" ht="13.5">
      <c r="C1258" s="1463" t="s">
        <v>5050</v>
      </c>
      <c r="D1258" s="1460" t="s">
        <v>3911</v>
      </c>
      <c r="E1258" s="1460" t="s">
        <v>3911</v>
      </c>
      <c r="F1258" s="1461">
        <v>0</v>
      </c>
      <c r="G1258" s="1472" t="s">
        <v>5050</v>
      </c>
      <c r="H1258" s="1458">
        <v>0</v>
      </c>
      <c r="I1258" s="1458" t="s">
        <v>3911</v>
      </c>
      <c r="J1258" s="1473">
        <v>0</v>
      </c>
      <c r="K1258" s="1462"/>
      <c r="L1258" s="1456">
        <v>13121003700</v>
      </c>
      <c r="M1258" s="1457">
        <v>0</v>
      </c>
      <c r="N1258" s="1457">
        <v>0</v>
      </c>
      <c r="O1258" s="1458">
        <v>0</v>
      </c>
    </row>
    <row r="1259" spans="3:15" ht="13.5">
      <c r="C1259" s="1463" t="s">
        <v>5051</v>
      </c>
      <c r="D1259" s="1460">
        <v>0</v>
      </c>
      <c r="E1259" s="1460">
        <v>0</v>
      </c>
      <c r="F1259" s="1461">
        <v>0</v>
      </c>
      <c r="G1259" s="1472" t="s">
        <v>5051</v>
      </c>
      <c r="H1259" s="1458">
        <v>0</v>
      </c>
      <c r="I1259" s="1458" t="s">
        <v>3911</v>
      </c>
      <c r="J1259" s="1473">
        <v>0</v>
      </c>
      <c r="K1259" s="1462"/>
      <c r="L1259" s="1456">
        <v>13121003800</v>
      </c>
      <c r="M1259" s="1457">
        <v>0</v>
      </c>
      <c r="N1259" s="1457">
        <v>0</v>
      </c>
      <c r="O1259" s="1458">
        <v>0</v>
      </c>
    </row>
    <row r="1260" spans="3:15" ht="13.5">
      <c r="C1260" s="1463" t="s">
        <v>5052</v>
      </c>
      <c r="D1260" s="1460">
        <v>0</v>
      </c>
      <c r="E1260" s="1460">
        <v>0</v>
      </c>
      <c r="F1260" s="1461">
        <v>0</v>
      </c>
      <c r="G1260" s="1472" t="s">
        <v>5052</v>
      </c>
      <c r="H1260" s="1458">
        <v>0</v>
      </c>
      <c r="I1260" s="1458">
        <v>0</v>
      </c>
      <c r="J1260" s="1473">
        <v>0</v>
      </c>
      <c r="K1260" s="1462"/>
      <c r="L1260" s="1456">
        <v>13121003900</v>
      </c>
      <c r="M1260" s="1457">
        <v>0</v>
      </c>
      <c r="N1260" s="1457">
        <v>0</v>
      </c>
      <c r="O1260" s="1458">
        <v>0</v>
      </c>
    </row>
    <row r="1261" spans="3:15" ht="13.5">
      <c r="C1261" s="1463" t="s">
        <v>5053</v>
      </c>
      <c r="D1261" s="1460">
        <v>0</v>
      </c>
      <c r="E1261" s="1460">
        <v>0</v>
      </c>
      <c r="F1261" s="1461">
        <v>0</v>
      </c>
      <c r="G1261" s="1472" t="s">
        <v>5053</v>
      </c>
      <c r="H1261" s="1458">
        <v>0</v>
      </c>
      <c r="I1261" s="1458">
        <v>0</v>
      </c>
      <c r="J1261" s="1473">
        <v>0</v>
      </c>
      <c r="K1261" s="1462"/>
      <c r="L1261" s="1456">
        <v>13121004000</v>
      </c>
      <c r="M1261" s="1457">
        <v>0</v>
      </c>
      <c r="N1261" s="1457">
        <v>0</v>
      </c>
      <c r="O1261" s="1458">
        <v>0</v>
      </c>
    </row>
    <row r="1262" spans="3:15" ht="13.5">
      <c r="C1262" s="1463" t="s">
        <v>5054</v>
      </c>
      <c r="D1262" s="1460">
        <v>0</v>
      </c>
      <c r="E1262" s="1460">
        <v>0</v>
      </c>
      <c r="F1262" s="1461">
        <v>0</v>
      </c>
      <c r="G1262" s="1472" t="s">
        <v>5054</v>
      </c>
      <c r="H1262" s="1458">
        <v>0</v>
      </c>
      <c r="I1262" s="1458">
        <v>0</v>
      </c>
      <c r="J1262" s="1473">
        <v>0</v>
      </c>
      <c r="K1262" s="1462"/>
      <c r="L1262" s="1456">
        <v>13121004100</v>
      </c>
      <c r="M1262" s="1457">
        <v>0</v>
      </c>
      <c r="N1262" s="1457">
        <v>0</v>
      </c>
      <c r="O1262" s="1458">
        <v>0</v>
      </c>
    </row>
    <row r="1263" spans="3:15" ht="13.5">
      <c r="C1263" s="1463" t="s">
        <v>5055</v>
      </c>
      <c r="D1263" s="1460">
        <v>0</v>
      </c>
      <c r="E1263" s="1460">
        <v>0</v>
      </c>
      <c r="F1263" s="1461">
        <v>0</v>
      </c>
      <c r="G1263" s="1472" t="s">
        <v>5055</v>
      </c>
      <c r="H1263" s="1458">
        <v>0</v>
      </c>
      <c r="I1263" s="1458">
        <v>0</v>
      </c>
      <c r="J1263" s="1473">
        <v>0</v>
      </c>
      <c r="K1263" s="1462"/>
      <c r="L1263" s="1456">
        <v>13121004200</v>
      </c>
      <c r="M1263" s="1457">
        <v>0</v>
      </c>
      <c r="N1263" s="1457">
        <v>0</v>
      </c>
      <c r="O1263" s="1458">
        <v>0</v>
      </c>
    </row>
    <row r="1264" spans="3:15" ht="13.5">
      <c r="C1264" s="1463" t="s">
        <v>5056</v>
      </c>
      <c r="D1264" s="1460">
        <v>0</v>
      </c>
      <c r="E1264" s="1460">
        <v>0</v>
      </c>
      <c r="F1264" s="1461">
        <v>0</v>
      </c>
      <c r="G1264" s="1472" t="s">
        <v>5056</v>
      </c>
      <c r="H1264" s="1458">
        <v>0</v>
      </c>
      <c r="I1264" s="1458" t="s">
        <v>3911</v>
      </c>
      <c r="J1264" s="1473">
        <v>0</v>
      </c>
      <c r="K1264" s="1462"/>
      <c r="L1264" s="1456">
        <v>13121004300</v>
      </c>
      <c r="M1264" s="1457">
        <v>0</v>
      </c>
      <c r="N1264" s="1457">
        <v>0</v>
      </c>
      <c r="O1264" s="1458">
        <v>0</v>
      </c>
    </row>
    <row r="1265" spans="3:15" ht="13.5">
      <c r="C1265" s="1463" t="s">
        <v>5057</v>
      </c>
      <c r="D1265" s="1460">
        <v>0</v>
      </c>
      <c r="E1265" s="1460">
        <v>0</v>
      </c>
      <c r="F1265" s="1461">
        <v>0</v>
      </c>
      <c r="G1265" s="1472" t="s">
        <v>5057</v>
      </c>
      <c r="H1265" s="1458">
        <v>0</v>
      </c>
      <c r="I1265" s="1458">
        <v>0</v>
      </c>
      <c r="J1265" s="1473">
        <v>0</v>
      </c>
      <c r="K1265" s="1462"/>
      <c r="L1265" s="1456">
        <v>13121004400</v>
      </c>
      <c r="M1265" s="1457">
        <v>0</v>
      </c>
      <c r="N1265" s="1457">
        <v>0</v>
      </c>
      <c r="O1265" s="1458">
        <v>0</v>
      </c>
    </row>
    <row r="1266" spans="3:15" ht="13.5">
      <c r="C1266" s="1463" t="s">
        <v>5058</v>
      </c>
      <c r="D1266" s="1460">
        <v>0</v>
      </c>
      <c r="E1266" s="1460">
        <v>0</v>
      </c>
      <c r="F1266" s="1461">
        <v>0</v>
      </c>
      <c r="G1266" s="1472" t="s">
        <v>5058</v>
      </c>
      <c r="H1266" s="1458">
        <v>0</v>
      </c>
      <c r="I1266" s="1458" t="s">
        <v>3911</v>
      </c>
      <c r="J1266" s="1473">
        <v>0</v>
      </c>
      <c r="K1266" s="1462"/>
      <c r="L1266" s="1456">
        <v>13121004800</v>
      </c>
      <c r="M1266" s="1457">
        <v>0</v>
      </c>
      <c r="N1266" s="1457">
        <v>0</v>
      </c>
      <c r="O1266" s="1458">
        <v>0</v>
      </c>
    </row>
    <row r="1267" spans="3:15" ht="13.5">
      <c r="C1267" s="1463" t="s">
        <v>5059</v>
      </c>
      <c r="D1267" s="1460">
        <v>1</v>
      </c>
      <c r="E1267" s="1460">
        <v>0</v>
      </c>
      <c r="F1267" s="1461">
        <v>1</v>
      </c>
      <c r="G1267" s="1472" t="s">
        <v>5059</v>
      </c>
      <c r="H1267" s="1458">
        <v>1</v>
      </c>
      <c r="I1267" s="1458" t="s">
        <v>3911</v>
      </c>
      <c r="J1267" s="1473">
        <v>1</v>
      </c>
      <c r="K1267" s="1462"/>
      <c r="L1267" s="1456">
        <v>13121004900</v>
      </c>
      <c r="M1267" s="1457">
        <v>1</v>
      </c>
      <c r="N1267" s="1457">
        <v>0</v>
      </c>
      <c r="O1267" s="1458">
        <v>1</v>
      </c>
    </row>
    <row r="1268" spans="3:15" ht="13.5">
      <c r="C1268" s="1463" t="s">
        <v>5060</v>
      </c>
      <c r="D1268" s="1460">
        <v>1</v>
      </c>
      <c r="E1268" s="1460">
        <v>1</v>
      </c>
      <c r="F1268" s="1461">
        <v>2</v>
      </c>
      <c r="G1268" s="1472" t="s">
        <v>5060</v>
      </c>
      <c r="H1268" s="1458">
        <v>1</v>
      </c>
      <c r="I1268" s="1458">
        <v>1</v>
      </c>
      <c r="J1268" s="1473">
        <v>2</v>
      </c>
      <c r="K1268" s="1462"/>
      <c r="L1268" s="1456">
        <v>13121005000</v>
      </c>
      <c r="M1268" s="1457">
        <v>1</v>
      </c>
      <c r="N1268" s="1457">
        <v>1</v>
      </c>
      <c r="O1268" s="1458">
        <v>2</v>
      </c>
    </row>
    <row r="1269" spans="3:15" ht="13.5">
      <c r="C1269" s="1463" t="s">
        <v>5061</v>
      </c>
      <c r="D1269" s="1460">
        <v>1</v>
      </c>
      <c r="E1269" s="1460">
        <v>1</v>
      </c>
      <c r="F1269" s="1461">
        <v>2</v>
      </c>
      <c r="G1269" s="1472" t="s">
        <v>5061</v>
      </c>
      <c r="H1269" s="1458">
        <v>1</v>
      </c>
      <c r="I1269" s="1458">
        <v>1</v>
      </c>
      <c r="J1269" s="1473">
        <v>2</v>
      </c>
      <c r="K1269" s="1462"/>
      <c r="L1269" s="1456">
        <v>13121005200</v>
      </c>
      <c r="M1269" s="1457">
        <v>1</v>
      </c>
      <c r="N1269" s="1457">
        <v>1</v>
      </c>
      <c r="O1269" s="1458">
        <v>2</v>
      </c>
    </row>
    <row r="1270" spans="3:15" ht="13.5">
      <c r="C1270" s="1463" t="s">
        <v>5062</v>
      </c>
      <c r="D1270" s="1460">
        <v>1</v>
      </c>
      <c r="E1270" s="1460">
        <v>1</v>
      </c>
      <c r="F1270" s="1461">
        <v>2</v>
      </c>
      <c r="G1270" s="1472" t="s">
        <v>5062</v>
      </c>
      <c r="H1270" s="1458">
        <v>1</v>
      </c>
      <c r="I1270" s="1458">
        <v>1</v>
      </c>
      <c r="J1270" s="1473">
        <v>2</v>
      </c>
      <c r="K1270" s="1462"/>
      <c r="L1270" s="1456">
        <v>13121005300</v>
      </c>
      <c r="M1270" s="1457">
        <v>1</v>
      </c>
      <c r="N1270" s="1457">
        <v>1</v>
      </c>
      <c r="O1270" s="1458">
        <v>2</v>
      </c>
    </row>
    <row r="1271" spans="3:15" ht="13.5">
      <c r="C1271" s="1463" t="s">
        <v>5063</v>
      </c>
      <c r="D1271" s="1460">
        <v>0</v>
      </c>
      <c r="E1271" s="1460">
        <v>0</v>
      </c>
      <c r="F1271" s="1461">
        <v>0</v>
      </c>
      <c r="G1271" s="1472" t="s">
        <v>5063</v>
      </c>
      <c r="H1271" s="1458">
        <v>0</v>
      </c>
      <c r="I1271" s="1458">
        <v>0</v>
      </c>
      <c r="J1271" s="1473">
        <v>0</v>
      </c>
      <c r="K1271" s="1462"/>
      <c r="L1271" s="1456">
        <v>13121005501</v>
      </c>
      <c r="M1271" s="1457">
        <v>0</v>
      </c>
      <c r="N1271" s="1457">
        <v>0</v>
      </c>
      <c r="O1271" s="1458">
        <v>0</v>
      </c>
    </row>
    <row r="1272" spans="3:15" ht="13.5">
      <c r="C1272" s="1463" t="s">
        <v>5064</v>
      </c>
      <c r="D1272" s="1460">
        <v>0</v>
      </c>
      <c r="E1272" s="1460">
        <v>0</v>
      </c>
      <c r="F1272" s="1461">
        <v>0</v>
      </c>
      <c r="G1272" s="1472" t="s">
        <v>5064</v>
      </c>
      <c r="H1272" s="1458">
        <v>0</v>
      </c>
      <c r="I1272" s="1458">
        <v>0</v>
      </c>
      <c r="J1272" s="1473">
        <v>0</v>
      </c>
      <c r="K1272" s="1462"/>
      <c r="L1272" s="1456">
        <v>13121005502</v>
      </c>
      <c r="M1272" s="1457">
        <v>0</v>
      </c>
      <c r="N1272" s="1457">
        <v>0</v>
      </c>
      <c r="O1272" s="1458">
        <v>0</v>
      </c>
    </row>
    <row r="1273" spans="3:15" ht="13.5">
      <c r="C1273" s="1463" t="s">
        <v>5065</v>
      </c>
      <c r="D1273" s="1460">
        <v>0</v>
      </c>
      <c r="E1273" s="1460">
        <v>0</v>
      </c>
      <c r="F1273" s="1461">
        <v>0</v>
      </c>
      <c r="G1273" s="1472" t="s">
        <v>5065</v>
      </c>
      <c r="H1273" s="1458">
        <v>0</v>
      </c>
      <c r="I1273" s="1458">
        <v>0</v>
      </c>
      <c r="J1273" s="1473">
        <v>0</v>
      </c>
      <c r="K1273" s="1462"/>
      <c r="L1273" s="1456">
        <v>13121005700</v>
      </c>
      <c r="M1273" s="1457">
        <v>0</v>
      </c>
      <c r="N1273" s="1457">
        <v>0</v>
      </c>
      <c r="O1273" s="1458">
        <v>0</v>
      </c>
    </row>
    <row r="1274" spans="3:15" ht="13.5">
      <c r="C1274" s="1463" t="s">
        <v>5066</v>
      </c>
      <c r="D1274" s="1460">
        <v>0</v>
      </c>
      <c r="E1274" s="1460">
        <v>0</v>
      </c>
      <c r="F1274" s="1461">
        <v>0</v>
      </c>
      <c r="G1274" s="1472" t="s">
        <v>5066</v>
      </c>
      <c r="H1274" s="1458">
        <v>0</v>
      </c>
      <c r="I1274" s="1458">
        <v>0</v>
      </c>
      <c r="J1274" s="1473">
        <v>0</v>
      </c>
      <c r="K1274" s="1462"/>
      <c r="L1274" s="1456">
        <v>13121005800</v>
      </c>
      <c r="M1274" s="1457">
        <v>0</v>
      </c>
      <c r="N1274" s="1457">
        <v>0</v>
      </c>
      <c r="O1274" s="1458">
        <v>0</v>
      </c>
    </row>
    <row r="1275" spans="3:15" ht="13.5">
      <c r="C1275" s="1463" t="s">
        <v>5067</v>
      </c>
      <c r="D1275" s="1460">
        <v>0</v>
      </c>
      <c r="E1275" s="1460">
        <v>0</v>
      </c>
      <c r="F1275" s="1461">
        <v>0</v>
      </c>
      <c r="G1275" s="1472" t="s">
        <v>5067</v>
      </c>
      <c r="H1275" s="1458">
        <v>0</v>
      </c>
      <c r="I1275" s="1458">
        <v>0</v>
      </c>
      <c r="J1275" s="1473">
        <v>0</v>
      </c>
      <c r="K1275" s="1462"/>
      <c r="L1275" s="1456">
        <v>13121006000</v>
      </c>
      <c r="M1275" s="1457">
        <v>0</v>
      </c>
      <c r="N1275" s="1457">
        <v>0</v>
      </c>
      <c r="O1275" s="1458">
        <v>0</v>
      </c>
    </row>
    <row r="1276" spans="3:15" ht="13.5">
      <c r="C1276" s="1463" t="s">
        <v>5068</v>
      </c>
      <c r="D1276" s="1460">
        <v>0</v>
      </c>
      <c r="E1276" s="1460">
        <v>0</v>
      </c>
      <c r="F1276" s="1461">
        <v>0</v>
      </c>
      <c r="G1276" s="1472" t="s">
        <v>5068</v>
      </c>
      <c r="H1276" s="1458">
        <v>0</v>
      </c>
      <c r="I1276" s="1458">
        <v>0</v>
      </c>
      <c r="J1276" s="1473">
        <v>0</v>
      </c>
      <c r="K1276" s="1462"/>
      <c r="L1276" s="1456">
        <v>13121006100</v>
      </c>
      <c r="M1276" s="1457">
        <v>0</v>
      </c>
      <c r="N1276" s="1457">
        <v>0</v>
      </c>
      <c r="O1276" s="1458">
        <v>0</v>
      </c>
    </row>
    <row r="1277" spans="3:15" ht="13.5">
      <c r="C1277" s="1463" t="s">
        <v>5069</v>
      </c>
      <c r="D1277" s="1460">
        <v>0</v>
      </c>
      <c r="E1277" s="1460">
        <v>0</v>
      </c>
      <c r="F1277" s="1461">
        <v>0</v>
      </c>
      <c r="G1277" s="1472" t="s">
        <v>5069</v>
      </c>
      <c r="H1277" s="1458">
        <v>0</v>
      </c>
      <c r="I1277" s="1458">
        <v>0</v>
      </c>
      <c r="J1277" s="1473">
        <v>0</v>
      </c>
      <c r="K1277" s="1462"/>
      <c r="L1277" s="1456">
        <v>13121006200</v>
      </c>
      <c r="M1277" s="1457">
        <v>0</v>
      </c>
      <c r="N1277" s="1457">
        <v>0</v>
      </c>
      <c r="O1277" s="1458">
        <v>0</v>
      </c>
    </row>
    <row r="1278" spans="3:15" ht="13.5">
      <c r="C1278" s="1463" t="s">
        <v>5070</v>
      </c>
      <c r="D1278" s="1460">
        <v>0</v>
      </c>
      <c r="E1278" s="1460">
        <v>0</v>
      </c>
      <c r="F1278" s="1461">
        <v>0</v>
      </c>
      <c r="G1278" s="1472" t="s">
        <v>5070</v>
      </c>
      <c r="H1278" s="1458">
        <v>0</v>
      </c>
      <c r="I1278" s="1458">
        <v>0</v>
      </c>
      <c r="J1278" s="1473">
        <v>0</v>
      </c>
      <c r="K1278" s="1462"/>
      <c r="L1278" s="1456">
        <v>13121006300</v>
      </c>
      <c r="M1278" s="1457">
        <v>0</v>
      </c>
      <c r="N1278" s="1457">
        <v>0</v>
      </c>
      <c r="O1278" s="1458">
        <v>0</v>
      </c>
    </row>
    <row r="1279" spans="3:15" ht="13.5">
      <c r="C1279" s="1463" t="s">
        <v>5071</v>
      </c>
      <c r="D1279" s="1460">
        <v>0</v>
      </c>
      <c r="E1279" s="1460">
        <v>0</v>
      </c>
      <c r="F1279" s="1461">
        <v>0</v>
      </c>
      <c r="G1279" s="1472" t="s">
        <v>5071</v>
      </c>
      <c r="H1279" s="1458">
        <v>0</v>
      </c>
      <c r="I1279" s="1458" t="s">
        <v>3911</v>
      </c>
      <c r="J1279" s="1473">
        <v>0</v>
      </c>
      <c r="K1279" s="1462"/>
      <c r="L1279" s="1456">
        <v>13121006400</v>
      </c>
      <c r="M1279" s="1457">
        <v>0</v>
      </c>
      <c r="N1279" s="1457">
        <v>0</v>
      </c>
      <c r="O1279" s="1458">
        <v>0</v>
      </c>
    </row>
    <row r="1280" spans="3:15" ht="13.5">
      <c r="C1280" s="1463" t="s">
        <v>5072</v>
      </c>
      <c r="D1280" s="1460">
        <v>0</v>
      </c>
      <c r="E1280" s="1460">
        <v>0</v>
      </c>
      <c r="F1280" s="1461">
        <v>0</v>
      </c>
      <c r="G1280" s="1472" t="s">
        <v>5072</v>
      </c>
      <c r="H1280" s="1458">
        <v>0</v>
      </c>
      <c r="I1280" s="1458">
        <v>0</v>
      </c>
      <c r="J1280" s="1473">
        <v>0</v>
      </c>
      <c r="K1280" s="1462"/>
      <c r="L1280" s="1456">
        <v>13121006500</v>
      </c>
      <c r="M1280" s="1457">
        <v>0</v>
      </c>
      <c r="N1280" s="1457">
        <v>0</v>
      </c>
      <c r="O1280" s="1458">
        <v>0</v>
      </c>
    </row>
    <row r="1281" spans="3:15" ht="13.5">
      <c r="C1281" s="1463" t="s">
        <v>5073</v>
      </c>
      <c r="D1281" s="1460">
        <v>0</v>
      </c>
      <c r="E1281" s="1460">
        <v>0</v>
      </c>
      <c r="F1281" s="1461">
        <v>0</v>
      </c>
      <c r="G1281" s="1472" t="s">
        <v>5073</v>
      </c>
      <c r="H1281" s="1458">
        <v>0</v>
      </c>
      <c r="I1281" s="1458">
        <v>0</v>
      </c>
      <c r="J1281" s="1473">
        <v>0</v>
      </c>
      <c r="K1281" s="1462"/>
      <c r="L1281" s="1456">
        <v>13121006601</v>
      </c>
      <c r="M1281" s="1457">
        <v>0</v>
      </c>
      <c r="N1281" s="1457">
        <v>0</v>
      </c>
      <c r="O1281" s="1458">
        <v>0</v>
      </c>
    </row>
    <row r="1282" spans="3:15" ht="13.5">
      <c r="C1282" s="1463" t="s">
        <v>5074</v>
      </c>
      <c r="D1282" s="1460">
        <v>0</v>
      </c>
      <c r="E1282" s="1460">
        <v>0</v>
      </c>
      <c r="F1282" s="1461">
        <v>0</v>
      </c>
      <c r="G1282" s="1472" t="s">
        <v>5074</v>
      </c>
      <c r="H1282" s="1458">
        <v>0</v>
      </c>
      <c r="I1282" s="1458">
        <v>0</v>
      </c>
      <c r="J1282" s="1473">
        <v>0</v>
      </c>
      <c r="K1282" s="1462"/>
      <c r="L1282" s="1456">
        <v>13121006602</v>
      </c>
      <c r="M1282" s="1457">
        <v>0</v>
      </c>
      <c r="N1282" s="1457">
        <v>0</v>
      </c>
      <c r="O1282" s="1458">
        <v>0</v>
      </c>
    </row>
    <row r="1283" spans="3:15" ht="13.5">
      <c r="C1283" s="1463" t="s">
        <v>5075</v>
      </c>
      <c r="D1283" s="1460">
        <v>0</v>
      </c>
      <c r="E1283" s="1460">
        <v>0</v>
      </c>
      <c r="F1283" s="1461">
        <v>0</v>
      </c>
      <c r="G1283" s="1472" t="s">
        <v>5075</v>
      </c>
      <c r="H1283" s="1458">
        <v>0</v>
      </c>
      <c r="I1283" s="1458">
        <v>0</v>
      </c>
      <c r="J1283" s="1473">
        <v>0</v>
      </c>
      <c r="K1283" s="1462"/>
      <c r="L1283" s="1456">
        <v>13121006700</v>
      </c>
      <c r="M1283" s="1457">
        <v>0</v>
      </c>
      <c r="N1283" s="1457">
        <v>0</v>
      </c>
      <c r="O1283" s="1458">
        <v>0</v>
      </c>
    </row>
    <row r="1284" spans="3:15" ht="13.5">
      <c r="C1284" s="1463" t="s">
        <v>5076</v>
      </c>
      <c r="D1284" s="1460" t="s">
        <v>3911</v>
      </c>
      <c r="E1284" s="1460" t="s">
        <v>3911</v>
      </c>
      <c r="F1284" s="1461">
        <v>0</v>
      </c>
      <c r="G1284" s="1472" t="s">
        <v>5076</v>
      </c>
      <c r="H1284" s="1458" t="s">
        <v>3911</v>
      </c>
      <c r="I1284" s="1458" t="s">
        <v>3911</v>
      </c>
      <c r="J1284" s="1473">
        <v>0</v>
      </c>
      <c r="K1284" s="1462"/>
      <c r="L1284" s="1456">
        <v>13121006801</v>
      </c>
      <c r="M1284" s="1457">
        <v>0</v>
      </c>
      <c r="N1284" s="1457">
        <v>0</v>
      </c>
      <c r="O1284" s="1458">
        <v>0</v>
      </c>
    </row>
    <row r="1285" spans="3:15" ht="13.5">
      <c r="C1285" s="1463" t="s">
        <v>5077</v>
      </c>
      <c r="D1285" s="1460">
        <v>0</v>
      </c>
      <c r="E1285" s="1460">
        <v>0</v>
      </c>
      <c r="F1285" s="1461">
        <v>0</v>
      </c>
      <c r="G1285" s="1472" t="s">
        <v>5077</v>
      </c>
      <c r="H1285" s="1458">
        <v>0</v>
      </c>
      <c r="I1285" s="1458">
        <v>0</v>
      </c>
      <c r="J1285" s="1473">
        <v>0</v>
      </c>
      <c r="K1285" s="1462"/>
      <c r="L1285" s="1456">
        <v>13121006802</v>
      </c>
      <c r="M1285" s="1457">
        <v>0</v>
      </c>
      <c r="N1285" s="1457">
        <v>0</v>
      </c>
      <c r="O1285" s="1458">
        <v>0</v>
      </c>
    </row>
    <row r="1286" spans="3:15" ht="13.5">
      <c r="C1286" s="1463" t="s">
        <v>5078</v>
      </c>
      <c r="D1286" s="1460">
        <v>0</v>
      </c>
      <c r="E1286" s="1460">
        <v>0</v>
      </c>
      <c r="F1286" s="1461">
        <v>0</v>
      </c>
      <c r="G1286" s="1472" t="s">
        <v>5078</v>
      </c>
      <c r="H1286" s="1458">
        <v>1</v>
      </c>
      <c r="I1286" s="1458">
        <v>0</v>
      </c>
      <c r="J1286" s="1473">
        <v>1</v>
      </c>
      <c r="K1286" s="1462"/>
      <c r="L1286" s="1456">
        <v>13121006900</v>
      </c>
      <c r="M1286" s="1457">
        <v>1</v>
      </c>
      <c r="N1286" s="1457">
        <v>0</v>
      </c>
      <c r="O1286" s="1458">
        <v>1</v>
      </c>
    </row>
    <row r="1287" spans="3:15" ht="13.5">
      <c r="C1287" s="1463" t="s">
        <v>5079</v>
      </c>
      <c r="D1287" s="1460">
        <v>0</v>
      </c>
      <c r="E1287" s="1460">
        <v>0</v>
      </c>
      <c r="F1287" s="1461">
        <v>0</v>
      </c>
      <c r="G1287" s="1472" t="s">
        <v>5079</v>
      </c>
      <c r="H1287" s="1458">
        <v>0</v>
      </c>
      <c r="I1287" s="1458">
        <v>0</v>
      </c>
      <c r="J1287" s="1473">
        <v>0</v>
      </c>
      <c r="K1287" s="1462"/>
      <c r="L1287" s="1456">
        <v>13121007001</v>
      </c>
      <c r="M1287" s="1457">
        <v>0</v>
      </c>
      <c r="N1287" s="1457">
        <v>0</v>
      </c>
      <c r="O1287" s="1458">
        <v>0</v>
      </c>
    </row>
    <row r="1288" spans="3:15" ht="13.5">
      <c r="C1288" s="1463" t="s">
        <v>5080</v>
      </c>
      <c r="D1288" s="1460">
        <v>0</v>
      </c>
      <c r="E1288" s="1460">
        <v>0</v>
      </c>
      <c r="F1288" s="1461">
        <v>0</v>
      </c>
      <c r="G1288" s="1472" t="s">
        <v>5080</v>
      </c>
      <c r="H1288" s="1458">
        <v>0</v>
      </c>
      <c r="I1288" s="1458">
        <v>0</v>
      </c>
      <c r="J1288" s="1473">
        <v>0</v>
      </c>
      <c r="K1288" s="1462"/>
      <c r="L1288" s="1456">
        <v>13121007002</v>
      </c>
      <c r="M1288" s="1457">
        <v>0</v>
      </c>
      <c r="N1288" s="1457">
        <v>0</v>
      </c>
      <c r="O1288" s="1458">
        <v>0</v>
      </c>
    </row>
    <row r="1289" spans="3:15" ht="13.5">
      <c r="C1289" s="1463" t="s">
        <v>5081</v>
      </c>
      <c r="D1289" s="1460">
        <v>0</v>
      </c>
      <c r="E1289" s="1460">
        <v>0</v>
      </c>
      <c r="F1289" s="1461">
        <v>0</v>
      </c>
      <c r="G1289" s="1472" t="s">
        <v>5081</v>
      </c>
      <c r="H1289" s="1458">
        <v>0</v>
      </c>
      <c r="I1289" s="1458">
        <v>0</v>
      </c>
      <c r="J1289" s="1473">
        <v>0</v>
      </c>
      <c r="K1289" s="1462"/>
      <c r="L1289" s="1456">
        <v>13121007100</v>
      </c>
      <c r="M1289" s="1457">
        <v>0</v>
      </c>
      <c r="N1289" s="1457">
        <v>0</v>
      </c>
      <c r="O1289" s="1458">
        <v>0</v>
      </c>
    </row>
    <row r="1290" spans="3:15" ht="13.5">
      <c r="C1290" s="1463" t="s">
        <v>5082</v>
      </c>
      <c r="D1290" s="1460">
        <v>0</v>
      </c>
      <c r="E1290" s="1460">
        <v>0</v>
      </c>
      <c r="F1290" s="1461">
        <v>0</v>
      </c>
      <c r="G1290" s="1472" t="s">
        <v>5082</v>
      </c>
      <c r="H1290" s="1458">
        <v>0</v>
      </c>
      <c r="I1290" s="1458">
        <v>0</v>
      </c>
      <c r="J1290" s="1473">
        <v>0</v>
      </c>
      <c r="K1290" s="1462"/>
      <c r="L1290" s="1456">
        <v>13121007200</v>
      </c>
      <c r="M1290" s="1457">
        <v>0</v>
      </c>
      <c r="N1290" s="1457">
        <v>0</v>
      </c>
      <c r="O1290" s="1458">
        <v>0</v>
      </c>
    </row>
    <row r="1291" spans="3:15" ht="13.5">
      <c r="C1291" s="1463" t="s">
        <v>5083</v>
      </c>
      <c r="D1291" s="1460">
        <v>0</v>
      </c>
      <c r="E1291" s="1460">
        <v>0</v>
      </c>
      <c r="F1291" s="1461">
        <v>0</v>
      </c>
      <c r="G1291" s="1472" t="s">
        <v>5083</v>
      </c>
      <c r="H1291" s="1458">
        <v>0</v>
      </c>
      <c r="I1291" s="1458">
        <v>0</v>
      </c>
      <c r="J1291" s="1473">
        <v>0</v>
      </c>
      <c r="K1291" s="1462"/>
      <c r="L1291" s="1456">
        <v>13121007300</v>
      </c>
      <c r="M1291" s="1457">
        <v>0</v>
      </c>
      <c r="N1291" s="1457">
        <v>0</v>
      </c>
      <c r="O1291" s="1458">
        <v>0</v>
      </c>
    </row>
    <row r="1292" spans="3:15" ht="13.5">
      <c r="C1292" s="1463" t="s">
        <v>5084</v>
      </c>
      <c r="D1292" s="1460">
        <v>0</v>
      </c>
      <c r="E1292" s="1460">
        <v>0</v>
      </c>
      <c r="F1292" s="1461">
        <v>0</v>
      </c>
      <c r="G1292" s="1472" t="s">
        <v>5084</v>
      </c>
      <c r="H1292" s="1458">
        <v>0</v>
      </c>
      <c r="I1292" s="1458">
        <v>0</v>
      </c>
      <c r="J1292" s="1473">
        <v>0</v>
      </c>
      <c r="K1292" s="1462"/>
      <c r="L1292" s="1456">
        <v>13121007400</v>
      </c>
      <c r="M1292" s="1457">
        <v>0</v>
      </c>
      <c r="N1292" s="1457">
        <v>0</v>
      </c>
      <c r="O1292" s="1458">
        <v>0</v>
      </c>
    </row>
    <row r="1293" spans="3:15" ht="13.5">
      <c r="C1293" s="1463" t="s">
        <v>5085</v>
      </c>
      <c r="D1293" s="1460">
        <v>0</v>
      </c>
      <c r="E1293" s="1460">
        <v>0</v>
      </c>
      <c r="F1293" s="1461">
        <v>0</v>
      </c>
      <c r="G1293" s="1472" t="s">
        <v>5085</v>
      </c>
      <c r="H1293" s="1458">
        <v>0</v>
      </c>
      <c r="I1293" s="1458">
        <v>0</v>
      </c>
      <c r="J1293" s="1473">
        <v>0</v>
      </c>
      <c r="K1293" s="1462"/>
      <c r="L1293" s="1456">
        <v>13121007500</v>
      </c>
      <c r="M1293" s="1457">
        <v>0</v>
      </c>
      <c r="N1293" s="1457">
        <v>0</v>
      </c>
      <c r="O1293" s="1458">
        <v>0</v>
      </c>
    </row>
    <row r="1294" spans="3:15" ht="13.5">
      <c r="C1294" s="1463" t="s">
        <v>5086</v>
      </c>
      <c r="D1294" s="1460">
        <v>0</v>
      </c>
      <c r="E1294" s="1460">
        <v>0</v>
      </c>
      <c r="F1294" s="1461">
        <v>0</v>
      </c>
      <c r="G1294" s="1472" t="s">
        <v>5086</v>
      </c>
      <c r="H1294" s="1458">
        <v>0</v>
      </c>
      <c r="I1294" s="1458">
        <v>0</v>
      </c>
      <c r="J1294" s="1473">
        <v>0</v>
      </c>
      <c r="K1294" s="1462"/>
      <c r="L1294" s="1456">
        <v>13121007602</v>
      </c>
      <c r="M1294" s="1457">
        <v>0</v>
      </c>
      <c r="N1294" s="1457">
        <v>0</v>
      </c>
      <c r="O1294" s="1458">
        <v>0</v>
      </c>
    </row>
    <row r="1295" spans="3:15" ht="13.5">
      <c r="C1295" s="1463" t="s">
        <v>5087</v>
      </c>
      <c r="D1295" s="1460">
        <v>0</v>
      </c>
      <c r="E1295" s="1460">
        <v>0</v>
      </c>
      <c r="F1295" s="1461">
        <v>0</v>
      </c>
      <c r="G1295" s="1472" t="s">
        <v>5087</v>
      </c>
      <c r="H1295" s="1458">
        <v>0</v>
      </c>
      <c r="I1295" s="1458">
        <v>0</v>
      </c>
      <c r="J1295" s="1473">
        <v>0</v>
      </c>
      <c r="K1295" s="1462"/>
      <c r="L1295" s="1456">
        <v>13121007603</v>
      </c>
      <c r="M1295" s="1457">
        <v>0</v>
      </c>
      <c r="N1295" s="1457">
        <v>0</v>
      </c>
      <c r="O1295" s="1458">
        <v>0</v>
      </c>
    </row>
    <row r="1296" spans="3:15" ht="13.5">
      <c r="C1296" s="1463" t="s">
        <v>5088</v>
      </c>
      <c r="D1296" s="1460">
        <v>0</v>
      </c>
      <c r="E1296" s="1460">
        <v>0</v>
      </c>
      <c r="F1296" s="1461">
        <v>0</v>
      </c>
      <c r="G1296" s="1472" t="s">
        <v>5088</v>
      </c>
      <c r="H1296" s="1458">
        <v>0</v>
      </c>
      <c r="I1296" s="1458" t="s">
        <v>3911</v>
      </c>
      <c r="J1296" s="1473">
        <v>0</v>
      </c>
      <c r="K1296" s="1462"/>
      <c r="L1296" s="1456">
        <v>13121007604</v>
      </c>
      <c r="M1296" s="1457">
        <v>0</v>
      </c>
      <c r="N1296" s="1457">
        <v>0</v>
      </c>
      <c r="O1296" s="1458">
        <v>0</v>
      </c>
    </row>
    <row r="1297" spans="3:15" ht="13.5">
      <c r="C1297" s="1463" t="s">
        <v>5089</v>
      </c>
      <c r="D1297" s="1460">
        <v>0</v>
      </c>
      <c r="E1297" s="1460">
        <v>0</v>
      </c>
      <c r="F1297" s="1461">
        <v>0</v>
      </c>
      <c r="G1297" s="1472" t="s">
        <v>5089</v>
      </c>
      <c r="H1297" s="1458">
        <v>0</v>
      </c>
      <c r="I1297" s="1458">
        <v>0</v>
      </c>
      <c r="J1297" s="1473">
        <v>0</v>
      </c>
      <c r="K1297" s="1462"/>
      <c r="L1297" s="1456">
        <v>13121007703</v>
      </c>
      <c r="M1297" s="1457">
        <v>0</v>
      </c>
      <c r="N1297" s="1457">
        <v>0</v>
      </c>
      <c r="O1297" s="1458">
        <v>0</v>
      </c>
    </row>
    <row r="1298" spans="3:15" ht="13.5">
      <c r="C1298" s="1463" t="s">
        <v>5090</v>
      </c>
      <c r="D1298" s="1460">
        <v>0</v>
      </c>
      <c r="E1298" s="1460">
        <v>0</v>
      </c>
      <c r="F1298" s="1461">
        <v>0</v>
      </c>
      <c r="G1298" s="1472" t="s">
        <v>5090</v>
      </c>
      <c r="H1298" s="1458">
        <v>0</v>
      </c>
      <c r="I1298" s="1458">
        <v>0</v>
      </c>
      <c r="J1298" s="1473">
        <v>0</v>
      </c>
      <c r="K1298" s="1462"/>
      <c r="L1298" s="1456">
        <v>13121007704</v>
      </c>
      <c r="M1298" s="1457">
        <v>0</v>
      </c>
      <c r="N1298" s="1457">
        <v>0</v>
      </c>
      <c r="O1298" s="1458">
        <v>0</v>
      </c>
    </row>
    <row r="1299" spans="3:15" ht="13.5">
      <c r="C1299" s="1463" t="s">
        <v>5091</v>
      </c>
      <c r="D1299" s="1460">
        <v>0</v>
      </c>
      <c r="E1299" s="1460">
        <v>0</v>
      </c>
      <c r="F1299" s="1461">
        <v>0</v>
      </c>
      <c r="G1299" s="1472" t="s">
        <v>5091</v>
      </c>
      <c r="H1299" s="1458">
        <v>0</v>
      </c>
      <c r="I1299" s="1458">
        <v>0</v>
      </c>
      <c r="J1299" s="1473">
        <v>0</v>
      </c>
      <c r="K1299" s="1462"/>
      <c r="L1299" s="1456">
        <v>13121007705</v>
      </c>
      <c r="M1299" s="1457">
        <v>0</v>
      </c>
      <c r="N1299" s="1457">
        <v>0</v>
      </c>
      <c r="O1299" s="1458">
        <v>0</v>
      </c>
    </row>
    <row r="1300" spans="3:15" ht="13.5">
      <c r="C1300" s="1463" t="s">
        <v>5092</v>
      </c>
      <c r="D1300" s="1460">
        <v>0</v>
      </c>
      <c r="E1300" s="1460">
        <v>0</v>
      </c>
      <c r="F1300" s="1461">
        <v>0</v>
      </c>
      <c r="G1300" s="1472" t="s">
        <v>5092</v>
      </c>
      <c r="H1300" s="1458">
        <v>0</v>
      </c>
      <c r="I1300" s="1458">
        <v>1</v>
      </c>
      <c r="J1300" s="1473">
        <v>1</v>
      </c>
      <c r="K1300" s="1462"/>
      <c r="L1300" s="1456">
        <v>13121007706</v>
      </c>
      <c r="M1300" s="1457">
        <v>0</v>
      </c>
      <c r="N1300" s="1457">
        <v>1</v>
      </c>
      <c r="O1300" s="1458">
        <v>1</v>
      </c>
    </row>
    <row r="1301" spans="3:15" ht="13.5">
      <c r="C1301" s="1463" t="s">
        <v>5093</v>
      </c>
      <c r="D1301" s="1460">
        <v>0</v>
      </c>
      <c r="E1301" s="1460">
        <v>0</v>
      </c>
      <c r="F1301" s="1461">
        <v>0</v>
      </c>
      <c r="G1301" s="1472" t="s">
        <v>5093</v>
      </c>
      <c r="H1301" s="1458">
        <v>0</v>
      </c>
      <c r="I1301" s="1458">
        <v>0</v>
      </c>
      <c r="J1301" s="1473">
        <v>0</v>
      </c>
      <c r="K1301" s="1462"/>
      <c r="L1301" s="1456">
        <v>13121007802</v>
      </c>
      <c r="M1301" s="1457">
        <v>0</v>
      </c>
      <c r="N1301" s="1457">
        <v>0</v>
      </c>
      <c r="O1301" s="1458">
        <v>0</v>
      </c>
    </row>
    <row r="1302" spans="3:15" ht="13.5">
      <c r="C1302" s="1463" t="s">
        <v>5094</v>
      </c>
      <c r="D1302" s="1460">
        <v>0</v>
      </c>
      <c r="E1302" s="1460">
        <v>0</v>
      </c>
      <c r="F1302" s="1461">
        <v>0</v>
      </c>
      <c r="G1302" s="1472" t="s">
        <v>5094</v>
      </c>
      <c r="H1302" s="1458">
        <v>0</v>
      </c>
      <c r="I1302" s="1458">
        <v>0</v>
      </c>
      <c r="J1302" s="1473">
        <v>0</v>
      </c>
      <c r="K1302" s="1462"/>
      <c r="L1302" s="1456">
        <v>13121007805</v>
      </c>
      <c r="M1302" s="1457">
        <v>0</v>
      </c>
      <c r="N1302" s="1457">
        <v>0</v>
      </c>
      <c r="O1302" s="1458">
        <v>0</v>
      </c>
    </row>
    <row r="1303" spans="3:15" ht="13.5">
      <c r="C1303" s="1463" t="s">
        <v>5095</v>
      </c>
      <c r="D1303" s="1460">
        <v>0</v>
      </c>
      <c r="E1303" s="1460">
        <v>0</v>
      </c>
      <c r="F1303" s="1461">
        <v>0</v>
      </c>
      <c r="G1303" s="1472" t="s">
        <v>5095</v>
      </c>
      <c r="H1303" s="1458">
        <v>0</v>
      </c>
      <c r="I1303" s="1458">
        <v>1</v>
      </c>
      <c r="J1303" s="1473">
        <v>1</v>
      </c>
      <c r="K1303" s="1462"/>
      <c r="L1303" s="1456">
        <v>13121007806</v>
      </c>
      <c r="M1303" s="1457">
        <v>0</v>
      </c>
      <c r="N1303" s="1457">
        <v>1</v>
      </c>
      <c r="O1303" s="1458">
        <v>1</v>
      </c>
    </row>
    <row r="1304" spans="3:15" ht="13.5">
      <c r="C1304" s="1463" t="s">
        <v>5096</v>
      </c>
      <c r="D1304" s="1460">
        <v>0</v>
      </c>
      <c r="E1304" s="1460">
        <v>0</v>
      </c>
      <c r="F1304" s="1461">
        <v>0</v>
      </c>
      <c r="G1304" s="1472" t="s">
        <v>5096</v>
      </c>
      <c r="H1304" s="1458">
        <v>0</v>
      </c>
      <c r="I1304" s="1458">
        <v>0</v>
      </c>
      <c r="J1304" s="1473">
        <v>0</v>
      </c>
      <c r="K1304" s="1462"/>
      <c r="L1304" s="1456">
        <v>13121007807</v>
      </c>
      <c r="M1304" s="1457">
        <v>0</v>
      </c>
      <c r="N1304" s="1457">
        <v>0</v>
      </c>
      <c r="O1304" s="1458">
        <v>0</v>
      </c>
    </row>
    <row r="1305" spans="3:15" ht="13.5">
      <c r="C1305" s="1463" t="s">
        <v>5097</v>
      </c>
      <c r="D1305" s="1460">
        <v>0</v>
      </c>
      <c r="E1305" s="1460">
        <v>0</v>
      </c>
      <c r="F1305" s="1461">
        <v>0</v>
      </c>
      <c r="G1305" s="1472" t="s">
        <v>5097</v>
      </c>
      <c r="H1305" s="1458">
        <v>0</v>
      </c>
      <c r="I1305" s="1458">
        <v>0</v>
      </c>
      <c r="J1305" s="1473">
        <v>0</v>
      </c>
      <c r="K1305" s="1462"/>
      <c r="L1305" s="1456">
        <v>13121007808</v>
      </c>
      <c r="M1305" s="1457">
        <v>0</v>
      </c>
      <c r="N1305" s="1457">
        <v>0</v>
      </c>
      <c r="O1305" s="1458">
        <v>0</v>
      </c>
    </row>
    <row r="1306" spans="3:15" ht="13.5">
      <c r="C1306" s="1463" t="s">
        <v>5098</v>
      </c>
      <c r="D1306" s="1460">
        <v>0</v>
      </c>
      <c r="E1306" s="1460">
        <v>0</v>
      </c>
      <c r="F1306" s="1461">
        <v>0</v>
      </c>
      <c r="G1306" s="1472" t="s">
        <v>5098</v>
      </c>
      <c r="H1306" s="1458">
        <v>1</v>
      </c>
      <c r="I1306" s="1458">
        <v>1</v>
      </c>
      <c r="J1306" s="1473">
        <v>2</v>
      </c>
      <c r="K1306" s="1462"/>
      <c r="L1306" s="1456">
        <v>13121007900</v>
      </c>
      <c r="M1306" s="1457">
        <v>1</v>
      </c>
      <c r="N1306" s="1457">
        <v>1</v>
      </c>
      <c r="O1306" s="1458">
        <v>2</v>
      </c>
    </row>
    <row r="1307" spans="3:15" ht="13.5">
      <c r="C1307" s="1463" t="s">
        <v>5099</v>
      </c>
      <c r="D1307" s="1460">
        <v>0</v>
      </c>
      <c r="E1307" s="1460">
        <v>0</v>
      </c>
      <c r="F1307" s="1461">
        <v>0</v>
      </c>
      <c r="G1307" s="1472" t="s">
        <v>5099</v>
      </c>
      <c r="H1307" s="1458">
        <v>0</v>
      </c>
      <c r="I1307" s="1458">
        <v>0</v>
      </c>
      <c r="J1307" s="1473">
        <v>0</v>
      </c>
      <c r="K1307" s="1462"/>
      <c r="L1307" s="1456">
        <v>13121008000</v>
      </c>
      <c r="M1307" s="1457">
        <v>0</v>
      </c>
      <c r="N1307" s="1457">
        <v>0</v>
      </c>
      <c r="O1307" s="1458">
        <v>0</v>
      </c>
    </row>
    <row r="1308" spans="3:15" ht="13.5">
      <c r="C1308" s="1463" t="s">
        <v>5100</v>
      </c>
      <c r="D1308" s="1460">
        <v>0</v>
      </c>
      <c r="E1308" s="1460">
        <v>0</v>
      </c>
      <c r="F1308" s="1461">
        <v>0</v>
      </c>
      <c r="G1308" s="1472" t="s">
        <v>5100</v>
      </c>
      <c r="H1308" s="1458">
        <v>0</v>
      </c>
      <c r="I1308" s="1458">
        <v>0</v>
      </c>
      <c r="J1308" s="1473">
        <v>0</v>
      </c>
      <c r="K1308" s="1462"/>
      <c r="L1308" s="1456">
        <v>13121008101</v>
      </c>
      <c r="M1308" s="1457">
        <v>0</v>
      </c>
      <c r="N1308" s="1457">
        <v>0</v>
      </c>
      <c r="O1308" s="1458">
        <v>0</v>
      </c>
    </row>
    <row r="1309" spans="3:15" ht="13.5">
      <c r="C1309" s="1463" t="s">
        <v>5101</v>
      </c>
      <c r="D1309" s="1460">
        <v>0</v>
      </c>
      <c r="E1309" s="1460">
        <v>0</v>
      </c>
      <c r="F1309" s="1461">
        <v>0</v>
      </c>
      <c r="G1309" s="1472" t="s">
        <v>5101</v>
      </c>
      <c r="H1309" s="1458">
        <v>0</v>
      </c>
      <c r="I1309" s="1458">
        <v>0</v>
      </c>
      <c r="J1309" s="1473">
        <v>0</v>
      </c>
      <c r="K1309" s="1462"/>
      <c r="L1309" s="1456">
        <v>13121008102</v>
      </c>
      <c r="M1309" s="1457">
        <v>0</v>
      </c>
      <c r="N1309" s="1457">
        <v>0</v>
      </c>
      <c r="O1309" s="1458">
        <v>0</v>
      </c>
    </row>
    <row r="1310" spans="3:15" ht="13.5">
      <c r="C1310" s="1463" t="s">
        <v>5102</v>
      </c>
      <c r="D1310" s="1460">
        <v>0</v>
      </c>
      <c r="E1310" s="1460">
        <v>0</v>
      </c>
      <c r="F1310" s="1461">
        <v>0</v>
      </c>
      <c r="G1310" s="1472" t="s">
        <v>5102</v>
      </c>
      <c r="H1310" s="1458">
        <v>0</v>
      </c>
      <c r="I1310" s="1458">
        <v>0</v>
      </c>
      <c r="J1310" s="1473">
        <v>0</v>
      </c>
      <c r="K1310" s="1462"/>
      <c r="L1310" s="1456">
        <v>13121008201</v>
      </c>
      <c r="M1310" s="1457">
        <v>0</v>
      </c>
      <c r="N1310" s="1457">
        <v>0</v>
      </c>
      <c r="O1310" s="1458">
        <v>0</v>
      </c>
    </row>
    <row r="1311" spans="3:15" ht="13.5">
      <c r="C1311" s="1463" t="s">
        <v>5103</v>
      </c>
      <c r="D1311" s="1460">
        <v>0</v>
      </c>
      <c r="E1311" s="1460">
        <v>0</v>
      </c>
      <c r="F1311" s="1461">
        <v>0</v>
      </c>
      <c r="G1311" s="1472" t="s">
        <v>5103</v>
      </c>
      <c r="H1311" s="1458">
        <v>0</v>
      </c>
      <c r="I1311" s="1458">
        <v>0</v>
      </c>
      <c r="J1311" s="1473">
        <v>0</v>
      </c>
      <c r="K1311" s="1462"/>
      <c r="L1311" s="1456">
        <v>13121008202</v>
      </c>
      <c r="M1311" s="1457">
        <v>0</v>
      </c>
      <c r="N1311" s="1457">
        <v>0</v>
      </c>
      <c r="O1311" s="1458">
        <v>0</v>
      </c>
    </row>
    <row r="1312" spans="3:15" ht="13.5">
      <c r="C1312" s="1463" t="s">
        <v>5104</v>
      </c>
      <c r="D1312" s="1460">
        <v>0</v>
      </c>
      <c r="E1312" s="1460">
        <v>0</v>
      </c>
      <c r="F1312" s="1461">
        <v>0</v>
      </c>
      <c r="G1312" s="1472" t="s">
        <v>5104</v>
      </c>
      <c r="H1312" s="1458">
        <v>0</v>
      </c>
      <c r="I1312" s="1458" t="s">
        <v>3911</v>
      </c>
      <c r="J1312" s="1473">
        <v>0</v>
      </c>
      <c r="K1312" s="1462"/>
      <c r="L1312" s="1456">
        <v>13121008301</v>
      </c>
      <c r="M1312" s="1457">
        <v>0</v>
      </c>
      <c r="N1312" s="1457">
        <v>0</v>
      </c>
      <c r="O1312" s="1458">
        <v>0</v>
      </c>
    </row>
    <row r="1313" spans="3:15" ht="13.5">
      <c r="C1313" s="1463" t="s">
        <v>5105</v>
      </c>
      <c r="D1313" s="1460">
        <v>0</v>
      </c>
      <c r="E1313" s="1460">
        <v>0</v>
      </c>
      <c r="F1313" s="1461">
        <v>0</v>
      </c>
      <c r="G1313" s="1472" t="s">
        <v>5105</v>
      </c>
      <c r="H1313" s="1458">
        <v>0</v>
      </c>
      <c r="I1313" s="1458" t="s">
        <v>3911</v>
      </c>
      <c r="J1313" s="1473">
        <v>0</v>
      </c>
      <c r="K1313" s="1462"/>
      <c r="L1313" s="1456">
        <v>13121008302</v>
      </c>
      <c r="M1313" s="1457">
        <v>0</v>
      </c>
      <c r="N1313" s="1457">
        <v>0</v>
      </c>
      <c r="O1313" s="1458">
        <v>0</v>
      </c>
    </row>
    <row r="1314" spans="3:15" ht="13.5">
      <c r="C1314" s="1463" t="s">
        <v>5106</v>
      </c>
      <c r="D1314" s="1460">
        <v>0</v>
      </c>
      <c r="E1314" s="1460">
        <v>0</v>
      </c>
      <c r="F1314" s="1461">
        <v>0</v>
      </c>
      <c r="G1314" s="1472" t="s">
        <v>5106</v>
      </c>
      <c r="H1314" s="1458">
        <v>0</v>
      </c>
      <c r="I1314" s="1458">
        <v>0</v>
      </c>
      <c r="J1314" s="1473">
        <v>0</v>
      </c>
      <c r="K1314" s="1462"/>
      <c r="L1314" s="1456">
        <v>13121008400</v>
      </c>
      <c r="M1314" s="1457">
        <v>0</v>
      </c>
      <c r="N1314" s="1457">
        <v>0</v>
      </c>
      <c r="O1314" s="1458">
        <v>0</v>
      </c>
    </row>
    <row r="1315" spans="3:15" ht="13.5">
      <c r="C1315" s="1463" t="s">
        <v>5107</v>
      </c>
      <c r="D1315" s="1460">
        <v>0</v>
      </c>
      <c r="E1315" s="1460">
        <v>0</v>
      </c>
      <c r="F1315" s="1461">
        <v>0</v>
      </c>
      <c r="G1315" s="1472" t="s">
        <v>5107</v>
      </c>
      <c r="H1315" s="1458">
        <v>0</v>
      </c>
      <c r="I1315" s="1458">
        <v>0</v>
      </c>
      <c r="J1315" s="1473">
        <v>0</v>
      </c>
      <c r="K1315" s="1462"/>
      <c r="L1315" s="1456">
        <v>13121008500</v>
      </c>
      <c r="M1315" s="1457">
        <v>0</v>
      </c>
      <c r="N1315" s="1457">
        <v>0</v>
      </c>
      <c r="O1315" s="1458">
        <v>0</v>
      </c>
    </row>
    <row r="1316" spans="3:15" ht="13.5">
      <c r="C1316" s="1463" t="s">
        <v>5108</v>
      </c>
      <c r="D1316" s="1460">
        <v>0</v>
      </c>
      <c r="E1316" s="1460">
        <v>0</v>
      </c>
      <c r="F1316" s="1461">
        <v>0</v>
      </c>
      <c r="G1316" s="1472" t="s">
        <v>5108</v>
      </c>
      <c r="H1316" s="1458">
        <v>0</v>
      </c>
      <c r="I1316" s="1458">
        <v>0</v>
      </c>
      <c r="J1316" s="1473">
        <v>0</v>
      </c>
      <c r="K1316" s="1462"/>
      <c r="L1316" s="1456">
        <v>13121008601</v>
      </c>
      <c r="M1316" s="1457">
        <v>0</v>
      </c>
      <c r="N1316" s="1457">
        <v>0</v>
      </c>
      <c r="O1316" s="1458">
        <v>0</v>
      </c>
    </row>
    <row r="1317" spans="3:15" ht="13.5">
      <c r="C1317" s="1463" t="s">
        <v>5109</v>
      </c>
      <c r="D1317" s="1460">
        <v>0</v>
      </c>
      <c r="E1317" s="1460">
        <v>0</v>
      </c>
      <c r="F1317" s="1461">
        <v>0</v>
      </c>
      <c r="G1317" s="1472" t="s">
        <v>5109</v>
      </c>
      <c r="H1317" s="1458">
        <v>0</v>
      </c>
      <c r="I1317" s="1458" t="s">
        <v>3911</v>
      </c>
      <c r="J1317" s="1473">
        <v>0</v>
      </c>
      <c r="K1317" s="1462"/>
      <c r="L1317" s="1456">
        <v>13121008602</v>
      </c>
      <c r="M1317" s="1457">
        <v>0</v>
      </c>
      <c r="N1317" s="1457">
        <v>0</v>
      </c>
      <c r="O1317" s="1458">
        <v>0</v>
      </c>
    </row>
    <row r="1318" spans="3:15" ht="13.5">
      <c r="C1318" s="1463" t="s">
        <v>5110</v>
      </c>
      <c r="D1318" s="1460">
        <v>0</v>
      </c>
      <c r="E1318" s="1460">
        <v>0</v>
      </c>
      <c r="F1318" s="1461">
        <v>0</v>
      </c>
      <c r="G1318" s="1472" t="s">
        <v>5110</v>
      </c>
      <c r="H1318" s="1458">
        <v>0</v>
      </c>
      <c r="I1318" s="1458">
        <v>0</v>
      </c>
      <c r="J1318" s="1473">
        <v>0</v>
      </c>
      <c r="K1318" s="1462"/>
      <c r="L1318" s="1456">
        <v>13121008700</v>
      </c>
      <c r="M1318" s="1457">
        <v>0</v>
      </c>
      <c r="N1318" s="1457">
        <v>0</v>
      </c>
      <c r="O1318" s="1458">
        <v>0</v>
      </c>
    </row>
    <row r="1319" spans="3:15" ht="13.5">
      <c r="C1319" s="1463" t="s">
        <v>5111</v>
      </c>
      <c r="D1319" s="1460">
        <v>1</v>
      </c>
      <c r="E1319" s="1460">
        <v>1</v>
      </c>
      <c r="F1319" s="1461">
        <v>2</v>
      </c>
      <c r="G1319" s="1472" t="s">
        <v>5111</v>
      </c>
      <c r="H1319" s="1458">
        <v>1</v>
      </c>
      <c r="I1319" s="1458" t="s">
        <v>3911</v>
      </c>
      <c r="J1319" s="1473">
        <v>1</v>
      </c>
      <c r="K1319" s="1462"/>
      <c r="L1319" s="1456">
        <v>13121008800</v>
      </c>
      <c r="M1319" s="1457">
        <v>1</v>
      </c>
      <c r="N1319" s="1457">
        <v>1</v>
      </c>
      <c r="O1319" s="1458">
        <v>2</v>
      </c>
    </row>
    <row r="1320" spans="3:15" ht="13.5">
      <c r="C1320" s="1463" t="s">
        <v>5112</v>
      </c>
      <c r="D1320" s="1460">
        <v>1</v>
      </c>
      <c r="E1320" s="1460">
        <v>1</v>
      </c>
      <c r="F1320" s="1461">
        <v>2</v>
      </c>
      <c r="G1320" s="1472" t="s">
        <v>5112</v>
      </c>
      <c r="H1320" s="1458">
        <v>1</v>
      </c>
      <c r="I1320" s="1458">
        <v>1</v>
      </c>
      <c r="J1320" s="1473">
        <v>2</v>
      </c>
      <c r="K1320" s="1462"/>
      <c r="L1320" s="1456">
        <v>13121008902</v>
      </c>
      <c r="M1320" s="1457">
        <v>1</v>
      </c>
      <c r="N1320" s="1457">
        <v>1</v>
      </c>
      <c r="O1320" s="1458">
        <v>2</v>
      </c>
    </row>
    <row r="1321" spans="3:15" ht="13.5">
      <c r="C1321" s="1463" t="s">
        <v>5113</v>
      </c>
      <c r="D1321" s="1460">
        <v>1</v>
      </c>
      <c r="E1321" s="1460">
        <v>0</v>
      </c>
      <c r="F1321" s="1461">
        <v>1</v>
      </c>
      <c r="G1321" s="1472" t="s">
        <v>5113</v>
      </c>
      <c r="H1321" s="1458">
        <v>1</v>
      </c>
      <c r="I1321" s="1458" t="s">
        <v>3911</v>
      </c>
      <c r="J1321" s="1473">
        <v>1</v>
      </c>
      <c r="K1321" s="1462"/>
      <c r="L1321" s="1456">
        <v>13121008903</v>
      </c>
      <c r="M1321" s="1457">
        <v>1</v>
      </c>
      <c r="N1321" s="1457">
        <v>0</v>
      </c>
      <c r="O1321" s="1458">
        <v>1</v>
      </c>
    </row>
    <row r="1322" spans="3:15" ht="13.5">
      <c r="C1322" s="1463" t="s">
        <v>5114</v>
      </c>
      <c r="D1322" s="1460">
        <v>1</v>
      </c>
      <c r="E1322" s="1460">
        <v>1</v>
      </c>
      <c r="F1322" s="1461">
        <v>2</v>
      </c>
      <c r="G1322" s="1472" t="s">
        <v>5114</v>
      </c>
      <c r="H1322" s="1458">
        <v>1</v>
      </c>
      <c r="I1322" s="1458">
        <v>1</v>
      </c>
      <c r="J1322" s="1473">
        <v>2</v>
      </c>
      <c r="K1322" s="1462"/>
      <c r="L1322" s="1456">
        <v>13121008904</v>
      </c>
      <c r="M1322" s="1457">
        <v>1</v>
      </c>
      <c r="N1322" s="1457">
        <v>1</v>
      </c>
      <c r="O1322" s="1458">
        <v>2</v>
      </c>
    </row>
    <row r="1323" spans="3:15" ht="13.5">
      <c r="C1323" s="1463" t="s">
        <v>5115</v>
      </c>
      <c r="D1323" s="1460">
        <v>1</v>
      </c>
      <c r="E1323" s="1460">
        <v>1</v>
      </c>
      <c r="F1323" s="1461">
        <v>2</v>
      </c>
      <c r="G1323" s="1472" t="s">
        <v>5115</v>
      </c>
      <c r="H1323" s="1458">
        <v>1</v>
      </c>
      <c r="I1323" s="1458">
        <v>1</v>
      </c>
      <c r="J1323" s="1473">
        <v>2</v>
      </c>
      <c r="K1323" s="1462"/>
      <c r="L1323" s="1456">
        <v>13121009000</v>
      </c>
      <c r="M1323" s="1457">
        <v>1</v>
      </c>
      <c r="N1323" s="1457">
        <v>1</v>
      </c>
      <c r="O1323" s="1458">
        <v>2</v>
      </c>
    </row>
    <row r="1324" spans="3:15" ht="13.5">
      <c r="C1324" s="1463" t="s">
        <v>5116</v>
      </c>
      <c r="D1324" s="1460">
        <v>1</v>
      </c>
      <c r="E1324" s="1460">
        <v>1</v>
      </c>
      <c r="F1324" s="1461">
        <v>2</v>
      </c>
      <c r="G1324" s="1472" t="s">
        <v>5116</v>
      </c>
      <c r="H1324" s="1458">
        <v>1</v>
      </c>
      <c r="I1324" s="1458">
        <v>1</v>
      </c>
      <c r="J1324" s="1473">
        <v>2</v>
      </c>
      <c r="K1324" s="1462"/>
      <c r="L1324" s="1456">
        <v>13121009101</v>
      </c>
      <c r="M1324" s="1457">
        <v>1</v>
      </c>
      <c r="N1324" s="1457">
        <v>1</v>
      </c>
      <c r="O1324" s="1458">
        <v>2</v>
      </c>
    </row>
    <row r="1325" spans="3:15" ht="13.5">
      <c r="C1325" s="1463" t="s">
        <v>5117</v>
      </c>
      <c r="D1325" s="1460">
        <v>1</v>
      </c>
      <c r="E1325" s="1460">
        <v>1</v>
      </c>
      <c r="F1325" s="1461">
        <v>2</v>
      </c>
      <c r="G1325" s="1472" t="s">
        <v>5117</v>
      </c>
      <c r="H1325" s="1458">
        <v>1</v>
      </c>
      <c r="I1325" s="1458">
        <v>1</v>
      </c>
      <c r="J1325" s="1473">
        <v>2</v>
      </c>
      <c r="K1325" s="1462"/>
      <c r="L1325" s="1456">
        <v>13121009102</v>
      </c>
      <c r="M1325" s="1457">
        <v>1</v>
      </c>
      <c r="N1325" s="1457">
        <v>1</v>
      </c>
      <c r="O1325" s="1458">
        <v>2</v>
      </c>
    </row>
    <row r="1326" spans="3:15" ht="13.5">
      <c r="C1326" s="1463" t="s">
        <v>5118</v>
      </c>
      <c r="D1326" s="1460">
        <v>1</v>
      </c>
      <c r="E1326" s="1460">
        <v>0</v>
      </c>
      <c r="F1326" s="1461">
        <v>1</v>
      </c>
      <c r="G1326" s="1472" t="s">
        <v>5118</v>
      </c>
      <c r="H1326" s="1458">
        <v>1</v>
      </c>
      <c r="I1326" s="1458">
        <v>1</v>
      </c>
      <c r="J1326" s="1473">
        <v>2</v>
      </c>
      <c r="K1326" s="1462"/>
      <c r="L1326" s="1456">
        <v>13121009200</v>
      </c>
      <c r="M1326" s="1457">
        <v>1</v>
      </c>
      <c r="N1326" s="1457">
        <v>1</v>
      </c>
      <c r="O1326" s="1458">
        <v>2</v>
      </c>
    </row>
    <row r="1327" spans="3:15" ht="13.5">
      <c r="C1327" s="1463" t="s">
        <v>5119</v>
      </c>
      <c r="D1327" s="1460">
        <v>1</v>
      </c>
      <c r="E1327" s="1460">
        <v>1</v>
      </c>
      <c r="F1327" s="1461">
        <v>2</v>
      </c>
      <c r="G1327" s="1472" t="s">
        <v>5119</v>
      </c>
      <c r="H1327" s="1458">
        <v>1</v>
      </c>
      <c r="I1327" s="1458">
        <v>1</v>
      </c>
      <c r="J1327" s="1473">
        <v>2</v>
      </c>
      <c r="K1327" s="1462"/>
      <c r="L1327" s="1456">
        <v>13121009300</v>
      </c>
      <c r="M1327" s="1457">
        <v>1</v>
      </c>
      <c r="N1327" s="1457">
        <v>1</v>
      </c>
      <c r="O1327" s="1458">
        <v>2</v>
      </c>
    </row>
    <row r="1328" spans="3:15" ht="13.5">
      <c r="C1328" s="1463" t="s">
        <v>5120</v>
      </c>
      <c r="D1328" s="1460">
        <v>1</v>
      </c>
      <c r="E1328" s="1460">
        <v>1</v>
      </c>
      <c r="F1328" s="1461">
        <v>2</v>
      </c>
      <c r="G1328" s="1472" t="s">
        <v>5120</v>
      </c>
      <c r="H1328" s="1458">
        <v>1</v>
      </c>
      <c r="I1328" s="1458" t="s">
        <v>3911</v>
      </c>
      <c r="J1328" s="1473">
        <v>1</v>
      </c>
      <c r="K1328" s="1462"/>
      <c r="L1328" s="1456">
        <v>13121009402</v>
      </c>
      <c r="M1328" s="1457">
        <v>1</v>
      </c>
      <c r="N1328" s="1457">
        <v>1</v>
      </c>
      <c r="O1328" s="1458">
        <v>2</v>
      </c>
    </row>
    <row r="1329" spans="3:15" ht="13.5">
      <c r="C1329" s="1463" t="s">
        <v>5121</v>
      </c>
      <c r="D1329" s="1460">
        <v>1</v>
      </c>
      <c r="E1329" s="1460">
        <v>1</v>
      </c>
      <c r="F1329" s="1461">
        <v>2</v>
      </c>
      <c r="G1329" s="1472" t="s">
        <v>5121</v>
      </c>
      <c r="H1329" s="1458">
        <v>1</v>
      </c>
      <c r="I1329" s="1458">
        <v>1</v>
      </c>
      <c r="J1329" s="1473">
        <v>2</v>
      </c>
      <c r="K1329" s="1462"/>
      <c r="L1329" s="1456">
        <v>13121009403</v>
      </c>
      <c r="M1329" s="1457">
        <v>1</v>
      </c>
      <c r="N1329" s="1457">
        <v>1</v>
      </c>
      <c r="O1329" s="1458">
        <v>2</v>
      </c>
    </row>
    <row r="1330" spans="3:15" ht="13.5">
      <c r="C1330" s="1463" t="s">
        <v>5122</v>
      </c>
      <c r="D1330" s="1460">
        <v>1</v>
      </c>
      <c r="E1330" s="1460">
        <v>1</v>
      </c>
      <c r="F1330" s="1461">
        <v>2</v>
      </c>
      <c r="G1330" s="1472" t="s">
        <v>5122</v>
      </c>
      <c r="H1330" s="1458">
        <v>1</v>
      </c>
      <c r="I1330" s="1458">
        <v>1</v>
      </c>
      <c r="J1330" s="1473">
        <v>2</v>
      </c>
      <c r="K1330" s="1462"/>
      <c r="L1330" s="1456">
        <v>13121009404</v>
      </c>
      <c r="M1330" s="1457">
        <v>1</v>
      </c>
      <c r="N1330" s="1457">
        <v>1</v>
      </c>
      <c r="O1330" s="1458">
        <v>2</v>
      </c>
    </row>
    <row r="1331" spans="3:15" ht="13.5">
      <c r="C1331" s="1463" t="s">
        <v>5123</v>
      </c>
      <c r="D1331" s="1460">
        <v>1</v>
      </c>
      <c r="E1331" s="1460">
        <v>1</v>
      </c>
      <c r="F1331" s="1461">
        <v>2</v>
      </c>
      <c r="G1331" s="1472" t="s">
        <v>5123</v>
      </c>
      <c r="H1331" s="1458">
        <v>1</v>
      </c>
      <c r="I1331" s="1458">
        <v>1</v>
      </c>
      <c r="J1331" s="1473">
        <v>2</v>
      </c>
      <c r="K1331" s="1462"/>
      <c r="L1331" s="1456">
        <v>13121009501</v>
      </c>
      <c r="M1331" s="1457">
        <v>1</v>
      </c>
      <c r="N1331" s="1457">
        <v>1</v>
      </c>
      <c r="O1331" s="1458">
        <v>2</v>
      </c>
    </row>
    <row r="1332" spans="3:15" ht="13.5">
      <c r="C1332" s="1463" t="s">
        <v>5124</v>
      </c>
      <c r="D1332" s="1460">
        <v>1</v>
      </c>
      <c r="E1332" s="1460">
        <v>0</v>
      </c>
      <c r="F1332" s="1461">
        <v>1</v>
      </c>
      <c r="G1332" s="1472" t="s">
        <v>5124</v>
      </c>
      <c r="H1332" s="1458">
        <v>1</v>
      </c>
      <c r="I1332" s="1458" t="s">
        <v>3911</v>
      </c>
      <c r="J1332" s="1473">
        <v>1</v>
      </c>
      <c r="K1332" s="1462"/>
      <c r="L1332" s="1456">
        <v>13121009502</v>
      </c>
      <c r="M1332" s="1457">
        <v>1</v>
      </c>
      <c r="N1332" s="1457">
        <v>0</v>
      </c>
      <c r="O1332" s="1458">
        <v>1</v>
      </c>
    </row>
    <row r="1333" spans="3:15" ht="13.5">
      <c r="C1333" s="1463" t="s">
        <v>5125</v>
      </c>
      <c r="D1333" s="1460">
        <v>1</v>
      </c>
      <c r="E1333" s="1460">
        <v>1</v>
      </c>
      <c r="F1333" s="1461">
        <v>2</v>
      </c>
      <c r="G1333" s="1472" t="s">
        <v>5125</v>
      </c>
      <c r="H1333" s="1458">
        <v>1</v>
      </c>
      <c r="I1333" s="1458">
        <v>1</v>
      </c>
      <c r="J1333" s="1473">
        <v>2</v>
      </c>
      <c r="K1333" s="1462"/>
      <c r="L1333" s="1456">
        <v>13121009601</v>
      </c>
      <c r="M1333" s="1457">
        <v>1</v>
      </c>
      <c r="N1333" s="1457">
        <v>1</v>
      </c>
      <c r="O1333" s="1458">
        <v>2</v>
      </c>
    </row>
    <row r="1334" spans="3:15" ht="13.5">
      <c r="C1334" s="1463" t="s">
        <v>5126</v>
      </c>
      <c r="D1334" s="1460">
        <v>1</v>
      </c>
      <c r="E1334" s="1460">
        <v>1</v>
      </c>
      <c r="F1334" s="1461">
        <v>2</v>
      </c>
      <c r="G1334" s="1472" t="s">
        <v>5126</v>
      </c>
      <c r="H1334" s="1458">
        <v>1</v>
      </c>
      <c r="I1334" s="1458">
        <v>1</v>
      </c>
      <c r="J1334" s="1473">
        <v>2</v>
      </c>
      <c r="K1334" s="1462"/>
      <c r="L1334" s="1456">
        <v>13121009602</v>
      </c>
      <c r="M1334" s="1457">
        <v>1</v>
      </c>
      <c r="N1334" s="1457">
        <v>1</v>
      </c>
      <c r="O1334" s="1458">
        <v>2</v>
      </c>
    </row>
    <row r="1335" spans="3:15" ht="13.5">
      <c r="C1335" s="1463" t="s">
        <v>5127</v>
      </c>
      <c r="D1335" s="1460">
        <v>1</v>
      </c>
      <c r="E1335" s="1460">
        <v>1</v>
      </c>
      <c r="F1335" s="1461">
        <v>2</v>
      </c>
      <c r="G1335" s="1472" t="s">
        <v>5127</v>
      </c>
      <c r="H1335" s="1458">
        <v>1</v>
      </c>
      <c r="I1335" s="1458">
        <v>1</v>
      </c>
      <c r="J1335" s="1473">
        <v>2</v>
      </c>
      <c r="K1335" s="1462"/>
      <c r="L1335" s="1456">
        <v>13121009603</v>
      </c>
      <c r="M1335" s="1457">
        <v>1</v>
      </c>
      <c r="N1335" s="1457">
        <v>1</v>
      </c>
      <c r="O1335" s="1458">
        <v>2</v>
      </c>
    </row>
    <row r="1336" spans="3:15" ht="13.5">
      <c r="C1336" s="1463" t="s">
        <v>5128</v>
      </c>
      <c r="D1336" s="1460">
        <v>1</v>
      </c>
      <c r="E1336" s="1460">
        <v>1</v>
      </c>
      <c r="F1336" s="1461">
        <v>2</v>
      </c>
      <c r="G1336" s="1472" t="s">
        <v>5128</v>
      </c>
      <c r="H1336" s="1458">
        <v>1</v>
      </c>
      <c r="I1336" s="1458">
        <v>1</v>
      </c>
      <c r="J1336" s="1473">
        <v>2</v>
      </c>
      <c r="K1336" s="1462"/>
      <c r="L1336" s="1456">
        <v>13121009700</v>
      </c>
      <c r="M1336" s="1457">
        <v>1</v>
      </c>
      <c r="N1336" s="1457">
        <v>1</v>
      </c>
      <c r="O1336" s="1458">
        <v>2</v>
      </c>
    </row>
    <row r="1337" spans="3:15" ht="13.5">
      <c r="C1337" s="1463" t="s">
        <v>5129</v>
      </c>
      <c r="D1337" s="1460">
        <v>1</v>
      </c>
      <c r="E1337" s="1460">
        <v>1</v>
      </c>
      <c r="F1337" s="1461">
        <v>2</v>
      </c>
      <c r="G1337" s="1472" t="s">
        <v>5129</v>
      </c>
      <c r="H1337" s="1458">
        <v>1</v>
      </c>
      <c r="I1337" s="1458">
        <v>1</v>
      </c>
      <c r="J1337" s="1473">
        <v>2</v>
      </c>
      <c r="K1337" s="1462"/>
      <c r="L1337" s="1456">
        <v>13121009801</v>
      </c>
      <c r="M1337" s="1457">
        <v>1</v>
      </c>
      <c r="N1337" s="1457">
        <v>1</v>
      </c>
      <c r="O1337" s="1458">
        <v>2</v>
      </c>
    </row>
    <row r="1338" spans="3:15" ht="13.5">
      <c r="C1338" s="1463" t="s">
        <v>5130</v>
      </c>
      <c r="D1338" s="1460">
        <v>1</v>
      </c>
      <c r="E1338" s="1460">
        <v>1</v>
      </c>
      <c r="F1338" s="1461">
        <v>2</v>
      </c>
      <c r="G1338" s="1472" t="s">
        <v>5130</v>
      </c>
      <c r="H1338" s="1458">
        <v>1</v>
      </c>
      <c r="I1338" s="1458">
        <v>1</v>
      </c>
      <c r="J1338" s="1473">
        <v>2</v>
      </c>
      <c r="K1338" s="1462"/>
      <c r="L1338" s="1456">
        <v>13121009802</v>
      </c>
      <c r="M1338" s="1457">
        <v>1</v>
      </c>
      <c r="N1338" s="1457">
        <v>1</v>
      </c>
      <c r="O1338" s="1458">
        <v>2</v>
      </c>
    </row>
    <row r="1339" spans="3:15" ht="13.5">
      <c r="C1339" s="1463" t="s">
        <v>5131</v>
      </c>
      <c r="D1339" s="1460">
        <v>1</v>
      </c>
      <c r="E1339" s="1460">
        <v>1</v>
      </c>
      <c r="F1339" s="1461">
        <v>2</v>
      </c>
      <c r="G1339" s="1472" t="s">
        <v>5131</v>
      </c>
      <c r="H1339" s="1458">
        <v>1</v>
      </c>
      <c r="I1339" s="1458" t="s">
        <v>3911</v>
      </c>
      <c r="J1339" s="1473">
        <v>1</v>
      </c>
      <c r="K1339" s="1462"/>
      <c r="L1339" s="1456">
        <v>13121009900</v>
      </c>
      <c r="M1339" s="1457">
        <v>1</v>
      </c>
      <c r="N1339" s="1457">
        <v>1</v>
      </c>
      <c r="O1339" s="1458">
        <v>2</v>
      </c>
    </row>
    <row r="1340" spans="3:15" ht="13.5">
      <c r="C1340" s="1463" t="s">
        <v>5132</v>
      </c>
      <c r="D1340" s="1460">
        <v>1</v>
      </c>
      <c r="E1340" s="1460">
        <v>1</v>
      </c>
      <c r="F1340" s="1461">
        <v>2</v>
      </c>
      <c r="G1340" s="1472" t="s">
        <v>5132</v>
      </c>
      <c r="H1340" s="1458">
        <v>1</v>
      </c>
      <c r="I1340" s="1458">
        <v>1</v>
      </c>
      <c r="J1340" s="1473">
        <v>2</v>
      </c>
      <c r="K1340" s="1462"/>
      <c r="L1340" s="1456">
        <v>13121010001</v>
      </c>
      <c r="M1340" s="1457">
        <v>1</v>
      </c>
      <c r="N1340" s="1457">
        <v>1</v>
      </c>
      <c r="O1340" s="1458">
        <v>2</v>
      </c>
    </row>
    <row r="1341" spans="3:15" ht="13.5">
      <c r="C1341" s="1463" t="s">
        <v>5133</v>
      </c>
      <c r="D1341" s="1460">
        <v>1</v>
      </c>
      <c r="E1341" s="1460">
        <v>1</v>
      </c>
      <c r="F1341" s="1461">
        <v>2</v>
      </c>
      <c r="G1341" s="1472" t="s">
        <v>5133</v>
      </c>
      <c r="H1341" s="1458">
        <v>1</v>
      </c>
      <c r="I1341" s="1458">
        <v>1</v>
      </c>
      <c r="J1341" s="1473">
        <v>2</v>
      </c>
      <c r="K1341" s="1462"/>
      <c r="L1341" s="1456">
        <v>13121010002</v>
      </c>
      <c r="M1341" s="1457">
        <v>1</v>
      </c>
      <c r="N1341" s="1457">
        <v>1</v>
      </c>
      <c r="O1341" s="1458">
        <v>2</v>
      </c>
    </row>
    <row r="1342" spans="3:15" ht="13.5">
      <c r="C1342" s="1463" t="s">
        <v>5134</v>
      </c>
      <c r="D1342" s="1460">
        <v>1</v>
      </c>
      <c r="E1342" s="1460">
        <v>1</v>
      </c>
      <c r="F1342" s="1461">
        <v>2</v>
      </c>
      <c r="G1342" s="1472" t="s">
        <v>5134</v>
      </c>
      <c r="H1342" s="1458">
        <v>1</v>
      </c>
      <c r="I1342" s="1458">
        <v>1</v>
      </c>
      <c r="J1342" s="1473">
        <v>2</v>
      </c>
      <c r="K1342" s="1462"/>
      <c r="L1342" s="1456">
        <v>13121010106</v>
      </c>
      <c r="M1342" s="1457">
        <v>1</v>
      </c>
      <c r="N1342" s="1457">
        <v>1</v>
      </c>
      <c r="O1342" s="1458">
        <v>2</v>
      </c>
    </row>
    <row r="1343" spans="3:15" ht="13.5">
      <c r="C1343" s="1463" t="s">
        <v>5135</v>
      </c>
      <c r="D1343" s="1460">
        <v>1</v>
      </c>
      <c r="E1343" s="1460">
        <v>1</v>
      </c>
      <c r="F1343" s="1461">
        <v>2</v>
      </c>
      <c r="G1343" s="1472" t="s">
        <v>5135</v>
      </c>
      <c r="H1343" s="1458">
        <v>1</v>
      </c>
      <c r="I1343" s="1458">
        <v>1</v>
      </c>
      <c r="J1343" s="1473">
        <v>2</v>
      </c>
      <c r="K1343" s="1462"/>
      <c r="L1343" s="1456">
        <v>13121010107</v>
      </c>
      <c r="M1343" s="1457">
        <v>1</v>
      </c>
      <c r="N1343" s="1457">
        <v>1</v>
      </c>
      <c r="O1343" s="1458">
        <v>2</v>
      </c>
    </row>
    <row r="1344" spans="3:15" ht="13.5">
      <c r="C1344" s="1463" t="s">
        <v>5136</v>
      </c>
      <c r="D1344" s="1460">
        <v>1</v>
      </c>
      <c r="E1344" s="1460">
        <v>1</v>
      </c>
      <c r="F1344" s="1461">
        <v>2</v>
      </c>
      <c r="G1344" s="1472" t="s">
        <v>5136</v>
      </c>
      <c r="H1344" s="1458">
        <v>1</v>
      </c>
      <c r="I1344" s="1458">
        <v>1</v>
      </c>
      <c r="J1344" s="1473">
        <v>2</v>
      </c>
      <c r="K1344" s="1462"/>
      <c r="L1344" s="1456">
        <v>13121010108</v>
      </c>
      <c r="M1344" s="1457">
        <v>1</v>
      </c>
      <c r="N1344" s="1457">
        <v>1</v>
      </c>
      <c r="O1344" s="1458">
        <v>2</v>
      </c>
    </row>
    <row r="1345" spans="3:15" ht="13.5">
      <c r="C1345" s="1463" t="s">
        <v>5137</v>
      </c>
      <c r="D1345" s="1460">
        <v>1</v>
      </c>
      <c r="E1345" s="1460">
        <v>1</v>
      </c>
      <c r="F1345" s="1461">
        <v>2</v>
      </c>
      <c r="G1345" s="1472" t="s">
        <v>5137</v>
      </c>
      <c r="H1345" s="1458">
        <v>1</v>
      </c>
      <c r="I1345" s="1458">
        <v>1</v>
      </c>
      <c r="J1345" s="1473">
        <v>2</v>
      </c>
      <c r="K1345" s="1462"/>
      <c r="L1345" s="1456">
        <v>13121010110</v>
      </c>
      <c r="M1345" s="1457">
        <v>1</v>
      </c>
      <c r="N1345" s="1457">
        <v>1</v>
      </c>
      <c r="O1345" s="1458">
        <v>2</v>
      </c>
    </row>
    <row r="1346" spans="3:15" ht="13.5">
      <c r="C1346" s="1463" t="s">
        <v>5138</v>
      </c>
      <c r="D1346" s="1460">
        <v>1</v>
      </c>
      <c r="E1346" s="1460">
        <v>0</v>
      </c>
      <c r="F1346" s="1461">
        <v>1</v>
      </c>
      <c r="G1346" s="1472" t="s">
        <v>5138</v>
      </c>
      <c r="H1346" s="1458">
        <v>1</v>
      </c>
      <c r="I1346" s="1458">
        <v>0</v>
      </c>
      <c r="J1346" s="1473">
        <v>1</v>
      </c>
      <c r="K1346" s="1462"/>
      <c r="L1346" s="1456">
        <v>13121010113</v>
      </c>
      <c r="M1346" s="1457">
        <v>1</v>
      </c>
      <c r="N1346" s="1457">
        <v>0</v>
      </c>
      <c r="O1346" s="1458">
        <v>1</v>
      </c>
    </row>
    <row r="1347" spans="3:15" ht="13.5">
      <c r="C1347" s="1463" t="s">
        <v>5139</v>
      </c>
      <c r="D1347" s="1460">
        <v>1</v>
      </c>
      <c r="E1347" s="1460">
        <v>1</v>
      </c>
      <c r="F1347" s="1461">
        <v>2</v>
      </c>
      <c r="G1347" s="1472" t="s">
        <v>5139</v>
      </c>
      <c r="H1347" s="1458">
        <v>1</v>
      </c>
      <c r="I1347" s="1458">
        <v>1</v>
      </c>
      <c r="J1347" s="1473">
        <v>2</v>
      </c>
      <c r="K1347" s="1462"/>
      <c r="L1347" s="1456">
        <v>13121010114</v>
      </c>
      <c r="M1347" s="1457">
        <v>1</v>
      </c>
      <c r="N1347" s="1457">
        <v>1</v>
      </c>
      <c r="O1347" s="1458">
        <v>2</v>
      </c>
    </row>
    <row r="1348" spans="3:15" ht="13.5">
      <c r="C1348" s="1463" t="s">
        <v>5140</v>
      </c>
      <c r="D1348" s="1460">
        <v>1</v>
      </c>
      <c r="E1348" s="1460">
        <v>1</v>
      </c>
      <c r="F1348" s="1461">
        <v>2</v>
      </c>
      <c r="G1348" s="1472" t="s">
        <v>5140</v>
      </c>
      <c r="H1348" s="1458">
        <v>1</v>
      </c>
      <c r="I1348" s="1458">
        <v>1</v>
      </c>
      <c r="J1348" s="1473">
        <v>2</v>
      </c>
      <c r="K1348" s="1462"/>
      <c r="L1348" s="1456">
        <v>13121010115</v>
      </c>
      <c r="M1348" s="1457">
        <v>1</v>
      </c>
      <c r="N1348" s="1457">
        <v>1</v>
      </c>
      <c r="O1348" s="1458">
        <v>2</v>
      </c>
    </row>
    <row r="1349" spans="3:15" ht="13.5">
      <c r="C1349" s="1463" t="s">
        <v>5141</v>
      </c>
      <c r="D1349" s="1460">
        <v>1</v>
      </c>
      <c r="E1349" s="1460">
        <v>0</v>
      </c>
      <c r="F1349" s="1461">
        <v>1</v>
      </c>
      <c r="G1349" s="1472" t="s">
        <v>5141</v>
      </c>
      <c r="H1349" s="1458">
        <v>1</v>
      </c>
      <c r="I1349" s="1458" t="s">
        <v>3911</v>
      </c>
      <c r="J1349" s="1473">
        <v>1</v>
      </c>
      <c r="K1349" s="1462"/>
      <c r="L1349" s="1456">
        <v>13121010117</v>
      </c>
      <c r="M1349" s="1457">
        <v>1</v>
      </c>
      <c r="N1349" s="1457">
        <v>0</v>
      </c>
      <c r="O1349" s="1458">
        <v>1</v>
      </c>
    </row>
    <row r="1350" spans="3:15" ht="13.5">
      <c r="C1350" s="1463" t="s">
        <v>5142</v>
      </c>
      <c r="D1350" s="1460">
        <v>0</v>
      </c>
      <c r="E1350" s="1460">
        <v>0</v>
      </c>
      <c r="F1350" s="1461">
        <v>0</v>
      </c>
      <c r="G1350" s="1472" t="s">
        <v>5142</v>
      </c>
      <c r="H1350" s="1458">
        <v>1</v>
      </c>
      <c r="I1350" s="1458" t="s">
        <v>3911</v>
      </c>
      <c r="J1350" s="1473">
        <v>1</v>
      </c>
      <c r="K1350" s="1462"/>
      <c r="L1350" s="1456">
        <v>13121010118</v>
      </c>
      <c r="M1350" s="1457">
        <v>1</v>
      </c>
      <c r="N1350" s="1457">
        <v>0</v>
      </c>
      <c r="O1350" s="1458">
        <v>1</v>
      </c>
    </row>
    <row r="1351" spans="3:15" ht="13.5">
      <c r="C1351" s="1463" t="s">
        <v>5143</v>
      </c>
      <c r="D1351" s="1460">
        <v>0</v>
      </c>
      <c r="E1351" s="1460">
        <v>0</v>
      </c>
      <c r="F1351" s="1461">
        <v>0</v>
      </c>
      <c r="G1351" s="1472" t="s">
        <v>5143</v>
      </c>
      <c r="H1351" s="1458">
        <v>0</v>
      </c>
      <c r="I1351" s="1458">
        <v>0</v>
      </c>
      <c r="J1351" s="1473">
        <v>0</v>
      </c>
      <c r="K1351" s="1462"/>
      <c r="L1351" s="1456">
        <v>13121010119</v>
      </c>
      <c r="M1351" s="1457">
        <v>0</v>
      </c>
      <c r="N1351" s="1457">
        <v>0</v>
      </c>
      <c r="O1351" s="1458">
        <v>0</v>
      </c>
    </row>
    <row r="1352" spans="3:15" ht="13.5">
      <c r="C1352" s="1463" t="s">
        <v>5144</v>
      </c>
      <c r="D1352" s="1460">
        <v>1</v>
      </c>
      <c r="E1352" s="1460">
        <v>1</v>
      </c>
      <c r="F1352" s="1461">
        <v>2</v>
      </c>
      <c r="G1352" s="1472" t="s">
        <v>5144</v>
      </c>
      <c r="H1352" s="1458">
        <v>1</v>
      </c>
      <c r="I1352" s="1458" t="s">
        <v>3911</v>
      </c>
      <c r="J1352" s="1473">
        <v>1</v>
      </c>
      <c r="K1352" s="1462"/>
      <c r="L1352" s="1456">
        <v>13121010120</v>
      </c>
      <c r="M1352" s="1457">
        <v>1</v>
      </c>
      <c r="N1352" s="1457">
        <v>1</v>
      </c>
      <c r="O1352" s="1458">
        <v>2</v>
      </c>
    </row>
    <row r="1353" spans="3:15" ht="13.5">
      <c r="C1353" s="1463" t="s">
        <v>5145</v>
      </c>
      <c r="D1353" s="1460">
        <v>1</v>
      </c>
      <c r="E1353" s="1460">
        <v>1</v>
      </c>
      <c r="F1353" s="1461">
        <v>2</v>
      </c>
      <c r="G1353" s="1472" t="s">
        <v>5145</v>
      </c>
      <c r="H1353" s="1458">
        <v>1</v>
      </c>
      <c r="I1353" s="1458">
        <v>1</v>
      </c>
      <c r="J1353" s="1473">
        <v>2</v>
      </c>
      <c r="K1353" s="1462"/>
      <c r="L1353" s="1456">
        <v>13121010121</v>
      </c>
      <c r="M1353" s="1457">
        <v>1</v>
      </c>
      <c r="N1353" s="1457">
        <v>1</v>
      </c>
      <c r="O1353" s="1458">
        <v>2</v>
      </c>
    </row>
    <row r="1354" spans="3:15" ht="13.5">
      <c r="C1354" s="1463" t="s">
        <v>5146</v>
      </c>
      <c r="D1354" s="1460">
        <v>1</v>
      </c>
      <c r="E1354" s="1460">
        <v>1</v>
      </c>
      <c r="F1354" s="1461">
        <v>2</v>
      </c>
      <c r="G1354" s="1472" t="s">
        <v>5146</v>
      </c>
      <c r="H1354" s="1458">
        <v>1</v>
      </c>
      <c r="I1354" s="1458">
        <v>1</v>
      </c>
      <c r="J1354" s="1473">
        <v>2</v>
      </c>
      <c r="K1354" s="1462"/>
      <c r="L1354" s="1456">
        <v>13121010122</v>
      </c>
      <c r="M1354" s="1457">
        <v>1</v>
      </c>
      <c r="N1354" s="1457">
        <v>1</v>
      </c>
      <c r="O1354" s="1458">
        <v>2</v>
      </c>
    </row>
    <row r="1355" spans="3:15" ht="13.5">
      <c r="C1355" s="1463" t="s">
        <v>5147</v>
      </c>
      <c r="D1355" s="1460">
        <v>1</v>
      </c>
      <c r="E1355" s="1460">
        <v>0</v>
      </c>
      <c r="F1355" s="1461">
        <v>1</v>
      </c>
      <c r="G1355" s="1472" t="s">
        <v>5147</v>
      </c>
      <c r="H1355" s="1458">
        <v>1</v>
      </c>
      <c r="I1355" s="1458">
        <v>1</v>
      </c>
      <c r="J1355" s="1473">
        <v>2</v>
      </c>
      <c r="K1355" s="1462"/>
      <c r="L1355" s="1456">
        <v>13121010123</v>
      </c>
      <c r="M1355" s="1457">
        <v>1</v>
      </c>
      <c r="N1355" s="1457">
        <v>1</v>
      </c>
      <c r="O1355" s="1458">
        <v>2</v>
      </c>
    </row>
    <row r="1356" spans="3:15" ht="13.5">
      <c r="C1356" s="1463" t="s">
        <v>5148</v>
      </c>
      <c r="D1356" s="1460">
        <v>1</v>
      </c>
      <c r="E1356" s="1460">
        <v>1</v>
      </c>
      <c r="F1356" s="1461">
        <v>2</v>
      </c>
      <c r="G1356" s="1472" t="s">
        <v>5148</v>
      </c>
      <c r="H1356" s="1458">
        <v>1</v>
      </c>
      <c r="I1356" s="1458">
        <v>1</v>
      </c>
      <c r="J1356" s="1473">
        <v>2</v>
      </c>
      <c r="K1356" s="1462"/>
      <c r="L1356" s="1456">
        <v>13121010204</v>
      </c>
      <c r="M1356" s="1457">
        <v>1</v>
      </c>
      <c r="N1356" s="1457">
        <v>1</v>
      </c>
      <c r="O1356" s="1458">
        <v>2</v>
      </c>
    </row>
    <row r="1357" spans="3:15" ht="13.5">
      <c r="C1357" s="1463" t="s">
        <v>5149</v>
      </c>
      <c r="D1357" s="1460">
        <v>1</v>
      </c>
      <c r="E1357" s="1460">
        <v>1</v>
      </c>
      <c r="F1357" s="1461">
        <v>2</v>
      </c>
      <c r="G1357" s="1472" t="s">
        <v>5149</v>
      </c>
      <c r="H1357" s="1458">
        <v>1</v>
      </c>
      <c r="I1357" s="1458">
        <v>1</v>
      </c>
      <c r="J1357" s="1473">
        <v>2</v>
      </c>
      <c r="K1357" s="1462"/>
      <c r="L1357" s="1456">
        <v>13121010205</v>
      </c>
      <c r="M1357" s="1457">
        <v>1</v>
      </c>
      <c r="N1357" s="1457">
        <v>1</v>
      </c>
      <c r="O1357" s="1458">
        <v>2</v>
      </c>
    </row>
    <row r="1358" spans="3:15" ht="13.5">
      <c r="C1358" s="1463" t="s">
        <v>5150</v>
      </c>
      <c r="D1358" s="1460">
        <v>1</v>
      </c>
      <c r="E1358" s="1460">
        <v>1</v>
      </c>
      <c r="F1358" s="1461">
        <v>2</v>
      </c>
      <c r="G1358" s="1472" t="s">
        <v>5150</v>
      </c>
      <c r="H1358" s="1458">
        <v>1</v>
      </c>
      <c r="I1358" s="1458">
        <v>1</v>
      </c>
      <c r="J1358" s="1473">
        <v>2</v>
      </c>
      <c r="K1358" s="1462"/>
      <c r="L1358" s="1456">
        <v>13121010206</v>
      </c>
      <c r="M1358" s="1457">
        <v>1</v>
      </c>
      <c r="N1358" s="1457">
        <v>1</v>
      </c>
      <c r="O1358" s="1458">
        <v>2</v>
      </c>
    </row>
    <row r="1359" spans="3:15" ht="13.5">
      <c r="C1359" s="1463" t="s">
        <v>5151</v>
      </c>
      <c r="D1359" s="1460">
        <v>1</v>
      </c>
      <c r="E1359" s="1460">
        <v>0</v>
      </c>
      <c r="F1359" s="1461">
        <v>1</v>
      </c>
      <c r="G1359" s="1472" t="s">
        <v>5151</v>
      </c>
      <c r="H1359" s="1458">
        <v>1</v>
      </c>
      <c r="I1359" s="1458">
        <v>1</v>
      </c>
      <c r="J1359" s="1473">
        <v>2</v>
      </c>
      <c r="K1359" s="1462"/>
      <c r="L1359" s="1456">
        <v>13121010208</v>
      </c>
      <c r="M1359" s="1457">
        <v>1</v>
      </c>
      <c r="N1359" s="1457">
        <v>1</v>
      </c>
      <c r="O1359" s="1458">
        <v>2</v>
      </c>
    </row>
    <row r="1360" spans="3:15" ht="13.5">
      <c r="C1360" s="1463" t="s">
        <v>5152</v>
      </c>
      <c r="D1360" s="1460">
        <v>1</v>
      </c>
      <c r="E1360" s="1460">
        <v>1</v>
      </c>
      <c r="F1360" s="1461">
        <v>2</v>
      </c>
      <c r="G1360" s="1472" t="s">
        <v>5152</v>
      </c>
      <c r="H1360" s="1458">
        <v>1</v>
      </c>
      <c r="I1360" s="1458" t="s">
        <v>3911</v>
      </c>
      <c r="J1360" s="1473">
        <v>1</v>
      </c>
      <c r="K1360" s="1462"/>
      <c r="L1360" s="1456">
        <v>13121010209</v>
      </c>
      <c r="M1360" s="1457">
        <v>1</v>
      </c>
      <c r="N1360" s="1457">
        <v>1</v>
      </c>
      <c r="O1360" s="1458">
        <v>2</v>
      </c>
    </row>
    <row r="1361" spans="3:15" ht="13.5">
      <c r="C1361" s="1463" t="s">
        <v>5153</v>
      </c>
      <c r="D1361" s="1460">
        <v>1</v>
      </c>
      <c r="E1361" s="1460">
        <v>1</v>
      </c>
      <c r="F1361" s="1461">
        <v>2</v>
      </c>
      <c r="G1361" s="1472" t="s">
        <v>5153</v>
      </c>
      <c r="H1361" s="1458">
        <v>1</v>
      </c>
      <c r="I1361" s="1458">
        <v>1</v>
      </c>
      <c r="J1361" s="1473">
        <v>2</v>
      </c>
      <c r="K1361" s="1462"/>
      <c r="L1361" s="1456">
        <v>13121010210</v>
      </c>
      <c r="M1361" s="1457">
        <v>1</v>
      </c>
      <c r="N1361" s="1457">
        <v>1</v>
      </c>
      <c r="O1361" s="1458">
        <v>2</v>
      </c>
    </row>
    <row r="1362" spans="3:15" ht="13.5">
      <c r="C1362" s="1463" t="s">
        <v>5154</v>
      </c>
      <c r="D1362" s="1460">
        <v>1</v>
      </c>
      <c r="E1362" s="1460">
        <v>1</v>
      </c>
      <c r="F1362" s="1461">
        <v>2</v>
      </c>
      <c r="G1362" s="1472" t="s">
        <v>5154</v>
      </c>
      <c r="H1362" s="1458">
        <v>1</v>
      </c>
      <c r="I1362" s="1458">
        <v>1</v>
      </c>
      <c r="J1362" s="1473">
        <v>2</v>
      </c>
      <c r="K1362" s="1462"/>
      <c r="L1362" s="1456">
        <v>13121010211</v>
      </c>
      <c r="M1362" s="1457">
        <v>1</v>
      </c>
      <c r="N1362" s="1457">
        <v>1</v>
      </c>
      <c r="O1362" s="1458">
        <v>2</v>
      </c>
    </row>
    <row r="1363" spans="3:15" ht="13.5">
      <c r="C1363" s="1463" t="s">
        <v>5155</v>
      </c>
      <c r="D1363" s="1460">
        <v>1</v>
      </c>
      <c r="E1363" s="1460">
        <v>0</v>
      </c>
      <c r="F1363" s="1461">
        <v>1</v>
      </c>
      <c r="G1363" s="1472" t="s">
        <v>5155</v>
      </c>
      <c r="H1363" s="1458">
        <v>1</v>
      </c>
      <c r="I1363" s="1458">
        <v>0</v>
      </c>
      <c r="J1363" s="1473">
        <v>1</v>
      </c>
      <c r="K1363" s="1462"/>
      <c r="L1363" s="1456">
        <v>13121010212</v>
      </c>
      <c r="M1363" s="1457">
        <v>1</v>
      </c>
      <c r="N1363" s="1457">
        <v>0</v>
      </c>
      <c r="O1363" s="1458">
        <v>1</v>
      </c>
    </row>
    <row r="1364" spans="3:15" ht="13.5">
      <c r="C1364" s="1463" t="s">
        <v>5156</v>
      </c>
      <c r="D1364" s="1460">
        <v>1</v>
      </c>
      <c r="E1364" s="1460">
        <v>0</v>
      </c>
      <c r="F1364" s="1461">
        <v>1</v>
      </c>
      <c r="G1364" s="1472" t="s">
        <v>5156</v>
      </c>
      <c r="H1364" s="1458">
        <v>1</v>
      </c>
      <c r="I1364" s="1458">
        <v>1</v>
      </c>
      <c r="J1364" s="1473">
        <v>2</v>
      </c>
      <c r="K1364" s="1462"/>
      <c r="L1364" s="1456">
        <v>13121010301</v>
      </c>
      <c r="M1364" s="1457">
        <v>1</v>
      </c>
      <c r="N1364" s="1457">
        <v>1</v>
      </c>
      <c r="O1364" s="1458">
        <v>2</v>
      </c>
    </row>
    <row r="1365" spans="3:15" ht="13.5">
      <c r="C1365" s="1463" t="s">
        <v>5157</v>
      </c>
      <c r="D1365" s="1460">
        <v>1</v>
      </c>
      <c r="E1365" s="1460">
        <v>0</v>
      </c>
      <c r="F1365" s="1461">
        <v>1</v>
      </c>
      <c r="G1365" s="1472" t="s">
        <v>5157</v>
      </c>
      <c r="H1365" s="1458">
        <v>1</v>
      </c>
      <c r="I1365" s="1458">
        <v>1</v>
      </c>
      <c r="J1365" s="1473">
        <v>2</v>
      </c>
      <c r="K1365" s="1462"/>
      <c r="L1365" s="1456">
        <v>13121010303</v>
      </c>
      <c r="M1365" s="1457">
        <v>1</v>
      </c>
      <c r="N1365" s="1457">
        <v>1</v>
      </c>
      <c r="O1365" s="1458">
        <v>2</v>
      </c>
    </row>
    <row r="1366" spans="3:15" ht="13.5">
      <c r="C1366" s="1463" t="s">
        <v>5158</v>
      </c>
      <c r="D1366" s="1460">
        <v>1</v>
      </c>
      <c r="E1366" s="1460">
        <v>1</v>
      </c>
      <c r="F1366" s="1461">
        <v>2</v>
      </c>
      <c r="G1366" s="1472" t="s">
        <v>5158</v>
      </c>
      <c r="H1366" s="1458">
        <v>1</v>
      </c>
      <c r="I1366" s="1458">
        <v>1</v>
      </c>
      <c r="J1366" s="1473">
        <v>2</v>
      </c>
      <c r="K1366" s="1462"/>
      <c r="L1366" s="1456">
        <v>13121010304</v>
      </c>
      <c r="M1366" s="1457">
        <v>1</v>
      </c>
      <c r="N1366" s="1457">
        <v>1</v>
      </c>
      <c r="O1366" s="1458">
        <v>2</v>
      </c>
    </row>
    <row r="1367" spans="3:15" ht="13.5">
      <c r="C1367" s="1463" t="s">
        <v>5159</v>
      </c>
      <c r="D1367" s="1460">
        <v>0</v>
      </c>
      <c r="E1367" s="1460">
        <v>0</v>
      </c>
      <c r="F1367" s="1461">
        <v>0</v>
      </c>
      <c r="G1367" s="1472" t="s">
        <v>5159</v>
      </c>
      <c r="H1367" s="1458">
        <v>0</v>
      </c>
      <c r="I1367" s="1458">
        <v>0</v>
      </c>
      <c r="J1367" s="1473">
        <v>0</v>
      </c>
      <c r="K1367" s="1462"/>
      <c r="L1367" s="1456">
        <v>13121010400</v>
      </c>
      <c r="M1367" s="1457">
        <v>0</v>
      </c>
      <c r="N1367" s="1457">
        <v>0</v>
      </c>
      <c r="O1367" s="1458">
        <v>0</v>
      </c>
    </row>
    <row r="1368" spans="3:15" ht="13.5">
      <c r="C1368" s="1463" t="s">
        <v>5160</v>
      </c>
      <c r="D1368" s="1460">
        <v>0</v>
      </c>
      <c r="E1368" s="1460">
        <v>0</v>
      </c>
      <c r="F1368" s="1461">
        <v>0</v>
      </c>
      <c r="G1368" s="1472" t="s">
        <v>5160</v>
      </c>
      <c r="H1368" s="1458">
        <v>0</v>
      </c>
      <c r="I1368" s="1458">
        <v>1</v>
      </c>
      <c r="J1368" s="1473">
        <v>1</v>
      </c>
      <c r="K1368" s="1462"/>
      <c r="L1368" s="1456">
        <v>13121010507</v>
      </c>
      <c r="M1368" s="1457">
        <v>0</v>
      </c>
      <c r="N1368" s="1457">
        <v>1</v>
      </c>
      <c r="O1368" s="1458">
        <v>1</v>
      </c>
    </row>
    <row r="1369" spans="3:15" ht="13.5">
      <c r="C1369" s="1463" t="s">
        <v>5161</v>
      </c>
      <c r="D1369" s="1460">
        <v>0</v>
      </c>
      <c r="E1369" s="1460">
        <v>0</v>
      </c>
      <c r="F1369" s="1461">
        <v>0</v>
      </c>
      <c r="G1369" s="1472" t="s">
        <v>5161</v>
      </c>
      <c r="H1369" s="1458">
        <v>0</v>
      </c>
      <c r="I1369" s="1458">
        <v>0</v>
      </c>
      <c r="J1369" s="1473">
        <v>0</v>
      </c>
      <c r="K1369" s="1462"/>
      <c r="L1369" s="1456">
        <v>13121010508</v>
      </c>
      <c r="M1369" s="1457">
        <v>0</v>
      </c>
      <c r="N1369" s="1457">
        <v>0</v>
      </c>
      <c r="O1369" s="1458">
        <v>0</v>
      </c>
    </row>
    <row r="1370" spans="3:15" ht="13.5">
      <c r="C1370" s="1463" t="s">
        <v>5162</v>
      </c>
      <c r="D1370" s="1460">
        <v>0</v>
      </c>
      <c r="E1370" s="1460">
        <v>0</v>
      </c>
      <c r="F1370" s="1461">
        <v>0</v>
      </c>
      <c r="G1370" s="1472" t="s">
        <v>5162</v>
      </c>
      <c r="H1370" s="1458">
        <v>0</v>
      </c>
      <c r="I1370" s="1458">
        <v>1</v>
      </c>
      <c r="J1370" s="1473">
        <v>1</v>
      </c>
      <c r="K1370" s="1462"/>
      <c r="L1370" s="1456">
        <v>13121010510</v>
      </c>
      <c r="M1370" s="1457">
        <v>0</v>
      </c>
      <c r="N1370" s="1457">
        <v>1</v>
      </c>
      <c r="O1370" s="1458">
        <v>1</v>
      </c>
    </row>
    <row r="1371" spans="3:15" ht="13.5">
      <c r="C1371" s="1463" t="s">
        <v>5163</v>
      </c>
      <c r="D1371" s="1460">
        <v>0</v>
      </c>
      <c r="E1371" s="1460">
        <v>0</v>
      </c>
      <c r="F1371" s="1461">
        <v>0</v>
      </c>
      <c r="G1371" s="1472" t="s">
        <v>5163</v>
      </c>
      <c r="H1371" s="1458">
        <v>0</v>
      </c>
      <c r="I1371" s="1458">
        <v>1</v>
      </c>
      <c r="J1371" s="1473">
        <v>1</v>
      </c>
      <c r="K1371" s="1462"/>
      <c r="L1371" s="1456">
        <v>13121010511</v>
      </c>
      <c r="M1371" s="1457">
        <v>0</v>
      </c>
      <c r="N1371" s="1457">
        <v>1</v>
      </c>
      <c r="O1371" s="1458">
        <v>1</v>
      </c>
    </row>
    <row r="1372" spans="3:15" ht="13.5">
      <c r="C1372" s="1463" t="s">
        <v>5164</v>
      </c>
      <c r="D1372" s="1460">
        <v>0</v>
      </c>
      <c r="E1372" s="1460">
        <v>0</v>
      </c>
      <c r="F1372" s="1461">
        <v>0</v>
      </c>
      <c r="G1372" s="1472" t="s">
        <v>5164</v>
      </c>
      <c r="H1372" s="1458">
        <v>0</v>
      </c>
      <c r="I1372" s="1458" t="s">
        <v>3911</v>
      </c>
      <c r="J1372" s="1473">
        <v>0</v>
      </c>
      <c r="K1372" s="1462"/>
      <c r="L1372" s="1456">
        <v>13121010512</v>
      </c>
      <c r="M1372" s="1457">
        <v>0</v>
      </c>
      <c r="N1372" s="1457">
        <v>0</v>
      </c>
      <c r="O1372" s="1458">
        <v>0</v>
      </c>
    </row>
    <row r="1373" spans="3:15" ht="13.5">
      <c r="C1373" s="1463" t="s">
        <v>5165</v>
      </c>
      <c r="D1373" s="1460">
        <v>0</v>
      </c>
      <c r="E1373" s="1460">
        <v>0</v>
      </c>
      <c r="F1373" s="1461">
        <v>0</v>
      </c>
      <c r="G1373" s="1472" t="s">
        <v>5165</v>
      </c>
      <c r="H1373" s="1458">
        <v>0</v>
      </c>
      <c r="I1373" s="1458">
        <v>0</v>
      </c>
      <c r="J1373" s="1473">
        <v>0</v>
      </c>
      <c r="K1373" s="1462"/>
      <c r="L1373" s="1456">
        <v>13121010513</v>
      </c>
      <c r="M1373" s="1457">
        <v>0</v>
      </c>
      <c r="N1373" s="1457">
        <v>0</v>
      </c>
      <c r="O1373" s="1458">
        <v>0</v>
      </c>
    </row>
    <row r="1374" spans="3:15" ht="13.5">
      <c r="C1374" s="1463" t="s">
        <v>5166</v>
      </c>
      <c r="D1374" s="1460">
        <v>1</v>
      </c>
      <c r="E1374" s="1460">
        <v>1</v>
      </c>
      <c r="F1374" s="1461">
        <v>2</v>
      </c>
      <c r="G1374" s="1472" t="s">
        <v>5166</v>
      </c>
      <c r="H1374" s="1458">
        <v>1</v>
      </c>
      <c r="I1374" s="1458">
        <v>1</v>
      </c>
      <c r="J1374" s="1473">
        <v>2</v>
      </c>
      <c r="K1374" s="1462"/>
      <c r="L1374" s="1456">
        <v>13121010514</v>
      </c>
      <c r="M1374" s="1457">
        <v>1</v>
      </c>
      <c r="N1374" s="1457">
        <v>1</v>
      </c>
      <c r="O1374" s="1458">
        <v>2</v>
      </c>
    </row>
    <row r="1375" spans="3:15" ht="13.5">
      <c r="C1375" s="1463" t="s">
        <v>5167</v>
      </c>
      <c r="D1375" s="1460">
        <v>0</v>
      </c>
      <c r="E1375" s="1460">
        <v>0</v>
      </c>
      <c r="F1375" s="1461">
        <v>0</v>
      </c>
      <c r="G1375" s="1472" t="s">
        <v>5167</v>
      </c>
      <c r="H1375" s="1458">
        <v>1</v>
      </c>
      <c r="I1375" s="1458">
        <v>0</v>
      </c>
      <c r="J1375" s="1473">
        <v>1</v>
      </c>
      <c r="K1375" s="1462"/>
      <c r="L1375" s="1456">
        <v>13121010515</v>
      </c>
      <c r="M1375" s="1457">
        <v>1</v>
      </c>
      <c r="N1375" s="1457">
        <v>0</v>
      </c>
      <c r="O1375" s="1458">
        <v>1</v>
      </c>
    </row>
    <row r="1376" spans="3:15" ht="13.5">
      <c r="C1376" s="1463" t="s">
        <v>5168</v>
      </c>
      <c r="D1376" s="1460">
        <v>0</v>
      </c>
      <c r="E1376" s="1460">
        <v>0</v>
      </c>
      <c r="F1376" s="1461">
        <v>0</v>
      </c>
      <c r="G1376" s="1472" t="s">
        <v>5168</v>
      </c>
      <c r="H1376" s="1458">
        <v>0</v>
      </c>
      <c r="I1376" s="1458">
        <v>0</v>
      </c>
      <c r="J1376" s="1473">
        <v>0</v>
      </c>
      <c r="K1376" s="1462"/>
      <c r="L1376" s="1456">
        <v>13121010516</v>
      </c>
      <c r="M1376" s="1457">
        <v>0</v>
      </c>
      <c r="N1376" s="1457">
        <v>0</v>
      </c>
      <c r="O1376" s="1458">
        <v>0</v>
      </c>
    </row>
    <row r="1377" spans="3:15" ht="13.5">
      <c r="C1377" s="1463" t="s">
        <v>5169</v>
      </c>
      <c r="D1377" s="1460">
        <v>0</v>
      </c>
      <c r="E1377" s="1460">
        <v>0</v>
      </c>
      <c r="F1377" s="1461">
        <v>0</v>
      </c>
      <c r="G1377" s="1472" t="s">
        <v>5169</v>
      </c>
      <c r="H1377" s="1458">
        <v>0</v>
      </c>
      <c r="I1377" s="1458">
        <v>0</v>
      </c>
      <c r="J1377" s="1473">
        <v>0</v>
      </c>
      <c r="K1377" s="1462"/>
      <c r="L1377" s="1456">
        <v>13121010601</v>
      </c>
      <c r="M1377" s="1457">
        <v>0</v>
      </c>
      <c r="N1377" s="1457">
        <v>0</v>
      </c>
      <c r="O1377" s="1458">
        <v>0</v>
      </c>
    </row>
    <row r="1378" spans="3:15" ht="13.5">
      <c r="C1378" s="1463" t="s">
        <v>5170</v>
      </c>
      <c r="D1378" s="1460">
        <v>0</v>
      </c>
      <c r="E1378" s="1460">
        <v>0</v>
      </c>
      <c r="F1378" s="1461">
        <v>0</v>
      </c>
      <c r="G1378" s="1472" t="s">
        <v>5170</v>
      </c>
      <c r="H1378" s="1458">
        <v>0</v>
      </c>
      <c r="I1378" s="1458">
        <v>0</v>
      </c>
      <c r="J1378" s="1473">
        <v>0</v>
      </c>
      <c r="K1378" s="1462"/>
      <c r="L1378" s="1456">
        <v>13121010603</v>
      </c>
      <c r="M1378" s="1457">
        <v>0</v>
      </c>
      <c r="N1378" s="1457">
        <v>0</v>
      </c>
      <c r="O1378" s="1458">
        <v>0</v>
      </c>
    </row>
    <row r="1379" spans="3:15" ht="13.5">
      <c r="C1379" s="1463" t="s">
        <v>5171</v>
      </c>
      <c r="D1379" s="1460">
        <v>0</v>
      </c>
      <c r="E1379" s="1460">
        <v>0</v>
      </c>
      <c r="F1379" s="1461">
        <v>0</v>
      </c>
      <c r="G1379" s="1472" t="s">
        <v>5171</v>
      </c>
      <c r="H1379" s="1458">
        <v>0</v>
      </c>
      <c r="I1379" s="1458">
        <v>0</v>
      </c>
      <c r="J1379" s="1473">
        <v>0</v>
      </c>
      <c r="K1379" s="1462"/>
      <c r="L1379" s="1456">
        <v>13121010604</v>
      </c>
      <c r="M1379" s="1457">
        <v>0</v>
      </c>
      <c r="N1379" s="1457">
        <v>0</v>
      </c>
      <c r="O1379" s="1458">
        <v>0</v>
      </c>
    </row>
    <row r="1380" spans="3:15" ht="13.5">
      <c r="C1380" s="1463" t="s">
        <v>5172</v>
      </c>
      <c r="D1380" s="1460">
        <v>0</v>
      </c>
      <c r="E1380" s="1460">
        <v>0</v>
      </c>
      <c r="F1380" s="1461">
        <v>0</v>
      </c>
      <c r="G1380" s="1472" t="s">
        <v>5172</v>
      </c>
      <c r="H1380" s="1458">
        <v>1</v>
      </c>
      <c r="I1380" s="1458">
        <v>0</v>
      </c>
      <c r="J1380" s="1473">
        <v>1</v>
      </c>
      <c r="K1380" s="1462"/>
      <c r="L1380" s="1456">
        <v>13121010800</v>
      </c>
      <c r="M1380" s="1457">
        <v>1</v>
      </c>
      <c r="N1380" s="1457">
        <v>0</v>
      </c>
      <c r="O1380" s="1458">
        <v>1</v>
      </c>
    </row>
    <row r="1381" spans="3:15" ht="13.5">
      <c r="C1381" s="1463" t="s">
        <v>5173</v>
      </c>
      <c r="D1381" s="1460">
        <v>0</v>
      </c>
      <c r="E1381" s="1460">
        <v>0</v>
      </c>
      <c r="F1381" s="1461">
        <v>0</v>
      </c>
      <c r="G1381" s="1472" t="s">
        <v>5173</v>
      </c>
      <c r="H1381" s="1458">
        <v>0</v>
      </c>
      <c r="I1381" s="1458">
        <v>0</v>
      </c>
      <c r="J1381" s="1473">
        <v>0</v>
      </c>
      <c r="K1381" s="1462"/>
      <c r="L1381" s="1456">
        <v>13121011000</v>
      </c>
      <c r="M1381" s="1457">
        <v>0</v>
      </c>
      <c r="N1381" s="1457">
        <v>0</v>
      </c>
      <c r="O1381" s="1458">
        <v>0</v>
      </c>
    </row>
    <row r="1382" spans="3:15" ht="13.5">
      <c r="C1382" s="1463" t="s">
        <v>5174</v>
      </c>
      <c r="D1382" s="1460">
        <v>1</v>
      </c>
      <c r="E1382" s="1460">
        <v>0</v>
      </c>
      <c r="F1382" s="1461">
        <v>1</v>
      </c>
      <c r="G1382" s="1472" t="s">
        <v>5174</v>
      </c>
      <c r="H1382" s="1458">
        <v>1</v>
      </c>
      <c r="I1382" s="1458">
        <v>0</v>
      </c>
      <c r="J1382" s="1473">
        <v>1</v>
      </c>
      <c r="K1382" s="1462"/>
      <c r="L1382" s="1456">
        <v>13121011100</v>
      </c>
      <c r="M1382" s="1457">
        <v>1</v>
      </c>
      <c r="N1382" s="1457">
        <v>0</v>
      </c>
      <c r="O1382" s="1458">
        <v>1</v>
      </c>
    </row>
    <row r="1383" spans="3:15" ht="13.5">
      <c r="C1383" s="1463" t="s">
        <v>5175</v>
      </c>
      <c r="D1383" s="1460">
        <v>0</v>
      </c>
      <c r="E1383" s="1460">
        <v>0</v>
      </c>
      <c r="F1383" s="1461">
        <v>0</v>
      </c>
      <c r="G1383" s="1472" t="s">
        <v>5175</v>
      </c>
      <c r="H1383" s="1458">
        <v>0</v>
      </c>
      <c r="I1383" s="1458">
        <v>0</v>
      </c>
      <c r="J1383" s="1473">
        <v>0</v>
      </c>
      <c r="K1383" s="1462"/>
      <c r="L1383" s="1456">
        <v>13121011201</v>
      </c>
      <c r="M1383" s="1457">
        <v>0</v>
      </c>
      <c r="N1383" s="1457">
        <v>0</v>
      </c>
      <c r="O1383" s="1458">
        <v>0</v>
      </c>
    </row>
    <row r="1384" spans="3:15" ht="13.5">
      <c r="C1384" s="1463" t="s">
        <v>5176</v>
      </c>
      <c r="D1384" s="1460">
        <v>0</v>
      </c>
      <c r="E1384" s="1460">
        <v>0</v>
      </c>
      <c r="F1384" s="1461">
        <v>0</v>
      </c>
      <c r="G1384" s="1472" t="s">
        <v>5176</v>
      </c>
      <c r="H1384" s="1458">
        <v>0</v>
      </c>
      <c r="I1384" s="1458">
        <v>0</v>
      </c>
      <c r="J1384" s="1473">
        <v>0</v>
      </c>
      <c r="K1384" s="1462"/>
      <c r="L1384" s="1456">
        <v>13121011202</v>
      </c>
      <c r="M1384" s="1457">
        <v>0</v>
      </c>
      <c r="N1384" s="1457">
        <v>0</v>
      </c>
      <c r="O1384" s="1458">
        <v>0</v>
      </c>
    </row>
    <row r="1385" spans="3:15" ht="13.5">
      <c r="C1385" s="1463" t="s">
        <v>5177</v>
      </c>
      <c r="D1385" s="1460">
        <v>0</v>
      </c>
      <c r="E1385" s="1460">
        <v>0</v>
      </c>
      <c r="F1385" s="1461">
        <v>0</v>
      </c>
      <c r="G1385" s="1472" t="s">
        <v>5177</v>
      </c>
      <c r="H1385" s="1458">
        <v>0</v>
      </c>
      <c r="I1385" s="1458">
        <v>0</v>
      </c>
      <c r="J1385" s="1473">
        <v>0</v>
      </c>
      <c r="K1385" s="1462"/>
      <c r="L1385" s="1456">
        <v>13121011301</v>
      </c>
      <c r="M1385" s="1457">
        <v>0</v>
      </c>
      <c r="N1385" s="1457">
        <v>0</v>
      </c>
      <c r="O1385" s="1458">
        <v>0</v>
      </c>
    </row>
    <row r="1386" spans="3:15" ht="13.5">
      <c r="C1386" s="1463" t="s">
        <v>5178</v>
      </c>
      <c r="D1386" s="1460">
        <v>0</v>
      </c>
      <c r="E1386" s="1460">
        <v>0</v>
      </c>
      <c r="F1386" s="1461">
        <v>0</v>
      </c>
      <c r="G1386" s="1472" t="s">
        <v>5178</v>
      </c>
      <c r="H1386" s="1458">
        <v>1</v>
      </c>
      <c r="I1386" s="1458">
        <v>0</v>
      </c>
      <c r="J1386" s="1473">
        <v>1</v>
      </c>
      <c r="K1386" s="1462"/>
      <c r="L1386" s="1456">
        <v>13121011303</v>
      </c>
      <c r="M1386" s="1457">
        <v>1</v>
      </c>
      <c r="N1386" s="1457">
        <v>0</v>
      </c>
      <c r="O1386" s="1458">
        <v>1</v>
      </c>
    </row>
    <row r="1387" spans="3:15" ht="13.5">
      <c r="C1387" s="1463" t="s">
        <v>5179</v>
      </c>
      <c r="D1387" s="1460">
        <v>0</v>
      </c>
      <c r="E1387" s="1460">
        <v>0</v>
      </c>
      <c r="F1387" s="1461">
        <v>0</v>
      </c>
      <c r="G1387" s="1472" t="s">
        <v>5179</v>
      </c>
      <c r="H1387" s="1458">
        <v>0</v>
      </c>
      <c r="I1387" s="1458">
        <v>0</v>
      </c>
      <c r="J1387" s="1473">
        <v>0</v>
      </c>
      <c r="K1387" s="1462"/>
      <c r="L1387" s="1456">
        <v>13121011305</v>
      </c>
      <c r="M1387" s="1457">
        <v>0</v>
      </c>
      <c r="N1387" s="1457">
        <v>0</v>
      </c>
      <c r="O1387" s="1458">
        <v>0</v>
      </c>
    </row>
    <row r="1388" spans="3:15" ht="13.5">
      <c r="C1388" s="1463" t="s">
        <v>5180</v>
      </c>
      <c r="D1388" s="1460">
        <v>0</v>
      </c>
      <c r="E1388" s="1460">
        <v>0</v>
      </c>
      <c r="F1388" s="1461">
        <v>0</v>
      </c>
      <c r="G1388" s="1472" t="s">
        <v>5180</v>
      </c>
      <c r="H1388" s="1458">
        <v>0</v>
      </c>
      <c r="I1388" s="1458">
        <v>0</v>
      </c>
      <c r="J1388" s="1473">
        <v>0</v>
      </c>
      <c r="K1388" s="1462"/>
      <c r="L1388" s="1456">
        <v>13121011306</v>
      </c>
      <c r="M1388" s="1457">
        <v>0</v>
      </c>
      <c r="N1388" s="1457">
        <v>0</v>
      </c>
      <c r="O1388" s="1458">
        <v>0</v>
      </c>
    </row>
    <row r="1389" spans="3:15" ht="13.5">
      <c r="C1389" s="1463" t="s">
        <v>5181</v>
      </c>
      <c r="D1389" s="1460">
        <v>1</v>
      </c>
      <c r="E1389" s="1460">
        <v>0</v>
      </c>
      <c r="F1389" s="1461">
        <v>1</v>
      </c>
      <c r="G1389" s="1472" t="s">
        <v>5181</v>
      </c>
      <c r="H1389" s="1458">
        <v>1</v>
      </c>
      <c r="I1389" s="1458">
        <v>1</v>
      </c>
      <c r="J1389" s="1473">
        <v>2</v>
      </c>
      <c r="K1389" s="1462"/>
      <c r="L1389" s="1456">
        <v>13121011405</v>
      </c>
      <c r="M1389" s="1457">
        <v>1</v>
      </c>
      <c r="N1389" s="1457">
        <v>1</v>
      </c>
      <c r="O1389" s="1458">
        <v>2</v>
      </c>
    </row>
    <row r="1390" spans="3:15" ht="13.5">
      <c r="C1390" s="1463" t="s">
        <v>5182</v>
      </c>
      <c r="D1390" s="1460">
        <v>1</v>
      </c>
      <c r="E1390" s="1460">
        <v>1</v>
      </c>
      <c r="F1390" s="1461">
        <v>2</v>
      </c>
      <c r="G1390" s="1472" t="s">
        <v>5182</v>
      </c>
      <c r="H1390" s="1458">
        <v>1</v>
      </c>
      <c r="I1390" s="1458">
        <v>1</v>
      </c>
      <c r="J1390" s="1473">
        <v>2</v>
      </c>
      <c r="K1390" s="1462"/>
      <c r="L1390" s="1456">
        <v>13121011410</v>
      </c>
      <c r="M1390" s="1457">
        <v>1</v>
      </c>
      <c r="N1390" s="1457">
        <v>1</v>
      </c>
      <c r="O1390" s="1458">
        <v>2</v>
      </c>
    </row>
    <row r="1391" spans="3:15" ht="13.5">
      <c r="C1391" s="1463" t="s">
        <v>5183</v>
      </c>
      <c r="D1391" s="1460">
        <v>1</v>
      </c>
      <c r="E1391" s="1460">
        <v>1</v>
      </c>
      <c r="F1391" s="1461">
        <v>2</v>
      </c>
      <c r="G1391" s="1472" t="s">
        <v>5183</v>
      </c>
      <c r="H1391" s="1458">
        <v>1</v>
      </c>
      <c r="I1391" s="1458">
        <v>1</v>
      </c>
      <c r="J1391" s="1473">
        <v>2</v>
      </c>
      <c r="K1391" s="1462"/>
      <c r="L1391" s="1456">
        <v>13121011411</v>
      </c>
      <c r="M1391" s="1457">
        <v>1</v>
      </c>
      <c r="N1391" s="1457">
        <v>1</v>
      </c>
      <c r="O1391" s="1458">
        <v>2</v>
      </c>
    </row>
    <row r="1392" spans="3:15" ht="13.5">
      <c r="C1392" s="1463" t="s">
        <v>5184</v>
      </c>
      <c r="D1392" s="1460">
        <v>1</v>
      </c>
      <c r="E1392" s="1460">
        <v>1</v>
      </c>
      <c r="F1392" s="1461">
        <v>2</v>
      </c>
      <c r="G1392" s="1472" t="s">
        <v>5184</v>
      </c>
      <c r="H1392" s="1458">
        <v>1</v>
      </c>
      <c r="I1392" s="1458">
        <v>1</v>
      </c>
      <c r="J1392" s="1473">
        <v>2</v>
      </c>
      <c r="K1392" s="1462"/>
      <c r="L1392" s="1456">
        <v>13121011412</v>
      </c>
      <c r="M1392" s="1457">
        <v>1</v>
      </c>
      <c r="N1392" s="1457">
        <v>1</v>
      </c>
      <c r="O1392" s="1458">
        <v>2</v>
      </c>
    </row>
    <row r="1393" spans="3:15" ht="13.5">
      <c r="C1393" s="1463" t="s">
        <v>5185</v>
      </c>
      <c r="D1393" s="1460">
        <v>1</v>
      </c>
      <c r="E1393" s="1460">
        <v>1</v>
      </c>
      <c r="F1393" s="1461">
        <v>2</v>
      </c>
      <c r="G1393" s="1472" t="s">
        <v>5185</v>
      </c>
      <c r="H1393" s="1458">
        <v>1</v>
      </c>
      <c r="I1393" s="1458">
        <v>0</v>
      </c>
      <c r="J1393" s="1473">
        <v>1</v>
      </c>
      <c r="K1393" s="1462"/>
      <c r="L1393" s="1456">
        <v>13121011414</v>
      </c>
      <c r="M1393" s="1457">
        <v>1</v>
      </c>
      <c r="N1393" s="1457">
        <v>1</v>
      </c>
      <c r="O1393" s="1458">
        <v>2</v>
      </c>
    </row>
    <row r="1394" spans="3:15" ht="13.5">
      <c r="C1394" s="1463" t="s">
        <v>5186</v>
      </c>
      <c r="D1394" s="1460">
        <v>1</v>
      </c>
      <c r="E1394" s="1460">
        <v>1</v>
      </c>
      <c r="F1394" s="1461">
        <v>2</v>
      </c>
      <c r="G1394" s="1472" t="s">
        <v>5186</v>
      </c>
      <c r="H1394" s="1458">
        <v>1</v>
      </c>
      <c r="I1394" s="1458">
        <v>1</v>
      </c>
      <c r="J1394" s="1473">
        <v>2</v>
      </c>
      <c r="K1394" s="1462"/>
      <c r="L1394" s="1456">
        <v>13121011416</v>
      </c>
      <c r="M1394" s="1457">
        <v>1</v>
      </c>
      <c r="N1394" s="1457">
        <v>1</v>
      </c>
      <c r="O1394" s="1458">
        <v>2</v>
      </c>
    </row>
    <row r="1395" spans="3:15" ht="13.5">
      <c r="C1395" s="1463" t="s">
        <v>5187</v>
      </c>
      <c r="D1395" s="1460">
        <v>1</v>
      </c>
      <c r="E1395" s="1460">
        <v>1</v>
      </c>
      <c r="F1395" s="1461">
        <v>2</v>
      </c>
      <c r="G1395" s="1472" t="s">
        <v>5187</v>
      </c>
      <c r="H1395" s="1458">
        <v>1</v>
      </c>
      <c r="I1395" s="1458">
        <v>1</v>
      </c>
      <c r="J1395" s="1473">
        <v>2</v>
      </c>
      <c r="K1395" s="1462"/>
      <c r="L1395" s="1456">
        <v>13121011417</v>
      </c>
      <c r="M1395" s="1457">
        <v>1</v>
      </c>
      <c r="N1395" s="1457">
        <v>1</v>
      </c>
      <c r="O1395" s="1458">
        <v>2</v>
      </c>
    </row>
    <row r="1396" spans="3:15" ht="13.5">
      <c r="C1396" s="1463" t="s">
        <v>5188</v>
      </c>
      <c r="D1396" s="1460">
        <v>1</v>
      </c>
      <c r="E1396" s="1460">
        <v>1</v>
      </c>
      <c r="F1396" s="1461">
        <v>2</v>
      </c>
      <c r="G1396" s="1472" t="s">
        <v>5188</v>
      </c>
      <c r="H1396" s="1458">
        <v>1</v>
      </c>
      <c r="I1396" s="1458">
        <v>1</v>
      </c>
      <c r="J1396" s="1473">
        <v>2</v>
      </c>
      <c r="K1396" s="1462"/>
      <c r="L1396" s="1456">
        <v>13121011418</v>
      </c>
      <c r="M1396" s="1457">
        <v>1</v>
      </c>
      <c r="N1396" s="1457">
        <v>1</v>
      </c>
      <c r="O1396" s="1458">
        <v>2</v>
      </c>
    </row>
    <row r="1397" spans="3:15" ht="13.5">
      <c r="C1397" s="1463" t="s">
        <v>5189</v>
      </c>
      <c r="D1397" s="1460">
        <v>1</v>
      </c>
      <c r="E1397" s="1460">
        <v>1</v>
      </c>
      <c r="F1397" s="1461">
        <v>2</v>
      </c>
      <c r="G1397" s="1472" t="s">
        <v>5189</v>
      </c>
      <c r="H1397" s="1458">
        <v>1</v>
      </c>
      <c r="I1397" s="1458">
        <v>1</v>
      </c>
      <c r="J1397" s="1473">
        <v>2</v>
      </c>
      <c r="K1397" s="1462"/>
      <c r="L1397" s="1456">
        <v>13121011419</v>
      </c>
      <c r="M1397" s="1457">
        <v>1</v>
      </c>
      <c r="N1397" s="1457">
        <v>1</v>
      </c>
      <c r="O1397" s="1458">
        <v>2</v>
      </c>
    </row>
    <row r="1398" spans="3:15" ht="13.5">
      <c r="C1398" s="1463" t="s">
        <v>5190</v>
      </c>
      <c r="D1398" s="1460">
        <v>0</v>
      </c>
      <c r="E1398" s="1460">
        <v>0</v>
      </c>
      <c r="F1398" s="1461">
        <v>0</v>
      </c>
      <c r="G1398" s="1472" t="s">
        <v>5190</v>
      </c>
      <c r="H1398" s="1458">
        <v>0</v>
      </c>
      <c r="I1398" s="1458">
        <v>0</v>
      </c>
      <c r="J1398" s="1473">
        <v>0</v>
      </c>
      <c r="K1398" s="1462"/>
      <c r="L1398" s="1456">
        <v>13121011420</v>
      </c>
      <c r="M1398" s="1457">
        <v>0</v>
      </c>
      <c r="N1398" s="1457">
        <v>0</v>
      </c>
      <c r="O1398" s="1458">
        <v>0</v>
      </c>
    </row>
    <row r="1399" spans="3:15" ht="13.5">
      <c r="C1399" s="1463" t="s">
        <v>5191</v>
      </c>
      <c r="D1399" s="1460">
        <v>1</v>
      </c>
      <c r="E1399" s="1460">
        <v>0</v>
      </c>
      <c r="F1399" s="1461">
        <v>1</v>
      </c>
      <c r="G1399" s="1472" t="s">
        <v>5191</v>
      </c>
      <c r="H1399" s="1458">
        <v>1</v>
      </c>
      <c r="I1399" s="1458">
        <v>0</v>
      </c>
      <c r="J1399" s="1473">
        <v>1</v>
      </c>
      <c r="K1399" s="1462"/>
      <c r="L1399" s="1456">
        <v>13121011421</v>
      </c>
      <c r="M1399" s="1457">
        <v>1</v>
      </c>
      <c r="N1399" s="1457">
        <v>0</v>
      </c>
      <c r="O1399" s="1458">
        <v>1</v>
      </c>
    </row>
    <row r="1400" spans="3:15" ht="13.5">
      <c r="C1400" s="1463" t="s">
        <v>5192</v>
      </c>
      <c r="D1400" s="1460">
        <v>1</v>
      </c>
      <c r="E1400" s="1460">
        <v>1</v>
      </c>
      <c r="F1400" s="1461">
        <v>2</v>
      </c>
      <c r="G1400" s="1472" t="s">
        <v>5192</v>
      </c>
      <c r="H1400" s="1458">
        <v>1</v>
      </c>
      <c r="I1400" s="1458">
        <v>1</v>
      </c>
      <c r="J1400" s="1473">
        <v>2</v>
      </c>
      <c r="K1400" s="1462"/>
      <c r="L1400" s="1456">
        <v>13121011422</v>
      </c>
      <c r="M1400" s="1457">
        <v>1</v>
      </c>
      <c r="N1400" s="1457">
        <v>1</v>
      </c>
      <c r="O1400" s="1458">
        <v>2</v>
      </c>
    </row>
    <row r="1401" spans="3:15" ht="13.5">
      <c r="C1401" s="1463" t="s">
        <v>5193</v>
      </c>
      <c r="D1401" s="1460">
        <v>1</v>
      </c>
      <c r="E1401" s="1460">
        <v>1</v>
      </c>
      <c r="F1401" s="1461">
        <v>2</v>
      </c>
      <c r="G1401" s="1472" t="s">
        <v>5193</v>
      </c>
      <c r="H1401" s="1458">
        <v>1</v>
      </c>
      <c r="I1401" s="1458">
        <v>1</v>
      </c>
      <c r="J1401" s="1473">
        <v>2</v>
      </c>
      <c r="K1401" s="1462"/>
      <c r="L1401" s="1456">
        <v>13121011423</v>
      </c>
      <c r="M1401" s="1457">
        <v>1</v>
      </c>
      <c r="N1401" s="1457">
        <v>1</v>
      </c>
      <c r="O1401" s="1458">
        <v>2</v>
      </c>
    </row>
    <row r="1402" spans="3:15" ht="13.5">
      <c r="C1402" s="1463" t="s">
        <v>5194</v>
      </c>
      <c r="D1402" s="1460">
        <v>1</v>
      </c>
      <c r="E1402" s="1460">
        <v>1</v>
      </c>
      <c r="F1402" s="1461">
        <v>2</v>
      </c>
      <c r="G1402" s="1472" t="s">
        <v>5194</v>
      </c>
      <c r="H1402" s="1458">
        <v>1</v>
      </c>
      <c r="I1402" s="1458">
        <v>1</v>
      </c>
      <c r="J1402" s="1473">
        <v>2</v>
      </c>
      <c r="K1402" s="1462"/>
      <c r="L1402" s="1456">
        <v>13121011424</v>
      </c>
      <c r="M1402" s="1457">
        <v>1</v>
      </c>
      <c r="N1402" s="1457">
        <v>1</v>
      </c>
      <c r="O1402" s="1458">
        <v>2</v>
      </c>
    </row>
    <row r="1403" spans="3:15" ht="13.5">
      <c r="C1403" s="1463" t="s">
        <v>5195</v>
      </c>
      <c r="D1403" s="1460">
        <v>1</v>
      </c>
      <c r="E1403" s="1460">
        <v>1</v>
      </c>
      <c r="F1403" s="1461">
        <v>2</v>
      </c>
      <c r="G1403" s="1472" t="s">
        <v>5195</v>
      </c>
      <c r="H1403" s="1458">
        <v>1</v>
      </c>
      <c r="I1403" s="1458">
        <v>1</v>
      </c>
      <c r="J1403" s="1473">
        <v>2</v>
      </c>
      <c r="K1403" s="1462"/>
      <c r="L1403" s="1456">
        <v>13121011425</v>
      </c>
      <c r="M1403" s="1457">
        <v>1</v>
      </c>
      <c r="N1403" s="1457">
        <v>1</v>
      </c>
      <c r="O1403" s="1458">
        <v>2</v>
      </c>
    </row>
    <row r="1404" spans="3:15" ht="13.5">
      <c r="C1404" s="1463" t="s">
        <v>5196</v>
      </c>
      <c r="D1404" s="1460">
        <v>1</v>
      </c>
      <c r="E1404" s="1460">
        <v>1</v>
      </c>
      <c r="F1404" s="1461">
        <v>2</v>
      </c>
      <c r="G1404" s="1472" t="s">
        <v>5196</v>
      </c>
      <c r="H1404" s="1458">
        <v>1</v>
      </c>
      <c r="I1404" s="1458">
        <v>1</v>
      </c>
      <c r="J1404" s="1473">
        <v>2</v>
      </c>
      <c r="K1404" s="1462"/>
      <c r="L1404" s="1456">
        <v>13121011426</v>
      </c>
      <c r="M1404" s="1457">
        <v>1</v>
      </c>
      <c r="N1404" s="1457">
        <v>1</v>
      </c>
      <c r="O1404" s="1458">
        <v>2</v>
      </c>
    </row>
    <row r="1405" spans="3:15" ht="13.5">
      <c r="C1405" s="1463" t="s">
        <v>5197</v>
      </c>
      <c r="D1405" s="1460">
        <v>1</v>
      </c>
      <c r="E1405" s="1460">
        <v>1</v>
      </c>
      <c r="F1405" s="1461">
        <v>2</v>
      </c>
      <c r="G1405" s="1472" t="s">
        <v>5197</v>
      </c>
      <c r="H1405" s="1458">
        <v>1</v>
      </c>
      <c r="I1405" s="1458">
        <v>1</v>
      </c>
      <c r="J1405" s="1473">
        <v>2</v>
      </c>
      <c r="K1405" s="1462"/>
      <c r="L1405" s="1456">
        <v>13121011427</v>
      </c>
      <c r="M1405" s="1457">
        <v>1</v>
      </c>
      <c r="N1405" s="1457">
        <v>1</v>
      </c>
      <c r="O1405" s="1458">
        <v>2</v>
      </c>
    </row>
    <row r="1406" spans="3:15" ht="13.5">
      <c r="C1406" s="1463" t="s">
        <v>5198</v>
      </c>
      <c r="D1406" s="1460">
        <v>1</v>
      </c>
      <c r="E1406" s="1460">
        <v>1</v>
      </c>
      <c r="F1406" s="1461">
        <v>2</v>
      </c>
      <c r="G1406" s="1472" t="s">
        <v>5198</v>
      </c>
      <c r="H1406" s="1458">
        <v>1</v>
      </c>
      <c r="I1406" s="1458">
        <v>1</v>
      </c>
      <c r="J1406" s="1473">
        <v>2</v>
      </c>
      <c r="K1406" s="1462"/>
      <c r="L1406" s="1456">
        <v>13121011503</v>
      </c>
      <c r="M1406" s="1457">
        <v>1</v>
      </c>
      <c r="N1406" s="1457">
        <v>1</v>
      </c>
      <c r="O1406" s="1458">
        <v>2</v>
      </c>
    </row>
    <row r="1407" spans="3:15" ht="13.5">
      <c r="C1407" s="1463" t="s">
        <v>5199</v>
      </c>
      <c r="D1407" s="1460">
        <v>1</v>
      </c>
      <c r="E1407" s="1460">
        <v>1</v>
      </c>
      <c r="F1407" s="1461">
        <v>2</v>
      </c>
      <c r="G1407" s="1472" t="s">
        <v>5199</v>
      </c>
      <c r="H1407" s="1458">
        <v>1</v>
      </c>
      <c r="I1407" s="1458" t="s">
        <v>3911</v>
      </c>
      <c r="J1407" s="1473">
        <v>1</v>
      </c>
      <c r="K1407" s="1462"/>
      <c r="L1407" s="1456">
        <v>13121011504</v>
      </c>
      <c r="M1407" s="1457">
        <v>1</v>
      </c>
      <c r="N1407" s="1457">
        <v>1</v>
      </c>
      <c r="O1407" s="1458">
        <v>2</v>
      </c>
    </row>
    <row r="1408" spans="3:15" ht="13.5">
      <c r="C1408" s="1463" t="s">
        <v>5200</v>
      </c>
      <c r="D1408" s="1460">
        <v>1</v>
      </c>
      <c r="E1408" s="1460">
        <v>1</v>
      </c>
      <c r="F1408" s="1461">
        <v>2</v>
      </c>
      <c r="G1408" s="1472" t="s">
        <v>5200</v>
      </c>
      <c r="H1408" s="1458">
        <v>1</v>
      </c>
      <c r="I1408" s="1458">
        <v>1</v>
      </c>
      <c r="J1408" s="1473">
        <v>2</v>
      </c>
      <c r="K1408" s="1462"/>
      <c r="L1408" s="1456">
        <v>13121011505</v>
      </c>
      <c r="M1408" s="1457">
        <v>1</v>
      </c>
      <c r="N1408" s="1457">
        <v>1</v>
      </c>
      <c r="O1408" s="1458">
        <v>2</v>
      </c>
    </row>
    <row r="1409" spans="3:15" ht="13.5">
      <c r="C1409" s="1463" t="s">
        <v>5201</v>
      </c>
      <c r="D1409" s="1460">
        <v>1</v>
      </c>
      <c r="E1409" s="1460">
        <v>1</v>
      </c>
      <c r="F1409" s="1461">
        <v>2</v>
      </c>
      <c r="G1409" s="1472" t="s">
        <v>5201</v>
      </c>
      <c r="H1409" s="1458">
        <v>1</v>
      </c>
      <c r="I1409" s="1458">
        <v>1</v>
      </c>
      <c r="J1409" s="1473">
        <v>2</v>
      </c>
      <c r="K1409" s="1462"/>
      <c r="L1409" s="1456">
        <v>13121011506</v>
      </c>
      <c r="M1409" s="1457">
        <v>1</v>
      </c>
      <c r="N1409" s="1457">
        <v>1</v>
      </c>
      <c r="O1409" s="1458">
        <v>2</v>
      </c>
    </row>
    <row r="1410" spans="3:15" ht="13.5">
      <c r="C1410" s="1463" t="s">
        <v>5202</v>
      </c>
      <c r="D1410" s="1460">
        <v>1</v>
      </c>
      <c r="E1410" s="1460">
        <v>1</v>
      </c>
      <c r="F1410" s="1461">
        <v>2</v>
      </c>
      <c r="G1410" s="1472" t="s">
        <v>5202</v>
      </c>
      <c r="H1410" s="1458">
        <v>1</v>
      </c>
      <c r="I1410" s="1458">
        <v>1</v>
      </c>
      <c r="J1410" s="1473">
        <v>2</v>
      </c>
      <c r="K1410" s="1462"/>
      <c r="L1410" s="1456">
        <v>13121011610</v>
      </c>
      <c r="M1410" s="1457">
        <v>1</v>
      </c>
      <c r="N1410" s="1457">
        <v>1</v>
      </c>
      <c r="O1410" s="1458">
        <v>2</v>
      </c>
    </row>
    <row r="1411" spans="3:15" ht="13.5">
      <c r="C1411" s="1463" t="s">
        <v>5203</v>
      </c>
      <c r="D1411" s="1460">
        <v>1</v>
      </c>
      <c r="E1411" s="1460">
        <v>0</v>
      </c>
      <c r="F1411" s="1461">
        <v>1</v>
      </c>
      <c r="G1411" s="1472" t="s">
        <v>5203</v>
      </c>
      <c r="H1411" s="1458">
        <v>1</v>
      </c>
      <c r="I1411" s="1458">
        <v>1</v>
      </c>
      <c r="J1411" s="1473">
        <v>2</v>
      </c>
      <c r="K1411" s="1462"/>
      <c r="L1411" s="1456">
        <v>13121011611</v>
      </c>
      <c r="M1411" s="1457">
        <v>1</v>
      </c>
      <c r="N1411" s="1457">
        <v>1</v>
      </c>
      <c r="O1411" s="1458">
        <v>2</v>
      </c>
    </row>
    <row r="1412" spans="3:15" ht="13.5">
      <c r="C1412" s="1463" t="s">
        <v>5204</v>
      </c>
      <c r="D1412" s="1460">
        <v>1</v>
      </c>
      <c r="E1412" s="1460">
        <v>1</v>
      </c>
      <c r="F1412" s="1461">
        <v>2</v>
      </c>
      <c r="G1412" s="1472" t="s">
        <v>5204</v>
      </c>
      <c r="H1412" s="1458">
        <v>1</v>
      </c>
      <c r="I1412" s="1458" t="s">
        <v>3911</v>
      </c>
      <c r="J1412" s="1473">
        <v>1</v>
      </c>
      <c r="K1412" s="1462"/>
      <c r="L1412" s="1456">
        <v>13121011612</v>
      </c>
      <c r="M1412" s="1457">
        <v>1</v>
      </c>
      <c r="N1412" s="1457">
        <v>1</v>
      </c>
      <c r="O1412" s="1458">
        <v>2</v>
      </c>
    </row>
    <row r="1413" spans="3:15" ht="13.5">
      <c r="C1413" s="1463" t="s">
        <v>5205</v>
      </c>
      <c r="D1413" s="1460">
        <v>1</v>
      </c>
      <c r="E1413" s="1460">
        <v>1</v>
      </c>
      <c r="F1413" s="1461">
        <v>2</v>
      </c>
      <c r="G1413" s="1472" t="s">
        <v>5205</v>
      </c>
      <c r="H1413" s="1458">
        <v>1</v>
      </c>
      <c r="I1413" s="1458">
        <v>1</v>
      </c>
      <c r="J1413" s="1473">
        <v>2</v>
      </c>
      <c r="K1413" s="1462"/>
      <c r="L1413" s="1456">
        <v>13121011613</v>
      </c>
      <c r="M1413" s="1457">
        <v>1</v>
      </c>
      <c r="N1413" s="1457">
        <v>1</v>
      </c>
      <c r="O1413" s="1458">
        <v>2</v>
      </c>
    </row>
    <row r="1414" spans="3:15" ht="13.5">
      <c r="C1414" s="1463" t="s">
        <v>5206</v>
      </c>
      <c r="D1414" s="1460">
        <v>1</v>
      </c>
      <c r="E1414" s="1460">
        <v>1</v>
      </c>
      <c r="F1414" s="1461">
        <v>2</v>
      </c>
      <c r="G1414" s="1472" t="s">
        <v>5206</v>
      </c>
      <c r="H1414" s="1458">
        <v>1</v>
      </c>
      <c r="I1414" s="1458">
        <v>1</v>
      </c>
      <c r="J1414" s="1473">
        <v>2</v>
      </c>
      <c r="K1414" s="1462"/>
      <c r="L1414" s="1456">
        <v>13121011614</v>
      </c>
      <c r="M1414" s="1457">
        <v>1</v>
      </c>
      <c r="N1414" s="1457">
        <v>1</v>
      </c>
      <c r="O1414" s="1458">
        <v>2</v>
      </c>
    </row>
    <row r="1415" spans="3:15" ht="13.5">
      <c r="C1415" s="1463" t="s">
        <v>5207</v>
      </c>
      <c r="D1415" s="1460">
        <v>1</v>
      </c>
      <c r="E1415" s="1460">
        <v>1</v>
      </c>
      <c r="F1415" s="1461">
        <v>2</v>
      </c>
      <c r="G1415" s="1472" t="s">
        <v>5207</v>
      </c>
      <c r="H1415" s="1458">
        <v>1</v>
      </c>
      <c r="I1415" s="1458">
        <v>1</v>
      </c>
      <c r="J1415" s="1473">
        <v>2</v>
      </c>
      <c r="K1415" s="1462"/>
      <c r="L1415" s="1456">
        <v>13121011615</v>
      </c>
      <c r="M1415" s="1457">
        <v>1</v>
      </c>
      <c r="N1415" s="1457">
        <v>1</v>
      </c>
      <c r="O1415" s="1458">
        <v>2</v>
      </c>
    </row>
    <row r="1416" spans="3:15" ht="13.5">
      <c r="C1416" s="1463" t="s">
        <v>5208</v>
      </c>
      <c r="D1416" s="1460">
        <v>1</v>
      </c>
      <c r="E1416" s="1460">
        <v>1</v>
      </c>
      <c r="F1416" s="1461">
        <v>2</v>
      </c>
      <c r="G1416" s="1472" t="s">
        <v>5208</v>
      </c>
      <c r="H1416" s="1458">
        <v>1</v>
      </c>
      <c r="I1416" s="1458">
        <v>1</v>
      </c>
      <c r="J1416" s="1473">
        <v>2</v>
      </c>
      <c r="K1416" s="1462"/>
      <c r="L1416" s="1456">
        <v>13121011616</v>
      </c>
      <c r="M1416" s="1457">
        <v>1</v>
      </c>
      <c r="N1416" s="1457">
        <v>1</v>
      </c>
      <c r="O1416" s="1458">
        <v>2</v>
      </c>
    </row>
    <row r="1417" spans="3:15" ht="13.5">
      <c r="C1417" s="1463" t="s">
        <v>5209</v>
      </c>
      <c r="D1417" s="1460">
        <v>1</v>
      </c>
      <c r="E1417" s="1460">
        <v>1</v>
      </c>
      <c r="F1417" s="1461">
        <v>2</v>
      </c>
      <c r="G1417" s="1472" t="s">
        <v>5209</v>
      </c>
      <c r="H1417" s="1458">
        <v>1</v>
      </c>
      <c r="I1417" s="1458">
        <v>1</v>
      </c>
      <c r="J1417" s="1473">
        <v>2</v>
      </c>
      <c r="K1417" s="1462"/>
      <c r="L1417" s="1456">
        <v>13121011617</v>
      </c>
      <c r="M1417" s="1457">
        <v>1</v>
      </c>
      <c r="N1417" s="1457">
        <v>1</v>
      </c>
      <c r="O1417" s="1458">
        <v>2</v>
      </c>
    </row>
    <row r="1418" spans="3:15" ht="13.5">
      <c r="C1418" s="1463" t="s">
        <v>5210</v>
      </c>
      <c r="D1418" s="1460">
        <v>1</v>
      </c>
      <c r="E1418" s="1460">
        <v>1</v>
      </c>
      <c r="F1418" s="1461">
        <v>2</v>
      </c>
      <c r="G1418" s="1472" t="s">
        <v>5210</v>
      </c>
      <c r="H1418" s="1458">
        <v>1</v>
      </c>
      <c r="I1418" s="1458">
        <v>1</v>
      </c>
      <c r="J1418" s="1473">
        <v>2</v>
      </c>
      <c r="K1418" s="1462"/>
      <c r="L1418" s="1456">
        <v>13121011618</v>
      </c>
      <c r="M1418" s="1457">
        <v>1</v>
      </c>
      <c r="N1418" s="1457">
        <v>1</v>
      </c>
      <c r="O1418" s="1458">
        <v>2</v>
      </c>
    </row>
    <row r="1419" spans="3:15" ht="13.5">
      <c r="C1419" s="1463" t="s">
        <v>5211</v>
      </c>
      <c r="D1419" s="1460">
        <v>1</v>
      </c>
      <c r="E1419" s="1460">
        <v>1</v>
      </c>
      <c r="F1419" s="1461">
        <v>2</v>
      </c>
      <c r="G1419" s="1472" t="s">
        <v>5211</v>
      </c>
      <c r="H1419" s="1458">
        <v>1</v>
      </c>
      <c r="I1419" s="1458">
        <v>1</v>
      </c>
      <c r="J1419" s="1473">
        <v>2</v>
      </c>
      <c r="K1419" s="1462"/>
      <c r="L1419" s="1456">
        <v>13121011619</v>
      </c>
      <c r="M1419" s="1457">
        <v>1</v>
      </c>
      <c r="N1419" s="1457">
        <v>1</v>
      </c>
      <c r="O1419" s="1458">
        <v>2</v>
      </c>
    </row>
    <row r="1420" spans="3:15" ht="13.5">
      <c r="C1420" s="1463" t="s">
        <v>5212</v>
      </c>
      <c r="D1420" s="1460">
        <v>1</v>
      </c>
      <c r="E1420" s="1460">
        <v>1</v>
      </c>
      <c r="F1420" s="1461">
        <v>2</v>
      </c>
      <c r="G1420" s="1472" t="s">
        <v>5212</v>
      </c>
      <c r="H1420" s="1458">
        <v>1</v>
      </c>
      <c r="I1420" s="1458">
        <v>1</v>
      </c>
      <c r="J1420" s="1473">
        <v>2</v>
      </c>
      <c r="K1420" s="1462"/>
      <c r="L1420" s="1456">
        <v>13121011620</v>
      </c>
      <c r="M1420" s="1457">
        <v>1</v>
      </c>
      <c r="N1420" s="1457">
        <v>1</v>
      </c>
      <c r="O1420" s="1458">
        <v>2</v>
      </c>
    </row>
    <row r="1421" spans="3:15" ht="13.5">
      <c r="C1421" s="1463" t="s">
        <v>5213</v>
      </c>
      <c r="D1421" s="1460">
        <v>1</v>
      </c>
      <c r="E1421" s="1460">
        <v>1</v>
      </c>
      <c r="F1421" s="1461">
        <v>2</v>
      </c>
      <c r="G1421" s="1472" t="s">
        <v>5213</v>
      </c>
      <c r="H1421" s="1458">
        <v>1</v>
      </c>
      <c r="I1421" s="1458">
        <v>1</v>
      </c>
      <c r="J1421" s="1473">
        <v>2</v>
      </c>
      <c r="K1421" s="1462"/>
      <c r="L1421" s="1456">
        <v>13121011621</v>
      </c>
      <c r="M1421" s="1457">
        <v>1</v>
      </c>
      <c r="N1421" s="1457">
        <v>1</v>
      </c>
      <c r="O1421" s="1458">
        <v>2</v>
      </c>
    </row>
    <row r="1422" spans="3:15" ht="13.5">
      <c r="C1422" s="1463" t="s">
        <v>5214</v>
      </c>
      <c r="D1422" s="1460">
        <v>1</v>
      </c>
      <c r="E1422" s="1460">
        <v>1</v>
      </c>
      <c r="F1422" s="1461">
        <v>2</v>
      </c>
      <c r="G1422" s="1472" t="s">
        <v>5214</v>
      </c>
      <c r="H1422" s="1458">
        <v>1</v>
      </c>
      <c r="I1422" s="1458">
        <v>1</v>
      </c>
      <c r="J1422" s="1473">
        <v>2</v>
      </c>
      <c r="K1422" s="1462"/>
      <c r="L1422" s="1456">
        <v>13121011622</v>
      </c>
      <c r="M1422" s="1457">
        <v>1</v>
      </c>
      <c r="N1422" s="1457">
        <v>1</v>
      </c>
      <c r="O1422" s="1458">
        <v>2</v>
      </c>
    </row>
    <row r="1423" spans="3:15" ht="13.5">
      <c r="C1423" s="1463" t="s">
        <v>5215</v>
      </c>
      <c r="D1423" s="1460">
        <v>1</v>
      </c>
      <c r="E1423" s="1460">
        <v>1</v>
      </c>
      <c r="F1423" s="1461">
        <v>2</v>
      </c>
      <c r="G1423" s="1472" t="s">
        <v>5215</v>
      </c>
      <c r="H1423" s="1458">
        <v>1</v>
      </c>
      <c r="I1423" s="1458">
        <v>1</v>
      </c>
      <c r="J1423" s="1473">
        <v>2</v>
      </c>
      <c r="K1423" s="1462"/>
      <c r="L1423" s="1456">
        <v>13121011623</v>
      </c>
      <c r="M1423" s="1457">
        <v>1</v>
      </c>
      <c r="N1423" s="1457">
        <v>1</v>
      </c>
      <c r="O1423" s="1458">
        <v>2</v>
      </c>
    </row>
    <row r="1424" spans="3:15" ht="13.5">
      <c r="C1424" s="1463" t="s">
        <v>5216</v>
      </c>
      <c r="D1424" s="1460">
        <v>1</v>
      </c>
      <c r="E1424" s="1460">
        <v>1</v>
      </c>
      <c r="F1424" s="1461">
        <v>2</v>
      </c>
      <c r="G1424" s="1472" t="s">
        <v>5216</v>
      </c>
      <c r="H1424" s="1458">
        <v>1</v>
      </c>
      <c r="I1424" s="1458" t="s">
        <v>3911</v>
      </c>
      <c r="J1424" s="1473">
        <v>1</v>
      </c>
      <c r="K1424" s="1462"/>
      <c r="L1424" s="1456">
        <v>13121011624</v>
      </c>
      <c r="M1424" s="1457">
        <v>1</v>
      </c>
      <c r="N1424" s="1457">
        <v>1</v>
      </c>
      <c r="O1424" s="1458">
        <v>2</v>
      </c>
    </row>
    <row r="1425" spans="3:15" ht="13.5">
      <c r="C1425" s="1463" t="s">
        <v>5217</v>
      </c>
      <c r="D1425" s="1460">
        <v>1</v>
      </c>
      <c r="E1425" s="1460">
        <v>1</v>
      </c>
      <c r="F1425" s="1461">
        <v>2</v>
      </c>
      <c r="G1425" s="1472" t="s">
        <v>5217</v>
      </c>
      <c r="H1425" s="1458">
        <v>1</v>
      </c>
      <c r="I1425" s="1458">
        <v>1</v>
      </c>
      <c r="J1425" s="1473">
        <v>2</v>
      </c>
      <c r="K1425" s="1462"/>
      <c r="L1425" s="1456">
        <v>13121011625</v>
      </c>
      <c r="M1425" s="1457">
        <v>1</v>
      </c>
      <c r="N1425" s="1457">
        <v>1</v>
      </c>
      <c r="O1425" s="1458">
        <v>2</v>
      </c>
    </row>
    <row r="1426" spans="3:15" ht="13.5">
      <c r="C1426" s="1463" t="s">
        <v>5218</v>
      </c>
      <c r="D1426" s="1460">
        <v>1</v>
      </c>
      <c r="E1426" s="1460">
        <v>1</v>
      </c>
      <c r="F1426" s="1461">
        <v>2</v>
      </c>
      <c r="G1426" s="1472" t="s">
        <v>5218</v>
      </c>
      <c r="H1426" s="1458">
        <v>1</v>
      </c>
      <c r="I1426" s="1458">
        <v>1</v>
      </c>
      <c r="J1426" s="1473">
        <v>2</v>
      </c>
      <c r="K1426" s="1462"/>
      <c r="L1426" s="1456">
        <v>13121011626</v>
      </c>
      <c r="M1426" s="1457">
        <v>1</v>
      </c>
      <c r="N1426" s="1457">
        <v>1</v>
      </c>
      <c r="O1426" s="1458">
        <v>2</v>
      </c>
    </row>
    <row r="1427" spans="3:15" ht="13.5">
      <c r="C1427" s="1463" t="s">
        <v>5219</v>
      </c>
      <c r="D1427" s="1460">
        <v>0</v>
      </c>
      <c r="E1427" s="1460">
        <v>0</v>
      </c>
      <c r="F1427" s="1461">
        <v>0</v>
      </c>
      <c r="G1427" s="1472" t="s">
        <v>5219</v>
      </c>
      <c r="H1427" s="1458">
        <v>0</v>
      </c>
      <c r="I1427" s="1458">
        <v>0</v>
      </c>
      <c r="J1427" s="1473">
        <v>0</v>
      </c>
      <c r="K1427" s="1462"/>
      <c r="L1427" s="1456">
        <v>13121011800</v>
      </c>
      <c r="M1427" s="1457">
        <v>0</v>
      </c>
      <c r="N1427" s="1457">
        <v>0</v>
      </c>
      <c r="O1427" s="1458">
        <v>0</v>
      </c>
    </row>
    <row r="1428" spans="3:15" ht="13.5">
      <c r="C1428" s="1463" t="s">
        <v>5220</v>
      </c>
      <c r="D1428" s="1460">
        <v>0</v>
      </c>
      <c r="E1428" s="1460">
        <v>0</v>
      </c>
      <c r="F1428" s="1461">
        <v>0</v>
      </c>
      <c r="G1428" s="1472" t="s">
        <v>5220</v>
      </c>
      <c r="H1428" s="1458">
        <v>0</v>
      </c>
      <c r="I1428" s="1458" t="s">
        <v>3911</v>
      </c>
      <c r="J1428" s="1473">
        <v>0</v>
      </c>
      <c r="K1428" s="1462"/>
      <c r="L1428" s="1456">
        <v>13121011900</v>
      </c>
      <c r="M1428" s="1457">
        <v>0</v>
      </c>
      <c r="N1428" s="1457">
        <v>0</v>
      </c>
      <c r="O1428" s="1458">
        <v>0</v>
      </c>
    </row>
    <row r="1429" spans="3:15" ht="13.5">
      <c r="C1429" s="1463" t="s">
        <v>5221</v>
      </c>
      <c r="D1429" s="1460">
        <v>0</v>
      </c>
      <c r="E1429" s="1460">
        <v>0</v>
      </c>
      <c r="F1429" s="1461">
        <v>0</v>
      </c>
      <c r="G1429" s="1472" t="s">
        <v>5221</v>
      </c>
      <c r="H1429" s="1458">
        <v>0</v>
      </c>
      <c r="I1429" s="1458">
        <v>0</v>
      </c>
      <c r="J1429" s="1473">
        <v>0</v>
      </c>
      <c r="K1429" s="1462"/>
      <c r="L1429" s="1456">
        <v>13121012000</v>
      </c>
      <c r="M1429" s="1457">
        <v>0</v>
      </c>
      <c r="N1429" s="1457">
        <v>0</v>
      </c>
      <c r="O1429" s="1458">
        <v>0</v>
      </c>
    </row>
    <row r="1430" spans="3:15" ht="13.5">
      <c r="C1430" s="1463" t="s">
        <v>5222</v>
      </c>
      <c r="D1430" s="1460">
        <v>1</v>
      </c>
      <c r="E1430" s="1460">
        <v>0</v>
      </c>
      <c r="F1430" s="1461">
        <v>1</v>
      </c>
      <c r="G1430" s="1472" t="s">
        <v>5222</v>
      </c>
      <c r="H1430" s="1458">
        <v>1</v>
      </c>
      <c r="I1430" s="1458">
        <v>0</v>
      </c>
      <c r="J1430" s="1473">
        <v>1</v>
      </c>
      <c r="K1430" s="1462"/>
      <c r="L1430" s="1456">
        <v>13121012300</v>
      </c>
      <c r="M1430" s="1457">
        <v>1</v>
      </c>
      <c r="N1430" s="1457">
        <v>0</v>
      </c>
      <c r="O1430" s="1458">
        <v>1</v>
      </c>
    </row>
    <row r="1431" spans="3:15" ht="13.5">
      <c r="C1431" s="1463" t="s">
        <v>5223</v>
      </c>
      <c r="D1431" s="1460" t="s">
        <v>3911</v>
      </c>
      <c r="E1431" s="1460" t="s">
        <v>3911</v>
      </c>
      <c r="F1431" s="1461">
        <v>0</v>
      </c>
      <c r="G1431" s="1472" t="s">
        <v>5223</v>
      </c>
      <c r="H1431" s="1458" t="s">
        <v>3911</v>
      </c>
      <c r="I1431" s="1458" t="s">
        <v>3911</v>
      </c>
      <c r="J1431" s="1473">
        <v>0</v>
      </c>
      <c r="K1431" s="1462"/>
      <c r="L1431" s="1456">
        <v>13121980000</v>
      </c>
      <c r="M1431" s="1457">
        <v>0</v>
      </c>
      <c r="N1431" s="1457">
        <v>0</v>
      </c>
      <c r="O1431" s="1458">
        <v>0</v>
      </c>
    </row>
    <row r="1432" spans="3:15" ht="13.5">
      <c r="C1432" s="1463" t="s">
        <v>5224</v>
      </c>
      <c r="D1432" s="1460">
        <v>0</v>
      </c>
      <c r="E1432" s="1460">
        <v>0</v>
      </c>
      <c r="F1432" s="1461">
        <v>0</v>
      </c>
      <c r="G1432" s="1472" t="s">
        <v>5224</v>
      </c>
      <c r="H1432" s="1458">
        <v>0</v>
      </c>
      <c r="I1432" s="1458">
        <v>1</v>
      </c>
      <c r="J1432" s="1473">
        <v>1</v>
      </c>
      <c r="K1432" s="1462"/>
      <c r="L1432" s="1456">
        <v>13123080100</v>
      </c>
      <c r="M1432" s="1457">
        <v>0</v>
      </c>
      <c r="N1432" s="1457">
        <v>1</v>
      </c>
      <c r="O1432" s="1458">
        <v>1</v>
      </c>
    </row>
    <row r="1433" spans="3:15" ht="13.5">
      <c r="C1433" s="1463" t="s">
        <v>5225</v>
      </c>
      <c r="D1433" s="1460">
        <v>0</v>
      </c>
      <c r="E1433" s="1460">
        <v>0</v>
      </c>
      <c r="F1433" s="1461">
        <v>0</v>
      </c>
      <c r="G1433" s="1472" t="s">
        <v>5225</v>
      </c>
      <c r="H1433" s="1458">
        <v>0</v>
      </c>
      <c r="I1433" s="1458">
        <v>0</v>
      </c>
      <c r="J1433" s="1473">
        <v>0</v>
      </c>
      <c r="K1433" s="1462"/>
      <c r="L1433" s="1456">
        <v>13123080200</v>
      </c>
      <c r="M1433" s="1457">
        <v>0</v>
      </c>
      <c r="N1433" s="1457">
        <v>0</v>
      </c>
      <c r="O1433" s="1458">
        <v>0</v>
      </c>
    </row>
    <row r="1434" spans="3:15" ht="13.5">
      <c r="C1434" s="1463" t="s">
        <v>5226</v>
      </c>
      <c r="D1434" s="1460">
        <v>0</v>
      </c>
      <c r="E1434" s="1460">
        <v>0</v>
      </c>
      <c r="F1434" s="1461">
        <v>0</v>
      </c>
      <c r="G1434" s="1472" t="s">
        <v>5226</v>
      </c>
      <c r="H1434" s="1458">
        <v>0</v>
      </c>
      <c r="I1434" s="1458">
        <v>0</v>
      </c>
      <c r="J1434" s="1473">
        <v>0</v>
      </c>
      <c r="K1434" s="1462"/>
      <c r="L1434" s="1456">
        <v>13123080300</v>
      </c>
      <c r="M1434" s="1457">
        <v>0</v>
      </c>
      <c r="N1434" s="1457">
        <v>0</v>
      </c>
      <c r="O1434" s="1458">
        <v>0</v>
      </c>
    </row>
    <row r="1435" spans="3:15" ht="13.5">
      <c r="C1435" s="1463" t="s">
        <v>5227</v>
      </c>
      <c r="D1435" s="1460">
        <v>0</v>
      </c>
      <c r="E1435" s="1460">
        <v>0</v>
      </c>
      <c r="F1435" s="1461">
        <v>0</v>
      </c>
      <c r="G1435" s="1472" t="s">
        <v>5227</v>
      </c>
      <c r="H1435" s="1458">
        <v>0</v>
      </c>
      <c r="I1435" s="1458">
        <v>0</v>
      </c>
      <c r="J1435" s="1473">
        <v>0</v>
      </c>
      <c r="K1435" s="1462"/>
      <c r="L1435" s="1456">
        <v>13123080400</v>
      </c>
      <c r="M1435" s="1457">
        <v>0</v>
      </c>
      <c r="N1435" s="1457">
        <v>0</v>
      </c>
      <c r="O1435" s="1458">
        <v>0</v>
      </c>
    </row>
    <row r="1436" spans="3:15" ht="13.5">
      <c r="C1436" s="1463" t="s">
        <v>5228</v>
      </c>
      <c r="D1436" s="1460">
        <v>0</v>
      </c>
      <c r="E1436" s="1460">
        <v>0</v>
      </c>
      <c r="F1436" s="1461">
        <v>0</v>
      </c>
      <c r="G1436" s="1472" t="s">
        <v>5228</v>
      </c>
      <c r="H1436" s="1458">
        <v>0</v>
      </c>
      <c r="I1436" s="1458">
        <v>1</v>
      </c>
      <c r="J1436" s="1473">
        <v>1</v>
      </c>
      <c r="K1436" s="1462"/>
      <c r="L1436" s="1456">
        <v>13123080500</v>
      </c>
      <c r="M1436" s="1457">
        <v>0</v>
      </c>
      <c r="N1436" s="1457">
        <v>1</v>
      </c>
      <c r="O1436" s="1458">
        <v>1</v>
      </c>
    </row>
    <row r="1437" spans="3:15" ht="13.5">
      <c r="C1437" s="1463" t="s">
        <v>5229</v>
      </c>
      <c r="D1437" s="1460">
        <v>0</v>
      </c>
      <c r="E1437" s="1460">
        <v>0</v>
      </c>
      <c r="F1437" s="1461">
        <v>0</v>
      </c>
      <c r="G1437" s="1472" t="s">
        <v>5229</v>
      </c>
      <c r="H1437" s="1458">
        <v>0</v>
      </c>
      <c r="I1437" s="1458">
        <v>1</v>
      </c>
      <c r="J1437" s="1473">
        <v>1</v>
      </c>
      <c r="K1437" s="1462"/>
      <c r="L1437" s="1456">
        <v>13125010100</v>
      </c>
      <c r="M1437" s="1457">
        <v>0</v>
      </c>
      <c r="N1437" s="1457">
        <v>1</v>
      </c>
      <c r="O1437" s="1458">
        <v>1</v>
      </c>
    </row>
    <row r="1438" spans="3:15" ht="13.5">
      <c r="C1438" s="1463" t="s">
        <v>5230</v>
      </c>
      <c r="D1438" s="1460">
        <v>1</v>
      </c>
      <c r="E1438" s="1460">
        <v>1</v>
      </c>
      <c r="F1438" s="1461">
        <v>2</v>
      </c>
      <c r="G1438" s="1472" t="s">
        <v>5230</v>
      </c>
      <c r="H1438" s="1458">
        <v>1</v>
      </c>
      <c r="I1438" s="1458">
        <v>1</v>
      </c>
      <c r="J1438" s="1473">
        <v>2</v>
      </c>
      <c r="K1438" s="1462"/>
      <c r="L1438" s="1456">
        <v>13127000101</v>
      </c>
      <c r="M1438" s="1457">
        <v>1</v>
      </c>
      <c r="N1438" s="1457">
        <v>1</v>
      </c>
      <c r="O1438" s="1458">
        <v>2</v>
      </c>
    </row>
    <row r="1439" spans="3:15" ht="13.5">
      <c r="C1439" s="1463" t="s">
        <v>5231</v>
      </c>
      <c r="D1439" s="1460">
        <v>1</v>
      </c>
      <c r="E1439" s="1460">
        <v>1</v>
      </c>
      <c r="F1439" s="1461">
        <v>2</v>
      </c>
      <c r="G1439" s="1472" t="s">
        <v>5231</v>
      </c>
      <c r="H1439" s="1458">
        <v>1</v>
      </c>
      <c r="I1439" s="1458">
        <v>1</v>
      </c>
      <c r="J1439" s="1473">
        <v>2</v>
      </c>
      <c r="K1439" s="1462"/>
      <c r="L1439" s="1456">
        <v>13127000102</v>
      </c>
      <c r="M1439" s="1457">
        <v>1</v>
      </c>
      <c r="N1439" s="1457">
        <v>1</v>
      </c>
      <c r="O1439" s="1458">
        <v>2</v>
      </c>
    </row>
    <row r="1440" spans="3:15" ht="13.5">
      <c r="C1440" s="1463" t="s">
        <v>5232</v>
      </c>
      <c r="D1440" s="1460">
        <v>1</v>
      </c>
      <c r="E1440" s="1460">
        <v>1</v>
      </c>
      <c r="F1440" s="1461">
        <v>2</v>
      </c>
      <c r="G1440" s="1472" t="s">
        <v>5232</v>
      </c>
      <c r="H1440" s="1458">
        <v>1</v>
      </c>
      <c r="I1440" s="1458">
        <v>1</v>
      </c>
      <c r="J1440" s="1473">
        <v>2</v>
      </c>
      <c r="K1440" s="1462"/>
      <c r="L1440" s="1456">
        <v>13127000200</v>
      </c>
      <c r="M1440" s="1457">
        <v>1</v>
      </c>
      <c r="N1440" s="1457">
        <v>1</v>
      </c>
      <c r="O1440" s="1458">
        <v>2</v>
      </c>
    </row>
    <row r="1441" spans="3:15" ht="13.5">
      <c r="C1441" s="1463" t="s">
        <v>5233</v>
      </c>
      <c r="D1441" s="1460">
        <v>1</v>
      </c>
      <c r="E1441" s="1460">
        <v>1</v>
      </c>
      <c r="F1441" s="1461">
        <v>2</v>
      </c>
      <c r="G1441" s="1472" t="s">
        <v>5233</v>
      </c>
      <c r="H1441" s="1458">
        <v>1</v>
      </c>
      <c r="I1441" s="1458">
        <v>1</v>
      </c>
      <c r="J1441" s="1473">
        <v>2</v>
      </c>
      <c r="K1441" s="1462"/>
      <c r="L1441" s="1456">
        <v>13127000300</v>
      </c>
      <c r="M1441" s="1457">
        <v>1</v>
      </c>
      <c r="N1441" s="1457">
        <v>1</v>
      </c>
      <c r="O1441" s="1458">
        <v>2</v>
      </c>
    </row>
    <row r="1442" spans="3:15" ht="13.5">
      <c r="C1442" s="1463" t="s">
        <v>5234</v>
      </c>
      <c r="D1442" s="1460">
        <v>1</v>
      </c>
      <c r="E1442" s="1460">
        <v>0</v>
      </c>
      <c r="F1442" s="1461">
        <v>1</v>
      </c>
      <c r="G1442" s="1472" t="s">
        <v>5234</v>
      </c>
      <c r="H1442" s="1458">
        <v>0</v>
      </c>
      <c r="I1442" s="1458">
        <v>0</v>
      </c>
      <c r="J1442" s="1473">
        <v>0</v>
      </c>
      <c r="K1442" s="1462"/>
      <c r="L1442" s="1456">
        <v>13127000401</v>
      </c>
      <c r="M1442" s="1457">
        <v>1</v>
      </c>
      <c r="N1442" s="1457">
        <v>0</v>
      </c>
      <c r="O1442" s="1458">
        <v>1</v>
      </c>
    </row>
    <row r="1443" spans="3:15" ht="13.5">
      <c r="C1443" s="1463" t="s">
        <v>5235</v>
      </c>
      <c r="D1443" s="1460">
        <v>0</v>
      </c>
      <c r="E1443" s="1460">
        <v>1</v>
      </c>
      <c r="F1443" s="1461">
        <v>1</v>
      </c>
      <c r="G1443" s="1472" t="s">
        <v>5235</v>
      </c>
      <c r="H1443" s="1458">
        <v>0</v>
      </c>
      <c r="I1443" s="1458">
        <v>1</v>
      </c>
      <c r="J1443" s="1473">
        <v>1</v>
      </c>
      <c r="K1443" s="1462"/>
      <c r="L1443" s="1456">
        <v>13127000403</v>
      </c>
      <c r="M1443" s="1457">
        <v>0</v>
      </c>
      <c r="N1443" s="1457">
        <v>1</v>
      </c>
      <c r="O1443" s="1458">
        <v>1</v>
      </c>
    </row>
    <row r="1444" spans="3:15" ht="13.5">
      <c r="C1444" s="1463" t="s">
        <v>5236</v>
      </c>
      <c r="D1444" s="1460">
        <v>0</v>
      </c>
      <c r="E1444" s="1460">
        <v>1</v>
      </c>
      <c r="F1444" s="1461">
        <v>1</v>
      </c>
      <c r="G1444" s="1472" t="s">
        <v>5236</v>
      </c>
      <c r="H1444" s="1458">
        <v>0</v>
      </c>
      <c r="I1444" s="1458">
        <v>1</v>
      </c>
      <c r="J1444" s="1473">
        <v>1</v>
      </c>
      <c r="K1444" s="1462"/>
      <c r="L1444" s="1456">
        <v>13127000404</v>
      </c>
      <c r="M1444" s="1457">
        <v>0</v>
      </c>
      <c r="N1444" s="1457">
        <v>1</v>
      </c>
      <c r="O1444" s="1458">
        <v>1</v>
      </c>
    </row>
    <row r="1445" spans="3:15" ht="13.5">
      <c r="C1445" s="1463" t="s">
        <v>5237</v>
      </c>
      <c r="D1445" s="1460">
        <v>0</v>
      </c>
      <c r="E1445" s="1460">
        <v>0</v>
      </c>
      <c r="F1445" s="1461">
        <v>0</v>
      </c>
      <c r="G1445" s="1472" t="s">
        <v>5237</v>
      </c>
      <c r="H1445" s="1458">
        <v>0</v>
      </c>
      <c r="I1445" s="1458">
        <v>0</v>
      </c>
      <c r="J1445" s="1473">
        <v>0</v>
      </c>
      <c r="K1445" s="1462"/>
      <c r="L1445" s="1456">
        <v>13127000501</v>
      </c>
      <c r="M1445" s="1457">
        <v>0</v>
      </c>
      <c r="N1445" s="1457">
        <v>0</v>
      </c>
      <c r="O1445" s="1458">
        <v>0</v>
      </c>
    </row>
    <row r="1446" spans="3:15" ht="13.5">
      <c r="C1446" s="1463" t="s">
        <v>5238</v>
      </c>
      <c r="D1446" s="1460">
        <v>0</v>
      </c>
      <c r="E1446" s="1460">
        <v>0</v>
      </c>
      <c r="F1446" s="1461">
        <v>0</v>
      </c>
      <c r="G1446" s="1472" t="s">
        <v>5238</v>
      </c>
      <c r="H1446" s="1458">
        <v>0</v>
      </c>
      <c r="I1446" s="1458">
        <v>0</v>
      </c>
      <c r="J1446" s="1473">
        <v>0</v>
      </c>
      <c r="K1446" s="1462"/>
      <c r="L1446" s="1456">
        <v>13127000503</v>
      </c>
      <c r="M1446" s="1457">
        <v>0</v>
      </c>
      <c r="N1446" s="1457">
        <v>0</v>
      </c>
      <c r="O1446" s="1458">
        <v>0</v>
      </c>
    </row>
    <row r="1447" spans="3:15" ht="13.5">
      <c r="C1447" s="1463" t="s">
        <v>5239</v>
      </c>
      <c r="D1447" s="1460">
        <v>0</v>
      </c>
      <c r="E1447" s="1460">
        <v>0</v>
      </c>
      <c r="F1447" s="1461">
        <v>0</v>
      </c>
      <c r="G1447" s="1472" t="s">
        <v>5239</v>
      </c>
      <c r="H1447" s="1458">
        <v>0</v>
      </c>
      <c r="I1447" s="1458">
        <v>0</v>
      </c>
      <c r="J1447" s="1473">
        <v>0</v>
      </c>
      <c r="K1447" s="1462"/>
      <c r="L1447" s="1456">
        <v>13127000504</v>
      </c>
      <c r="M1447" s="1457">
        <v>0</v>
      </c>
      <c r="N1447" s="1457">
        <v>0</v>
      </c>
      <c r="O1447" s="1458">
        <v>0</v>
      </c>
    </row>
    <row r="1448" spans="3:15" ht="13.5">
      <c r="C1448" s="1463" t="s">
        <v>5240</v>
      </c>
      <c r="D1448" s="1460">
        <v>0</v>
      </c>
      <c r="E1448" s="1460">
        <v>0</v>
      </c>
      <c r="F1448" s="1461">
        <v>0</v>
      </c>
      <c r="G1448" s="1472" t="s">
        <v>5240</v>
      </c>
      <c r="H1448" s="1458">
        <v>0</v>
      </c>
      <c r="I1448" s="1458">
        <v>0</v>
      </c>
      <c r="J1448" s="1473">
        <v>0</v>
      </c>
      <c r="K1448" s="1462"/>
      <c r="L1448" s="1456">
        <v>13127000600</v>
      </c>
      <c r="M1448" s="1457">
        <v>0</v>
      </c>
      <c r="N1448" s="1457">
        <v>0</v>
      </c>
      <c r="O1448" s="1458">
        <v>0</v>
      </c>
    </row>
    <row r="1449" spans="3:15" ht="13.5">
      <c r="C1449" s="1463" t="s">
        <v>5241</v>
      </c>
      <c r="D1449" s="1460">
        <v>0</v>
      </c>
      <c r="E1449" s="1460">
        <v>0</v>
      </c>
      <c r="F1449" s="1461">
        <v>0</v>
      </c>
      <c r="G1449" s="1472" t="s">
        <v>5241</v>
      </c>
      <c r="H1449" s="1458">
        <v>0</v>
      </c>
      <c r="I1449" s="1458">
        <v>0</v>
      </c>
      <c r="J1449" s="1473">
        <v>0</v>
      </c>
      <c r="K1449" s="1462"/>
      <c r="L1449" s="1456">
        <v>13127000700</v>
      </c>
      <c r="M1449" s="1457">
        <v>0</v>
      </c>
      <c r="N1449" s="1457">
        <v>0</v>
      </c>
      <c r="O1449" s="1458">
        <v>0</v>
      </c>
    </row>
    <row r="1450" spans="3:15" ht="13.5">
      <c r="C1450" s="1463" t="s">
        <v>5242</v>
      </c>
      <c r="D1450" s="1460">
        <v>0</v>
      </c>
      <c r="E1450" s="1460">
        <v>0</v>
      </c>
      <c r="F1450" s="1461">
        <v>0</v>
      </c>
      <c r="G1450" s="1472" t="s">
        <v>5242</v>
      </c>
      <c r="H1450" s="1458">
        <v>0</v>
      </c>
      <c r="I1450" s="1458">
        <v>0</v>
      </c>
      <c r="J1450" s="1473">
        <v>0</v>
      </c>
      <c r="K1450" s="1462"/>
      <c r="L1450" s="1456">
        <v>13127000800</v>
      </c>
      <c r="M1450" s="1457">
        <v>0</v>
      </c>
      <c r="N1450" s="1457">
        <v>0</v>
      </c>
      <c r="O1450" s="1458">
        <v>0</v>
      </c>
    </row>
    <row r="1451" spans="3:15" ht="13.5">
      <c r="C1451" s="1463" t="s">
        <v>5243</v>
      </c>
      <c r="D1451" s="1460">
        <v>0</v>
      </c>
      <c r="E1451" s="1460">
        <v>0</v>
      </c>
      <c r="F1451" s="1461">
        <v>0</v>
      </c>
      <c r="G1451" s="1472" t="s">
        <v>5243</v>
      </c>
      <c r="H1451" s="1458">
        <v>0</v>
      </c>
      <c r="I1451" s="1458">
        <v>0</v>
      </c>
      <c r="J1451" s="1473">
        <v>0</v>
      </c>
      <c r="K1451" s="1462"/>
      <c r="L1451" s="1456">
        <v>13127000900</v>
      </c>
      <c r="M1451" s="1457">
        <v>0</v>
      </c>
      <c r="N1451" s="1457">
        <v>0</v>
      </c>
      <c r="O1451" s="1458">
        <v>0</v>
      </c>
    </row>
    <row r="1452" spans="3:15" ht="13.5">
      <c r="C1452" s="1463" t="s">
        <v>5244</v>
      </c>
      <c r="D1452" s="1460">
        <v>1</v>
      </c>
      <c r="E1452" s="1460">
        <v>1</v>
      </c>
      <c r="F1452" s="1461">
        <v>2</v>
      </c>
      <c r="G1452" s="1472" t="s">
        <v>5244</v>
      </c>
      <c r="H1452" s="1458">
        <v>1</v>
      </c>
      <c r="I1452" s="1458">
        <v>0</v>
      </c>
      <c r="J1452" s="1473">
        <v>1</v>
      </c>
      <c r="K1452" s="1462"/>
      <c r="L1452" s="1456">
        <v>13127001000</v>
      </c>
      <c r="M1452" s="1457">
        <v>1</v>
      </c>
      <c r="N1452" s="1457">
        <v>1</v>
      </c>
      <c r="O1452" s="1458">
        <v>2</v>
      </c>
    </row>
    <row r="1453" spans="3:15" ht="13.5">
      <c r="C1453" s="1463" t="s">
        <v>5245</v>
      </c>
      <c r="D1453" s="1460" t="s">
        <v>3911</v>
      </c>
      <c r="E1453" s="1460" t="s">
        <v>3911</v>
      </c>
      <c r="F1453" s="1461">
        <v>0</v>
      </c>
      <c r="G1453" s="1472" t="s">
        <v>5245</v>
      </c>
      <c r="H1453" s="1458" t="s">
        <v>3911</v>
      </c>
      <c r="I1453" s="1458" t="s">
        <v>3911</v>
      </c>
      <c r="J1453" s="1473">
        <v>0</v>
      </c>
      <c r="K1453" s="1462"/>
      <c r="L1453" s="1456">
        <v>13127990000</v>
      </c>
      <c r="M1453" s="1457">
        <v>0</v>
      </c>
      <c r="N1453" s="1457">
        <v>0</v>
      </c>
      <c r="O1453" s="1458">
        <v>0</v>
      </c>
    </row>
    <row r="1454" spans="3:15" ht="13.5">
      <c r="C1454" s="1463" t="s">
        <v>5246</v>
      </c>
      <c r="D1454" s="1460">
        <v>0</v>
      </c>
      <c r="E1454" s="1460">
        <v>0</v>
      </c>
      <c r="F1454" s="1461">
        <v>0</v>
      </c>
      <c r="G1454" s="1472" t="s">
        <v>5246</v>
      </c>
      <c r="H1454" s="1458">
        <v>0</v>
      </c>
      <c r="I1454" s="1458">
        <v>0</v>
      </c>
      <c r="J1454" s="1473">
        <v>0</v>
      </c>
      <c r="K1454" s="1462"/>
      <c r="L1454" s="1456">
        <v>13129970100</v>
      </c>
      <c r="M1454" s="1457">
        <v>0</v>
      </c>
      <c r="N1454" s="1457">
        <v>0</v>
      </c>
      <c r="O1454" s="1458">
        <v>0</v>
      </c>
    </row>
    <row r="1455" spans="3:15" ht="13.5">
      <c r="C1455" s="1463" t="s">
        <v>5247</v>
      </c>
      <c r="D1455" s="1460">
        <v>0</v>
      </c>
      <c r="E1455" s="1460">
        <v>0</v>
      </c>
      <c r="F1455" s="1461">
        <v>0</v>
      </c>
      <c r="G1455" s="1472" t="s">
        <v>5247</v>
      </c>
      <c r="H1455" s="1458">
        <v>0</v>
      </c>
      <c r="I1455" s="1458">
        <v>0</v>
      </c>
      <c r="J1455" s="1473">
        <v>0</v>
      </c>
      <c r="K1455" s="1462"/>
      <c r="L1455" s="1456">
        <v>13129970200</v>
      </c>
      <c r="M1455" s="1457">
        <v>0</v>
      </c>
      <c r="N1455" s="1457">
        <v>0</v>
      </c>
      <c r="O1455" s="1458">
        <v>0</v>
      </c>
    </row>
    <row r="1456" spans="3:15" ht="13.5">
      <c r="C1456" s="1463" t="s">
        <v>5248</v>
      </c>
      <c r="D1456" s="1460">
        <v>0</v>
      </c>
      <c r="E1456" s="1460">
        <v>0</v>
      </c>
      <c r="F1456" s="1461">
        <v>0</v>
      </c>
      <c r="G1456" s="1472" t="s">
        <v>5248</v>
      </c>
      <c r="H1456" s="1458">
        <v>0</v>
      </c>
      <c r="I1456" s="1458">
        <v>0</v>
      </c>
      <c r="J1456" s="1473">
        <v>0</v>
      </c>
      <c r="K1456" s="1462"/>
      <c r="L1456" s="1456">
        <v>13129970300</v>
      </c>
      <c r="M1456" s="1457">
        <v>0</v>
      </c>
      <c r="N1456" s="1457">
        <v>0</v>
      </c>
      <c r="O1456" s="1458">
        <v>0</v>
      </c>
    </row>
    <row r="1457" spans="3:15" ht="13.5">
      <c r="C1457" s="1463" t="s">
        <v>5249</v>
      </c>
      <c r="D1457" s="1460">
        <v>0</v>
      </c>
      <c r="E1457" s="1460">
        <v>0</v>
      </c>
      <c r="F1457" s="1461">
        <v>0</v>
      </c>
      <c r="G1457" s="1472" t="s">
        <v>5249</v>
      </c>
      <c r="H1457" s="1458">
        <v>0</v>
      </c>
      <c r="I1457" s="1458">
        <v>0</v>
      </c>
      <c r="J1457" s="1473">
        <v>0</v>
      </c>
      <c r="K1457" s="1462"/>
      <c r="L1457" s="1456">
        <v>13129970400</v>
      </c>
      <c r="M1457" s="1457">
        <v>0</v>
      </c>
      <c r="N1457" s="1457">
        <v>0</v>
      </c>
      <c r="O1457" s="1458">
        <v>0</v>
      </c>
    </row>
    <row r="1458" spans="3:15" ht="13.5">
      <c r="C1458" s="1463" t="s">
        <v>5250</v>
      </c>
      <c r="D1458" s="1460">
        <v>0</v>
      </c>
      <c r="E1458" s="1460">
        <v>0</v>
      </c>
      <c r="F1458" s="1461">
        <v>0</v>
      </c>
      <c r="G1458" s="1472" t="s">
        <v>5250</v>
      </c>
      <c r="H1458" s="1458">
        <v>0</v>
      </c>
      <c r="I1458" s="1458">
        <v>0</v>
      </c>
      <c r="J1458" s="1473">
        <v>0</v>
      </c>
      <c r="K1458" s="1462"/>
      <c r="L1458" s="1456">
        <v>13129970500</v>
      </c>
      <c r="M1458" s="1457">
        <v>0</v>
      </c>
      <c r="N1458" s="1457">
        <v>0</v>
      </c>
      <c r="O1458" s="1458">
        <v>0</v>
      </c>
    </row>
    <row r="1459" spans="3:15" ht="13.5">
      <c r="C1459" s="1463" t="s">
        <v>5251</v>
      </c>
      <c r="D1459" s="1460">
        <v>0</v>
      </c>
      <c r="E1459" s="1460">
        <v>0</v>
      </c>
      <c r="F1459" s="1461">
        <v>0</v>
      </c>
      <c r="G1459" s="1472" t="s">
        <v>5251</v>
      </c>
      <c r="H1459" s="1458">
        <v>0</v>
      </c>
      <c r="I1459" s="1458">
        <v>0</v>
      </c>
      <c r="J1459" s="1473">
        <v>0</v>
      </c>
      <c r="K1459" s="1462"/>
      <c r="L1459" s="1456">
        <v>13129970600</v>
      </c>
      <c r="M1459" s="1457">
        <v>0</v>
      </c>
      <c r="N1459" s="1457">
        <v>0</v>
      </c>
      <c r="O1459" s="1458">
        <v>0</v>
      </c>
    </row>
    <row r="1460" spans="3:15" ht="13.5">
      <c r="C1460" s="1463" t="s">
        <v>5252</v>
      </c>
      <c r="D1460" s="1460">
        <v>0</v>
      </c>
      <c r="E1460" s="1460">
        <v>0</v>
      </c>
      <c r="F1460" s="1461">
        <v>0</v>
      </c>
      <c r="G1460" s="1472" t="s">
        <v>5252</v>
      </c>
      <c r="H1460" s="1458">
        <v>0</v>
      </c>
      <c r="I1460" s="1458">
        <v>0</v>
      </c>
      <c r="J1460" s="1473">
        <v>0</v>
      </c>
      <c r="K1460" s="1462"/>
      <c r="L1460" s="1456">
        <v>13129970700</v>
      </c>
      <c r="M1460" s="1457">
        <v>0</v>
      </c>
      <c r="N1460" s="1457">
        <v>0</v>
      </c>
      <c r="O1460" s="1458">
        <v>0</v>
      </c>
    </row>
    <row r="1461" spans="3:15" ht="13.5">
      <c r="C1461" s="1463" t="s">
        <v>5253</v>
      </c>
      <c r="D1461" s="1460">
        <v>1</v>
      </c>
      <c r="E1461" s="1460">
        <v>1</v>
      </c>
      <c r="F1461" s="1461">
        <v>2</v>
      </c>
      <c r="G1461" s="1472" t="s">
        <v>5253</v>
      </c>
      <c r="H1461" s="1458">
        <v>1</v>
      </c>
      <c r="I1461" s="1458">
        <v>1</v>
      </c>
      <c r="J1461" s="1473">
        <v>2</v>
      </c>
      <c r="K1461" s="1462"/>
      <c r="L1461" s="1456">
        <v>13129970800</v>
      </c>
      <c r="M1461" s="1457">
        <v>1</v>
      </c>
      <c r="N1461" s="1457">
        <v>1</v>
      </c>
      <c r="O1461" s="1458">
        <v>2</v>
      </c>
    </row>
    <row r="1462" spans="3:15" ht="13.5">
      <c r="C1462" s="1463" t="s">
        <v>5254</v>
      </c>
      <c r="D1462" s="1460">
        <v>1</v>
      </c>
      <c r="E1462" s="1460">
        <v>0</v>
      </c>
      <c r="F1462" s="1461">
        <v>1</v>
      </c>
      <c r="G1462" s="1472" t="s">
        <v>5254</v>
      </c>
      <c r="H1462" s="1458">
        <v>1</v>
      </c>
      <c r="I1462" s="1458">
        <v>1</v>
      </c>
      <c r="J1462" s="1473">
        <v>2</v>
      </c>
      <c r="K1462" s="1462"/>
      <c r="L1462" s="1456">
        <v>13129970900</v>
      </c>
      <c r="M1462" s="1457">
        <v>1</v>
      </c>
      <c r="N1462" s="1457">
        <v>1</v>
      </c>
      <c r="O1462" s="1458">
        <v>2</v>
      </c>
    </row>
    <row r="1463" spans="3:15" ht="13.5">
      <c r="C1463" s="1463" t="s">
        <v>5255</v>
      </c>
      <c r="D1463" s="1460">
        <v>0</v>
      </c>
      <c r="E1463" s="1460">
        <v>0</v>
      </c>
      <c r="F1463" s="1461">
        <v>0</v>
      </c>
      <c r="G1463" s="1472" t="s">
        <v>5255</v>
      </c>
      <c r="H1463" s="1458">
        <v>0</v>
      </c>
      <c r="I1463" s="1458">
        <v>1</v>
      </c>
      <c r="J1463" s="1473">
        <v>1</v>
      </c>
      <c r="K1463" s="1462"/>
      <c r="L1463" s="1456">
        <v>13131950100</v>
      </c>
      <c r="M1463" s="1457">
        <v>0</v>
      </c>
      <c r="N1463" s="1457">
        <v>1</v>
      </c>
      <c r="O1463" s="1458">
        <v>1</v>
      </c>
    </row>
    <row r="1464" spans="3:15" ht="13.5">
      <c r="C1464" s="1463" t="s">
        <v>5256</v>
      </c>
      <c r="D1464" s="1460">
        <v>0</v>
      </c>
      <c r="E1464" s="1460">
        <v>0</v>
      </c>
      <c r="F1464" s="1461">
        <v>0</v>
      </c>
      <c r="G1464" s="1472" t="s">
        <v>5256</v>
      </c>
      <c r="H1464" s="1458">
        <v>0</v>
      </c>
      <c r="I1464" s="1458">
        <v>0</v>
      </c>
      <c r="J1464" s="1473">
        <v>0</v>
      </c>
      <c r="K1464" s="1462"/>
      <c r="L1464" s="1456">
        <v>13131950200</v>
      </c>
      <c r="M1464" s="1457">
        <v>0</v>
      </c>
      <c r="N1464" s="1457">
        <v>0</v>
      </c>
      <c r="O1464" s="1458">
        <v>0</v>
      </c>
    </row>
    <row r="1465" spans="3:15" ht="13.5">
      <c r="C1465" s="1463" t="s">
        <v>5257</v>
      </c>
      <c r="D1465" s="1460">
        <v>0</v>
      </c>
      <c r="E1465" s="1460">
        <v>0</v>
      </c>
      <c r="F1465" s="1461">
        <v>0</v>
      </c>
      <c r="G1465" s="1472" t="s">
        <v>5257</v>
      </c>
      <c r="H1465" s="1458">
        <v>0</v>
      </c>
      <c r="I1465" s="1458">
        <v>0</v>
      </c>
      <c r="J1465" s="1473">
        <v>0</v>
      </c>
      <c r="K1465" s="1462"/>
      <c r="L1465" s="1456">
        <v>13131950300</v>
      </c>
      <c r="M1465" s="1457">
        <v>0</v>
      </c>
      <c r="N1465" s="1457">
        <v>0</v>
      </c>
      <c r="O1465" s="1458">
        <v>0</v>
      </c>
    </row>
    <row r="1466" spans="3:15" ht="13.5">
      <c r="C1466" s="1463" t="s">
        <v>5258</v>
      </c>
      <c r="D1466" s="1460">
        <v>0</v>
      </c>
      <c r="E1466" s="1460">
        <v>0</v>
      </c>
      <c r="F1466" s="1461">
        <v>0</v>
      </c>
      <c r="G1466" s="1472" t="s">
        <v>5258</v>
      </c>
      <c r="H1466" s="1458">
        <v>0</v>
      </c>
      <c r="I1466" s="1458">
        <v>0</v>
      </c>
      <c r="J1466" s="1473">
        <v>0</v>
      </c>
      <c r="K1466" s="1462"/>
      <c r="L1466" s="1456">
        <v>13131950400</v>
      </c>
      <c r="M1466" s="1457">
        <v>0</v>
      </c>
      <c r="N1466" s="1457">
        <v>0</v>
      </c>
      <c r="O1466" s="1458">
        <v>0</v>
      </c>
    </row>
    <row r="1467" spans="3:15" ht="13.5">
      <c r="C1467" s="1463" t="s">
        <v>5259</v>
      </c>
      <c r="D1467" s="1460">
        <v>0</v>
      </c>
      <c r="E1467" s="1460">
        <v>0</v>
      </c>
      <c r="F1467" s="1461">
        <v>0</v>
      </c>
      <c r="G1467" s="1472" t="s">
        <v>5259</v>
      </c>
      <c r="H1467" s="1458">
        <v>0</v>
      </c>
      <c r="I1467" s="1458">
        <v>0</v>
      </c>
      <c r="J1467" s="1473">
        <v>0</v>
      </c>
      <c r="K1467" s="1462"/>
      <c r="L1467" s="1456">
        <v>13131950500</v>
      </c>
      <c r="M1467" s="1457">
        <v>0</v>
      </c>
      <c r="N1467" s="1457">
        <v>0</v>
      </c>
      <c r="O1467" s="1458">
        <v>0</v>
      </c>
    </row>
    <row r="1468" spans="3:15" ht="13.5">
      <c r="C1468" s="1463" t="s">
        <v>5260</v>
      </c>
      <c r="D1468" s="1460">
        <v>1</v>
      </c>
      <c r="E1468" s="1460">
        <v>0</v>
      </c>
      <c r="F1468" s="1461">
        <v>1</v>
      </c>
      <c r="G1468" s="1472" t="s">
        <v>5260</v>
      </c>
      <c r="H1468" s="1458">
        <v>1</v>
      </c>
      <c r="I1468" s="1458">
        <v>1</v>
      </c>
      <c r="J1468" s="1473">
        <v>2</v>
      </c>
      <c r="K1468" s="1462"/>
      <c r="L1468" s="1456">
        <v>13131950600</v>
      </c>
      <c r="M1468" s="1457">
        <v>1</v>
      </c>
      <c r="N1468" s="1457">
        <v>1</v>
      </c>
      <c r="O1468" s="1458">
        <v>2</v>
      </c>
    </row>
    <row r="1469" spans="3:15" ht="13.5">
      <c r="C1469" s="1463" t="s">
        <v>5261</v>
      </c>
      <c r="D1469" s="1460">
        <v>0</v>
      </c>
      <c r="E1469" s="1460">
        <v>0</v>
      </c>
      <c r="F1469" s="1461">
        <v>0</v>
      </c>
      <c r="G1469" s="1472" t="s">
        <v>5261</v>
      </c>
      <c r="H1469" s="1458">
        <v>0</v>
      </c>
      <c r="I1469" s="1458" t="s">
        <v>3911</v>
      </c>
      <c r="J1469" s="1473">
        <v>0</v>
      </c>
      <c r="K1469" s="1462"/>
      <c r="L1469" s="1456">
        <v>13133950100</v>
      </c>
      <c r="M1469" s="1457">
        <v>0</v>
      </c>
      <c r="N1469" s="1457">
        <v>0</v>
      </c>
      <c r="O1469" s="1458">
        <v>0</v>
      </c>
    </row>
    <row r="1470" spans="3:15" ht="13.5">
      <c r="C1470" s="1463" t="s">
        <v>5262</v>
      </c>
      <c r="D1470" s="1460">
        <v>0</v>
      </c>
      <c r="E1470" s="1460">
        <v>0</v>
      </c>
      <c r="F1470" s="1461">
        <v>0</v>
      </c>
      <c r="G1470" s="1472" t="s">
        <v>5262</v>
      </c>
      <c r="H1470" s="1458">
        <v>0</v>
      </c>
      <c r="I1470" s="1458">
        <v>0</v>
      </c>
      <c r="J1470" s="1473">
        <v>0</v>
      </c>
      <c r="K1470" s="1462"/>
      <c r="L1470" s="1456">
        <v>13133950200</v>
      </c>
      <c r="M1470" s="1457">
        <v>0</v>
      </c>
      <c r="N1470" s="1457">
        <v>0</v>
      </c>
      <c r="O1470" s="1458">
        <v>0</v>
      </c>
    </row>
    <row r="1471" spans="3:15" ht="13.5">
      <c r="C1471" s="1463" t="s">
        <v>5263</v>
      </c>
      <c r="D1471" s="1460">
        <v>1</v>
      </c>
      <c r="E1471" s="1460">
        <v>1</v>
      </c>
      <c r="F1471" s="1461">
        <v>2</v>
      </c>
      <c r="G1471" s="1472" t="s">
        <v>5263</v>
      </c>
      <c r="H1471" s="1458">
        <v>1</v>
      </c>
      <c r="I1471" s="1458" t="s">
        <v>3911</v>
      </c>
      <c r="J1471" s="1473">
        <v>1</v>
      </c>
      <c r="K1471" s="1462"/>
      <c r="L1471" s="1456">
        <v>13133950301</v>
      </c>
      <c r="M1471" s="1457">
        <v>1</v>
      </c>
      <c r="N1471" s="1457">
        <v>1</v>
      </c>
      <c r="O1471" s="1458">
        <v>2</v>
      </c>
    </row>
    <row r="1472" spans="3:15" ht="13.5">
      <c r="C1472" s="1463" t="s">
        <v>5264</v>
      </c>
      <c r="D1472" s="1460">
        <v>1</v>
      </c>
      <c r="E1472" s="1460">
        <v>1</v>
      </c>
      <c r="F1472" s="1461">
        <v>2</v>
      </c>
      <c r="G1472" s="1472" t="s">
        <v>5264</v>
      </c>
      <c r="H1472" s="1458">
        <v>1</v>
      </c>
      <c r="I1472" s="1458">
        <v>1</v>
      </c>
      <c r="J1472" s="1473">
        <v>2</v>
      </c>
      <c r="K1472" s="1462"/>
      <c r="L1472" s="1456">
        <v>13133950302</v>
      </c>
      <c r="M1472" s="1457">
        <v>1</v>
      </c>
      <c r="N1472" s="1457">
        <v>1</v>
      </c>
      <c r="O1472" s="1458">
        <v>2</v>
      </c>
    </row>
    <row r="1473" spans="3:15" ht="13.5">
      <c r="C1473" s="1463" t="s">
        <v>5265</v>
      </c>
      <c r="D1473" s="1460">
        <v>0</v>
      </c>
      <c r="E1473" s="1460">
        <v>0</v>
      </c>
      <c r="F1473" s="1461">
        <v>0</v>
      </c>
      <c r="G1473" s="1472" t="s">
        <v>5265</v>
      </c>
      <c r="H1473" s="1458">
        <v>0</v>
      </c>
      <c r="I1473" s="1458">
        <v>0</v>
      </c>
      <c r="J1473" s="1473">
        <v>0</v>
      </c>
      <c r="K1473" s="1462"/>
      <c r="L1473" s="1456">
        <v>13133950303</v>
      </c>
      <c r="M1473" s="1457">
        <v>0</v>
      </c>
      <c r="N1473" s="1457">
        <v>0</v>
      </c>
      <c r="O1473" s="1458">
        <v>0</v>
      </c>
    </row>
    <row r="1474" spans="3:15" ht="13.5">
      <c r="C1474" s="1463" t="s">
        <v>5266</v>
      </c>
      <c r="D1474" s="1460">
        <v>0</v>
      </c>
      <c r="E1474" s="1460">
        <v>0</v>
      </c>
      <c r="F1474" s="1461">
        <v>0</v>
      </c>
      <c r="G1474" s="1472" t="s">
        <v>5266</v>
      </c>
      <c r="H1474" s="1458">
        <v>0</v>
      </c>
      <c r="I1474" s="1458">
        <v>0</v>
      </c>
      <c r="J1474" s="1473">
        <v>0</v>
      </c>
      <c r="K1474" s="1462"/>
      <c r="L1474" s="1456">
        <v>13133950400</v>
      </c>
      <c r="M1474" s="1457">
        <v>0</v>
      </c>
      <c r="N1474" s="1457">
        <v>0</v>
      </c>
      <c r="O1474" s="1458">
        <v>0</v>
      </c>
    </row>
    <row r="1475" spans="3:15" ht="13.5">
      <c r="C1475" s="1463" t="s">
        <v>5267</v>
      </c>
      <c r="D1475" s="1460">
        <v>1</v>
      </c>
      <c r="E1475" s="1460">
        <v>0</v>
      </c>
      <c r="F1475" s="1461">
        <v>1</v>
      </c>
      <c r="G1475" s="1472" t="s">
        <v>5267</v>
      </c>
      <c r="H1475" s="1458">
        <v>0</v>
      </c>
      <c r="I1475" s="1458">
        <v>0</v>
      </c>
      <c r="J1475" s="1473">
        <v>0</v>
      </c>
      <c r="K1475" s="1462"/>
      <c r="L1475" s="1456">
        <v>13133950500</v>
      </c>
      <c r="M1475" s="1457">
        <v>1</v>
      </c>
      <c r="N1475" s="1457">
        <v>0</v>
      </c>
      <c r="O1475" s="1458">
        <v>1</v>
      </c>
    </row>
    <row r="1476" spans="3:15" ht="13.5">
      <c r="C1476" s="1463" t="s">
        <v>5268</v>
      </c>
      <c r="D1476" s="1460">
        <v>1</v>
      </c>
      <c r="E1476" s="1460">
        <v>1</v>
      </c>
      <c r="F1476" s="1461">
        <v>2</v>
      </c>
      <c r="G1476" s="1472" t="s">
        <v>5268</v>
      </c>
      <c r="H1476" s="1458">
        <v>1</v>
      </c>
      <c r="I1476" s="1458">
        <v>0</v>
      </c>
      <c r="J1476" s="1473">
        <v>1</v>
      </c>
      <c r="K1476" s="1462"/>
      <c r="L1476" s="1456">
        <v>13135050103</v>
      </c>
      <c r="M1476" s="1457">
        <v>1</v>
      </c>
      <c r="N1476" s="1457">
        <v>1</v>
      </c>
      <c r="O1476" s="1458">
        <v>2</v>
      </c>
    </row>
    <row r="1477" spans="3:15" ht="13.5">
      <c r="C1477" s="1463" t="s">
        <v>5269</v>
      </c>
      <c r="D1477" s="1460">
        <v>0</v>
      </c>
      <c r="E1477" s="1460">
        <v>0</v>
      </c>
      <c r="F1477" s="1461">
        <v>0</v>
      </c>
      <c r="G1477" s="1472" t="s">
        <v>5269</v>
      </c>
      <c r="H1477" s="1458">
        <v>0</v>
      </c>
      <c r="I1477" s="1458">
        <v>0</v>
      </c>
      <c r="J1477" s="1473">
        <v>0</v>
      </c>
      <c r="K1477" s="1462"/>
      <c r="L1477" s="1456">
        <v>13135050105</v>
      </c>
      <c r="M1477" s="1457">
        <v>0</v>
      </c>
      <c r="N1477" s="1457">
        <v>0</v>
      </c>
      <c r="O1477" s="1458">
        <v>0</v>
      </c>
    </row>
    <row r="1478" spans="3:15" ht="13.5">
      <c r="C1478" s="1463" t="s">
        <v>5270</v>
      </c>
      <c r="D1478" s="1460">
        <v>1</v>
      </c>
      <c r="E1478" s="1460">
        <v>0</v>
      </c>
      <c r="F1478" s="1461">
        <v>1</v>
      </c>
      <c r="G1478" s="1472" t="s">
        <v>5270</v>
      </c>
      <c r="H1478" s="1458">
        <v>1</v>
      </c>
      <c r="I1478" s="1458">
        <v>0</v>
      </c>
      <c r="J1478" s="1473">
        <v>1</v>
      </c>
      <c r="K1478" s="1462"/>
      <c r="L1478" s="1456">
        <v>13135050106</v>
      </c>
      <c r="M1478" s="1457">
        <v>1</v>
      </c>
      <c r="N1478" s="1457">
        <v>0</v>
      </c>
      <c r="O1478" s="1458">
        <v>1</v>
      </c>
    </row>
    <row r="1479" spans="3:15" ht="13.5">
      <c r="C1479" s="1463" t="s">
        <v>5271</v>
      </c>
      <c r="D1479" s="1460">
        <v>1</v>
      </c>
      <c r="E1479" s="1460">
        <v>1</v>
      </c>
      <c r="F1479" s="1461">
        <v>2</v>
      </c>
      <c r="G1479" s="1472" t="s">
        <v>5271</v>
      </c>
      <c r="H1479" s="1458">
        <v>1</v>
      </c>
      <c r="I1479" s="1458">
        <v>1</v>
      </c>
      <c r="J1479" s="1473">
        <v>2</v>
      </c>
      <c r="K1479" s="1462"/>
      <c r="L1479" s="1456">
        <v>13135050107</v>
      </c>
      <c r="M1479" s="1457">
        <v>1</v>
      </c>
      <c r="N1479" s="1457">
        <v>1</v>
      </c>
      <c r="O1479" s="1458">
        <v>2</v>
      </c>
    </row>
    <row r="1480" spans="3:15" ht="13.5">
      <c r="C1480" s="1463" t="s">
        <v>5272</v>
      </c>
      <c r="D1480" s="1460">
        <v>1</v>
      </c>
      <c r="E1480" s="1460">
        <v>1</v>
      </c>
      <c r="F1480" s="1461">
        <v>2</v>
      </c>
      <c r="G1480" s="1472" t="s">
        <v>5272</v>
      </c>
      <c r="H1480" s="1458">
        <v>1</v>
      </c>
      <c r="I1480" s="1458">
        <v>1</v>
      </c>
      <c r="J1480" s="1473">
        <v>2</v>
      </c>
      <c r="K1480" s="1462"/>
      <c r="L1480" s="1456">
        <v>13135050108</v>
      </c>
      <c r="M1480" s="1457">
        <v>1</v>
      </c>
      <c r="N1480" s="1457">
        <v>1</v>
      </c>
      <c r="O1480" s="1458">
        <v>2</v>
      </c>
    </row>
    <row r="1481" spans="3:15" ht="13.5">
      <c r="C1481" s="1463" t="s">
        <v>5273</v>
      </c>
      <c r="D1481" s="1460">
        <v>1</v>
      </c>
      <c r="E1481" s="1460">
        <v>1</v>
      </c>
      <c r="F1481" s="1461">
        <v>2</v>
      </c>
      <c r="G1481" s="1472" t="s">
        <v>5273</v>
      </c>
      <c r="H1481" s="1458">
        <v>1</v>
      </c>
      <c r="I1481" s="1458">
        <v>0</v>
      </c>
      <c r="J1481" s="1473">
        <v>1</v>
      </c>
      <c r="K1481" s="1462"/>
      <c r="L1481" s="1456">
        <v>13135050109</v>
      </c>
      <c r="M1481" s="1457">
        <v>1</v>
      </c>
      <c r="N1481" s="1457">
        <v>1</v>
      </c>
      <c r="O1481" s="1458">
        <v>2</v>
      </c>
    </row>
    <row r="1482" spans="3:15" ht="13.5">
      <c r="C1482" s="1463" t="s">
        <v>5274</v>
      </c>
      <c r="D1482" s="1460">
        <v>1</v>
      </c>
      <c r="E1482" s="1460">
        <v>0</v>
      </c>
      <c r="F1482" s="1461">
        <v>1</v>
      </c>
      <c r="G1482" s="1472" t="s">
        <v>5274</v>
      </c>
      <c r="H1482" s="1458">
        <v>1</v>
      </c>
      <c r="I1482" s="1458">
        <v>0</v>
      </c>
      <c r="J1482" s="1473">
        <v>1</v>
      </c>
      <c r="K1482" s="1462"/>
      <c r="L1482" s="1456">
        <v>13135050205</v>
      </c>
      <c r="M1482" s="1457">
        <v>1</v>
      </c>
      <c r="N1482" s="1457">
        <v>0</v>
      </c>
      <c r="O1482" s="1458">
        <v>1</v>
      </c>
    </row>
    <row r="1483" spans="3:15" ht="13.5">
      <c r="C1483" s="1463" t="s">
        <v>5275</v>
      </c>
      <c r="D1483" s="1460">
        <v>1</v>
      </c>
      <c r="E1483" s="1460">
        <v>1</v>
      </c>
      <c r="F1483" s="1461">
        <v>2</v>
      </c>
      <c r="G1483" s="1472" t="s">
        <v>5275</v>
      </c>
      <c r="H1483" s="1458">
        <v>1</v>
      </c>
      <c r="I1483" s="1458">
        <v>1</v>
      </c>
      <c r="J1483" s="1473">
        <v>2</v>
      </c>
      <c r="K1483" s="1462"/>
      <c r="L1483" s="1456">
        <v>13135050208</v>
      </c>
      <c r="M1483" s="1457">
        <v>1</v>
      </c>
      <c r="N1483" s="1457">
        <v>1</v>
      </c>
      <c r="O1483" s="1458">
        <v>2</v>
      </c>
    </row>
    <row r="1484" spans="3:15" ht="13.5">
      <c r="C1484" s="1463" t="s">
        <v>5276</v>
      </c>
      <c r="D1484" s="1460">
        <v>0</v>
      </c>
      <c r="E1484" s="1460">
        <v>0</v>
      </c>
      <c r="F1484" s="1461">
        <v>0</v>
      </c>
      <c r="G1484" s="1472" t="s">
        <v>5276</v>
      </c>
      <c r="H1484" s="1458">
        <v>1</v>
      </c>
      <c r="I1484" s="1458">
        <v>0</v>
      </c>
      <c r="J1484" s="1473">
        <v>1</v>
      </c>
      <c r="K1484" s="1462"/>
      <c r="L1484" s="1456">
        <v>13135050209</v>
      </c>
      <c r="M1484" s="1457">
        <v>1</v>
      </c>
      <c r="N1484" s="1457">
        <v>0</v>
      </c>
      <c r="O1484" s="1458">
        <v>1</v>
      </c>
    </row>
    <row r="1485" spans="3:15" ht="13.5">
      <c r="C1485" s="1463" t="s">
        <v>5277</v>
      </c>
      <c r="D1485" s="1460">
        <v>1</v>
      </c>
      <c r="E1485" s="1460">
        <v>1</v>
      </c>
      <c r="F1485" s="1461">
        <v>2</v>
      </c>
      <c r="G1485" s="1472" t="s">
        <v>5277</v>
      </c>
      <c r="H1485" s="1458">
        <v>1</v>
      </c>
      <c r="I1485" s="1458">
        <v>1</v>
      </c>
      <c r="J1485" s="1473">
        <v>2</v>
      </c>
      <c r="K1485" s="1462"/>
      <c r="L1485" s="1456">
        <v>13135050210</v>
      </c>
      <c r="M1485" s="1457">
        <v>1</v>
      </c>
      <c r="N1485" s="1457">
        <v>1</v>
      </c>
      <c r="O1485" s="1458">
        <v>2</v>
      </c>
    </row>
    <row r="1486" spans="3:15" ht="13.5">
      <c r="C1486" s="1463" t="s">
        <v>5278</v>
      </c>
      <c r="D1486" s="1460">
        <v>0</v>
      </c>
      <c r="E1486" s="1460">
        <v>0</v>
      </c>
      <c r="F1486" s="1461">
        <v>0</v>
      </c>
      <c r="G1486" s="1472" t="s">
        <v>5278</v>
      </c>
      <c r="H1486" s="1458">
        <v>0</v>
      </c>
      <c r="I1486" s="1458">
        <v>0</v>
      </c>
      <c r="J1486" s="1473">
        <v>0</v>
      </c>
      <c r="K1486" s="1462"/>
      <c r="L1486" s="1456">
        <v>13135050211</v>
      </c>
      <c r="M1486" s="1457">
        <v>0</v>
      </c>
      <c r="N1486" s="1457">
        <v>0</v>
      </c>
      <c r="O1486" s="1458">
        <v>0</v>
      </c>
    </row>
    <row r="1487" spans="3:15" ht="13.5">
      <c r="C1487" s="1463" t="s">
        <v>5279</v>
      </c>
      <c r="D1487" s="1460">
        <v>1</v>
      </c>
      <c r="E1487" s="1460">
        <v>1</v>
      </c>
      <c r="F1487" s="1461">
        <v>2</v>
      </c>
      <c r="G1487" s="1472" t="s">
        <v>5279</v>
      </c>
      <c r="H1487" s="1458">
        <v>1</v>
      </c>
      <c r="I1487" s="1458">
        <v>1</v>
      </c>
      <c r="J1487" s="1473">
        <v>2</v>
      </c>
      <c r="K1487" s="1462"/>
      <c r="L1487" s="1456">
        <v>13135050212</v>
      </c>
      <c r="M1487" s="1457">
        <v>1</v>
      </c>
      <c r="N1487" s="1457">
        <v>1</v>
      </c>
      <c r="O1487" s="1458">
        <v>2</v>
      </c>
    </row>
    <row r="1488" spans="3:15" ht="13.5">
      <c r="C1488" s="1463" t="s">
        <v>5280</v>
      </c>
      <c r="D1488" s="1460">
        <v>1</v>
      </c>
      <c r="E1488" s="1460">
        <v>1</v>
      </c>
      <c r="F1488" s="1461">
        <v>2</v>
      </c>
      <c r="G1488" s="1472" t="s">
        <v>5280</v>
      </c>
      <c r="H1488" s="1458">
        <v>1</v>
      </c>
      <c r="I1488" s="1458">
        <v>1</v>
      </c>
      <c r="J1488" s="1473">
        <v>2</v>
      </c>
      <c r="K1488" s="1462"/>
      <c r="L1488" s="1456">
        <v>13135050213</v>
      </c>
      <c r="M1488" s="1457">
        <v>1</v>
      </c>
      <c r="N1488" s="1457">
        <v>1</v>
      </c>
      <c r="O1488" s="1458">
        <v>2</v>
      </c>
    </row>
    <row r="1489" spans="3:15" ht="13.5">
      <c r="C1489" s="1463" t="s">
        <v>5281</v>
      </c>
      <c r="D1489" s="1460">
        <v>1</v>
      </c>
      <c r="E1489" s="1460">
        <v>1</v>
      </c>
      <c r="F1489" s="1461">
        <v>2</v>
      </c>
      <c r="G1489" s="1472" t="s">
        <v>5281</v>
      </c>
      <c r="H1489" s="1458">
        <v>1</v>
      </c>
      <c r="I1489" s="1458">
        <v>1</v>
      </c>
      <c r="J1489" s="1473">
        <v>2</v>
      </c>
      <c r="K1489" s="1462"/>
      <c r="L1489" s="1456">
        <v>13135050214</v>
      </c>
      <c r="M1489" s="1457">
        <v>1</v>
      </c>
      <c r="N1489" s="1457">
        <v>1</v>
      </c>
      <c r="O1489" s="1458">
        <v>2</v>
      </c>
    </row>
    <row r="1490" spans="3:15" ht="13.5">
      <c r="C1490" s="1463" t="s">
        <v>5282</v>
      </c>
      <c r="D1490" s="1460">
        <v>1</v>
      </c>
      <c r="E1490" s="1460">
        <v>1</v>
      </c>
      <c r="F1490" s="1461">
        <v>2</v>
      </c>
      <c r="G1490" s="1472" t="s">
        <v>5282</v>
      </c>
      <c r="H1490" s="1458">
        <v>1</v>
      </c>
      <c r="I1490" s="1458" t="s">
        <v>3911</v>
      </c>
      <c r="J1490" s="1473">
        <v>1</v>
      </c>
      <c r="K1490" s="1462"/>
      <c r="L1490" s="1456">
        <v>13135050215</v>
      </c>
      <c r="M1490" s="1457">
        <v>1</v>
      </c>
      <c r="N1490" s="1457">
        <v>1</v>
      </c>
      <c r="O1490" s="1458">
        <v>2</v>
      </c>
    </row>
    <row r="1491" spans="3:15" ht="13.5">
      <c r="C1491" s="1463" t="s">
        <v>5283</v>
      </c>
      <c r="D1491" s="1460">
        <v>1</v>
      </c>
      <c r="E1491" s="1460">
        <v>1</v>
      </c>
      <c r="F1491" s="1461">
        <v>2</v>
      </c>
      <c r="G1491" s="1472" t="s">
        <v>5283</v>
      </c>
      <c r="H1491" s="1458">
        <v>1</v>
      </c>
      <c r="I1491" s="1458">
        <v>1</v>
      </c>
      <c r="J1491" s="1473">
        <v>2</v>
      </c>
      <c r="K1491" s="1462"/>
      <c r="L1491" s="1456">
        <v>13135050216</v>
      </c>
      <c r="M1491" s="1457">
        <v>1</v>
      </c>
      <c r="N1491" s="1457">
        <v>1</v>
      </c>
      <c r="O1491" s="1458">
        <v>2</v>
      </c>
    </row>
    <row r="1492" spans="3:15" ht="13.5">
      <c r="C1492" s="1463" t="s">
        <v>5284</v>
      </c>
      <c r="D1492" s="1460">
        <v>1</v>
      </c>
      <c r="E1492" s="1460">
        <v>1</v>
      </c>
      <c r="F1492" s="1461">
        <v>2</v>
      </c>
      <c r="G1492" s="1472" t="s">
        <v>5284</v>
      </c>
      <c r="H1492" s="1458">
        <v>1</v>
      </c>
      <c r="I1492" s="1458">
        <v>1</v>
      </c>
      <c r="J1492" s="1473">
        <v>2</v>
      </c>
      <c r="K1492" s="1462"/>
      <c r="L1492" s="1456">
        <v>13135050217</v>
      </c>
      <c r="M1492" s="1457">
        <v>1</v>
      </c>
      <c r="N1492" s="1457">
        <v>1</v>
      </c>
      <c r="O1492" s="1458">
        <v>2</v>
      </c>
    </row>
    <row r="1493" spans="3:15" ht="13.5">
      <c r="C1493" s="1463" t="s">
        <v>5285</v>
      </c>
      <c r="D1493" s="1460">
        <v>1</v>
      </c>
      <c r="E1493" s="1460">
        <v>1</v>
      </c>
      <c r="F1493" s="1461">
        <v>2</v>
      </c>
      <c r="G1493" s="1472" t="s">
        <v>5285</v>
      </c>
      <c r="H1493" s="1458">
        <v>1</v>
      </c>
      <c r="I1493" s="1458">
        <v>0</v>
      </c>
      <c r="J1493" s="1473">
        <v>1</v>
      </c>
      <c r="K1493" s="1462"/>
      <c r="L1493" s="1456">
        <v>13135050218</v>
      </c>
      <c r="M1493" s="1457">
        <v>1</v>
      </c>
      <c r="N1493" s="1457">
        <v>1</v>
      </c>
      <c r="O1493" s="1458">
        <v>2</v>
      </c>
    </row>
    <row r="1494" spans="3:15" ht="13.5">
      <c r="C1494" s="1463" t="s">
        <v>5286</v>
      </c>
      <c r="D1494" s="1460">
        <v>1</v>
      </c>
      <c r="E1494" s="1460">
        <v>1</v>
      </c>
      <c r="F1494" s="1461">
        <v>2</v>
      </c>
      <c r="G1494" s="1472" t="s">
        <v>5286</v>
      </c>
      <c r="H1494" s="1458">
        <v>1</v>
      </c>
      <c r="I1494" s="1458">
        <v>1</v>
      </c>
      <c r="J1494" s="1473">
        <v>2</v>
      </c>
      <c r="K1494" s="1462"/>
      <c r="L1494" s="1456">
        <v>13135050219</v>
      </c>
      <c r="M1494" s="1457">
        <v>1</v>
      </c>
      <c r="N1494" s="1457">
        <v>1</v>
      </c>
      <c r="O1494" s="1458">
        <v>2</v>
      </c>
    </row>
    <row r="1495" spans="3:15" ht="13.5">
      <c r="C1495" s="1463" t="s">
        <v>5287</v>
      </c>
      <c r="D1495" s="1460">
        <v>0</v>
      </c>
      <c r="E1495" s="1460">
        <v>0</v>
      </c>
      <c r="F1495" s="1461">
        <v>0</v>
      </c>
      <c r="G1495" s="1472" t="s">
        <v>5287</v>
      </c>
      <c r="H1495" s="1458">
        <v>1</v>
      </c>
      <c r="I1495" s="1458">
        <v>0</v>
      </c>
      <c r="J1495" s="1473">
        <v>1</v>
      </c>
      <c r="K1495" s="1462"/>
      <c r="L1495" s="1456">
        <v>13135050220</v>
      </c>
      <c r="M1495" s="1457">
        <v>1</v>
      </c>
      <c r="N1495" s="1457">
        <v>0</v>
      </c>
      <c r="O1495" s="1458">
        <v>1</v>
      </c>
    </row>
    <row r="1496" spans="3:15" ht="13.5">
      <c r="C1496" s="1463" t="s">
        <v>5288</v>
      </c>
      <c r="D1496" s="1460">
        <v>1</v>
      </c>
      <c r="E1496" s="1460">
        <v>0</v>
      </c>
      <c r="F1496" s="1461">
        <v>1</v>
      </c>
      <c r="G1496" s="1472" t="s">
        <v>5288</v>
      </c>
      <c r="H1496" s="1458">
        <v>1</v>
      </c>
      <c r="I1496" s="1458">
        <v>0</v>
      </c>
      <c r="J1496" s="1473">
        <v>1</v>
      </c>
      <c r="K1496" s="1462"/>
      <c r="L1496" s="1456">
        <v>13135050304</v>
      </c>
      <c r="M1496" s="1457">
        <v>1</v>
      </c>
      <c r="N1496" s="1457">
        <v>0</v>
      </c>
      <c r="O1496" s="1458">
        <v>1</v>
      </c>
    </row>
    <row r="1497" spans="3:15" ht="13.5">
      <c r="C1497" s="1463" t="s">
        <v>5289</v>
      </c>
      <c r="D1497" s="1460">
        <v>0</v>
      </c>
      <c r="E1497" s="1460">
        <v>0</v>
      </c>
      <c r="F1497" s="1461">
        <v>0</v>
      </c>
      <c r="G1497" s="1472" t="s">
        <v>5289</v>
      </c>
      <c r="H1497" s="1458">
        <v>1</v>
      </c>
      <c r="I1497" s="1458">
        <v>0</v>
      </c>
      <c r="J1497" s="1473">
        <v>1</v>
      </c>
      <c r="K1497" s="1462"/>
      <c r="L1497" s="1456">
        <v>13135050306</v>
      </c>
      <c r="M1497" s="1457">
        <v>1</v>
      </c>
      <c r="N1497" s="1457">
        <v>0</v>
      </c>
      <c r="O1497" s="1458">
        <v>1</v>
      </c>
    </row>
    <row r="1498" spans="3:15" ht="13.5">
      <c r="C1498" s="1463" t="s">
        <v>5290</v>
      </c>
      <c r="D1498" s="1460">
        <v>1</v>
      </c>
      <c r="E1498" s="1460">
        <v>1</v>
      </c>
      <c r="F1498" s="1461">
        <v>2</v>
      </c>
      <c r="G1498" s="1472" t="s">
        <v>5290</v>
      </c>
      <c r="H1498" s="1458">
        <v>1</v>
      </c>
      <c r="I1498" s="1458">
        <v>1</v>
      </c>
      <c r="J1498" s="1473">
        <v>2</v>
      </c>
      <c r="K1498" s="1462"/>
      <c r="L1498" s="1456">
        <v>13135050308</v>
      </c>
      <c r="M1498" s="1457">
        <v>1</v>
      </c>
      <c r="N1498" s="1457">
        <v>1</v>
      </c>
      <c r="O1498" s="1458">
        <v>2</v>
      </c>
    </row>
    <row r="1499" spans="3:15" ht="13.5">
      <c r="C1499" s="1463" t="s">
        <v>5291</v>
      </c>
      <c r="D1499" s="1460">
        <v>1</v>
      </c>
      <c r="E1499" s="1460">
        <v>1</v>
      </c>
      <c r="F1499" s="1461">
        <v>2</v>
      </c>
      <c r="G1499" s="1472" t="s">
        <v>5291</v>
      </c>
      <c r="H1499" s="1458">
        <v>1</v>
      </c>
      <c r="I1499" s="1458">
        <v>1</v>
      </c>
      <c r="J1499" s="1473">
        <v>2</v>
      </c>
      <c r="K1499" s="1462"/>
      <c r="L1499" s="1456">
        <v>13135050309</v>
      </c>
      <c r="M1499" s="1457">
        <v>1</v>
      </c>
      <c r="N1499" s="1457">
        <v>1</v>
      </c>
      <c r="O1499" s="1458">
        <v>2</v>
      </c>
    </row>
    <row r="1500" spans="3:15" ht="13.5">
      <c r="C1500" s="1463" t="s">
        <v>5292</v>
      </c>
      <c r="D1500" s="1460">
        <v>1</v>
      </c>
      <c r="E1500" s="1460">
        <v>1</v>
      </c>
      <c r="F1500" s="1461">
        <v>2</v>
      </c>
      <c r="G1500" s="1472" t="s">
        <v>5292</v>
      </c>
      <c r="H1500" s="1458">
        <v>1</v>
      </c>
      <c r="I1500" s="1458">
        <v>1</v>
      </c>
      <c r="J1500" s="1473">
        <v>2</v>
      </c>
      <c r="K1500" s="1462"/>
      <c r="L1500" s="1456">
        <v>13135050310</v>
      </c>
      <c r="M1500" s="1457">
        <v>1</v>
      </c>
      <c r="N1500" s="1457">
        <v>1</v>
      </c>
      <c r="O1500" s="1458">
        <v>2</v>
      </c>
    </row>
    <row r="1501" spans="3:15" ht="13.5">
      <c r="C1501" s="1463" t="s">
        <v>5293</v>
      </c>
      <c r="D1501" s="1460">
        <v>1</v>
      </c>
      <c r="E1501" s="1460">
        <v>1</v>
      </c>
      <c r="F1501" s="1461">
        <v>2</v>
      </c>
      <c r="G1501" s="1472" t="s">
        <v>5293</v>
      </c>
      <c r="H1501" s="1458">
        <v>1</v>
      </c>
      <c r="I1501" s="1458">
        <v>0</v>
      </c>
      <c r="J1501" s="1473">
        <v>1</v>
      </c>
      <c r="K1501" s="1462"/>
      <c r="L1501" s="1456">
        <v>13135050311</v>
      </c>
      <c r="M1501" s="1457">
        <v>1</v>
      </c>
      <c r="N1501" s="1457">
        <v>1</v>
      </c>
      <c r="O1501" s="1458">
        <v>2</v>
      </c>
    </row>
    <row r="1502" spans="3:15" ht="13.5">
      <c r="C1502" s="1463" t="s">
        <v>5294</v>
      </c>
      <c r="D1502" s="1460">
        <v>0</v>
      </c>
      <c r="E1502" s="1460">
        <v>0</v>
      </c>
      <c r="F1502" s="1461">
        <v>0</v>
      </c>
      <c r="G1502" s="1472" t="s">
        <v>5294</v>
      </c>
      <c r="H1502" s="1458">
        <v>0</v>
      </c>
      <c r="I1502" s="1458">
        <v>0</v>
      </c>
      <c r="J1502" s="1473">
        <v>0</v>
      </c>
      <c r="K1502" s="1462"/>
      <c r="L1502" s="1456">
        <v>13135050313</v>
      </c>
      <c r="M1502" s="1457">
        <v>0</v>
      </c>
      <c r="N1502" s="1457">
        <v>0</v>
      </c>
      <c r="O1502" s="1458">
        <v>0</v>
      </c>
    </row>
    <row r="1503" spans="3:15" ht="13.5">
      <c r="C1503" s="1463" t="s">
        <v>5295</v>
      </c>
      <c r="D1503" s="1460">
        <v>1</v>
      </c>
      <c r="E1503" s="1460">
        <v>0</v>
      </c>
      <c r="F1503" s="1461">
        <v>1</v>
      </c>
      <c r="G1503" s="1472" t="s">
        <v>5295</v>
      </c>
      <c r="H1503" s="1458">
        <v>1</v>
      </c>
      <c r="I1503" s="1458">
        <v>0</v>
      </c>
      <c r="J1503" s="1473">
        <v>1</v>
      </c>
      <c r="K1503" s="1462"/>
      <c r="L1503" s="1456">
        <v>13135050314</v>
      </c>
      <c r="M1503" s="1457">
        <v>1</v>
      </c>
      <c r="N1503" s="1457">
        <v>0</v>
      </c>
      <c r="O1503" s="1458">
        <v>1</v>
      </c>
    </row>
    <row r="1504" spans="3:15" ht="13.5">
      <c r="C1504" s="1463" t="s">
        <v>5296</v>
      </c>
      <c r="D1504" s="1460">
        <v>1</v>
      </c>
      <c r="E1504" s="1460">
        <v>0</v>
      </c>
      <c r="F1504" s="1461">
        <v>1</v>
      </c>
      <c r="G1504" s="1472" t="s">
        <v>5296</v>
      </c>
      <c r="H1504" s="1458">
        <v>1</v>
      </c>
      <c r="I1504" s="1458">
        <v>0</v>
      </c>
      <c r="J1504" s="1473">
        <v>1</v>
      </c>
      <c r="K1504" s="1462"/>
      <c r="L1504" s="1456">
        <v>13135050315</v>
      </c>
      <c r="M1504" s="1457">
        <v>1</v>
      </c>
      <c r="N1504" s="1457">
        <v>0</v>
      </c>
      <c r="O1504" s="1458">
        <v>1</v>
      </c>
    </row>
    <row r="1505" spans="3:15" ht="13.5">
      <c r="C1505" s="1463" t="s">
        <v>5297</v>
      </c>
      <c r="D1505" s="1460">
        <v>0</v>
      </c>
      <c r="E1505" s="1460">
        <v>0</v>
      </c>
      <c r="F1505" s="1461">
        <v>0</v>
      </c>
      <c r="G1505" s="1472" t="s">
        <v>5297</v>
      </c>
      <c r="H1505" s="1458">
        <v>1</v>
      </c>
      <c r="I1505" s="1458" t="s">
        <v>3911</v>
      </c>
      <c r="J1505" s="1473">
        <v>1</v>
      </c>
      <c r="K1505" s="1462"/>
      <c r="L1505" s="1456">
        <v>13135050317</v>
      </c>
      <c r="M1505" s="1457">
        <v>1</v>
      </c>
      <c r="N1505" s="1457">
        <v>0</v>
      </c>
      <c r="O1505" s="1458">
        <v>1</v>
      </c>
    </row>
    <row r="1506" spans="3:15" ht="13.5">
      <c r="C1506" s="1463" t="s">
        <v>5298</v>
      </c>
      <c r="D1506" s="1460">
        <v>1</v>
      </c>
      <c r="E1506" s="1460">
        <v>0</v>
      </c>
      <c r="F1506" s="1461">
        <v>1</v>
      </c>
      <c r="G1506" s="1472" t="s">
        <v>5298</v>
      </c>
      <c r="H1506" s="1458">
        <v>1</v>
      </c>
      <c r="I1506" s="1458" t="s">
        <v>3911</v>
      </c>
      <c r="J1506" s="1473">
        <v>1</v>
      </c>
      <c r="K1506" s="1462"/>
      <c r="L1506" s="1456">
        <v>13135050318</v>
      </c>
      <c r="M1506" s="1457">
        <v>1</v>
      </c>
      <c r="N1506" s="1457">
        <v>0</v>
      </c>
      <c r="O1506" s="1458">
        <v>1</v>
      </c>
    </row>
    <row r="1507" spans="3:15" ht="13.5">
      <c r="C1507" s="1463" t="s">
        <v>5299</v>
      </c>
      <c r="D1507" s="1460">
        <v>0</v>
      </c>
      <c r="E1507" s="1460">
        <v>0</v>
      </c>
      <c r="F1507" s="1461">
        <v>0</v>
      </c>
      <c r="G1507" s="1472" t="s">
        <v>5299</v>
      </c>
      <c r="H1507" s="1458">
        <v>0</v>
      </c>
      <c r="I1507" s="1458" t="s">
        <v>3911</v>
      </c>
      <c r="J1507" s="1473">
        <v>0</v>
      </c>
      <c r="K1507" s="1462"/>
      <c r="L1507" s="1456">
        <v>13135050319</v>
      </c>
      <c r="M1507" s="1457">
        <v>0</v>
      </c>
      <c r="N1507" s="1457">
        <v>0</v>
      </c>
      <c r="O1507" s="1458">
        <v>0</v>
      </c>
    </row>
    <row r="1508" spans="3:15" ht="13.5">
      <c r="C1508" s="1463" t="s">
        <v>5300</v>
      </c>
      <c r="D1508" s="1460">
        <v>0</v>
      </c>
      <c r="E1508" s="1460">
        <v>0</v>
      </c>
      <c r="F1508" s="1461">
        <v>0</v>
      </c>
      <c r="G1508" s="1472" t="s">
        <v>5300</v>
      </c>
      <c r="H1508" s="1458">
        <v>0</v>
      </c>
      <c r="I1508" s="1458" t="s">
        <v>3911</v>
      </c>
      <c r="J1508" s="1473">
        <v>0</v>
      </c>
      <c r="K1508" s="1462"/>
      <c r="L1508" s="1456">
        <v>13135050320</v>
      </c>
      <c r="M1508" s="1457">
        <v>0</v>
      </c>
      <c r="N1508" s="1457">
        <v>0</v>
      </c>
      <c r="O1508" s="1458">
        <v>0</v>
      </c>
    </row>
    <row r="1509" spans="3:15" ht="13.5">
      <c r="C1509" s="1463" t="s">
        <v>5301</v>
      </c>
      <c r="D1509" s="1460">
        <v>1</v>
      </c>
      <c r="E1509" s="1460">
        <v>1</v>
      </c>
      <c r="F1509" s="1461">
        <v>2</v>
      </c>
      <c r="G1509" s="1472" t="s">
        <v>5301</v>
      </c>
      <c r="H1509" s="1458">
        <v>1</v>
      </c>
      <c r="I1509" s="1458">
        <v>1</v>
      </c>
      <c r="J1509" s="1473">
        <v>2</v>
      </c>
      <c r="K1509" s="1462"/>
      <c r="L1509" s="1456">
        <v>13135050321</v>
      </c>
      <c r="M1509" s="1457">
        <v>1</v>
      </c>
      <c r="N1509" s="1457">
        <v>1</v>
      </c>
      <c r="O1509" s="1458">
        <v>2</v>
      </c>
    </row>
    <row r="1510" spans="3:15" ht="13.5">
      <c r="C1510" s="1463" t="s">
        <v>5302</v>
      </c>
      <c r="D1510" s="1460">
        <v>1</v>
      </c>
      <c r="E1510" s="1460">
        <v>1</v>
      </c>
      <c r="F1510" s="1461">
        <v>2</v>
      </c>
      <c r="G1510" s="1472" t="s">
        <v>5302</v>
      </c>
      <c r="H1510" s="1458">
        <v>1</v>
      </c>
      <c r="I1510" s="1458">
        <v>1</v>
      </c>
      <c r="J1510" s="1473">
        <v>2</v>
      </c>
      <c r="K1510" s="1462"/>
      <c r="L1510" s="1456">
        <v>13135050322</v>
      </c>
      <c r="M1510" s="1457">
        <v>1</v>
      </c>
      <c r="N1510" s="1457">
        <v>1</v>
      </c>
      <c r="O1510" s="1458">
        <v>2</v>
      </c>
    </row>
    <row r="1511" spans="3:15" ht="13.5">
      <c r="C1511" s="1463" t="s">
        <v>5303</v>
      </c>
      <c r="D1511" s="1460">
        <v>0</v>
      </c>
      <c r="E1511" s="1460">
        <v>0</v>
      </c>
      <c r="F1511" s="1461">
        <v>0</v>
      </c>
      <c r="G1511" s="1472" t="s">
        <v>5303</v>
      </c>
      <c r="H1511" s="1458">
        <v>1</v>
      </c>
      <c r="I1511" s="1458">
        <v>0</v>
      </c>
      <c r="J1511" s="1473">
        <v>1</v>
      </c>
      <c r="K1511" s="1462"/>
      <c r="L1511" s="1456">
        <v>13135050410</v>
      </c>
      <c r="M1511" s="1457">
        <v>1</v>
      </c>
      <c r="N1511" s="1457">
        <v>0</v>
      </c>
      <c r="O1511" s="1458">
        <v>1</v>
      </c>
    </row>
    <row r="1512" spans="3:15" ht="13.5">
      <c r="C1512" s="1463" t="s">
        <v>5304</v>
      </c>
      <c r="D1512" s="1460">
        <v>1</v>
      </c>
      <c r="E1512" s="1460">
        <v>1</v>
      </c>
      <c r="F1512" s="1461">
        <v>2</v>
      </c>
      <c r="G1512" s="1472" t="s">
        <v>5304</v>
      </c>
      <c r="H1512" s="1458">
        <v>1</v>
      </c>
      <c r="I1512" s="1458">
        <v>1</v>
      </c>
      <c r="J1512" s="1473">
        <v>2</v>
      </c>
      <c r="K1512" s="1462"/>
      <c r="L1512" s="1456">
        <v>13135050415</v>
      </c>
      <c r="M1512" s="1457">
        <v>1</v>
      </c>
      <c r="N1512" s="1457">
        <v>1</v>
      </c>
      <c r="O1512" s="1458">
        <v>2</v>
      </c>
    </row>
    <row r="1513" spans="3:15" ht="13.5">
      <c r="C1513" s="1463" t="s">
        <v>5305</v>
      </c>
      <c r="D1513" s="1460">
        <v>0</v>
      </c>
      <c r="E1513" s="1460">
        <v>0</v>
      </c>
      <c r="F1513" s="1461">
        <v>0</v>
      </c>
      <c r="G1513" s="1472" t="s">
        <v>5305</v>
      </c>
      <c r="H1513" s="1458">
        <v>0</v>
      </c>
      <c r="I1513" s="1458">
        <v>0</v>
      </c>
      <c r="J1513" s="1473">
        <v>0</v>
      </c>
      <c r="K1513" s="1462"/>
      <c r="L1513" s="1456">
        <v>13135050416</v>
      </c>
      <c r="M1513" s="1457">
        <v>0</v>
      </c>
      <c r="N1513" s="1457">
        <v>0</v>
      </c>
      <c r="O1513" s="1458">
        <v>0</v>
      </c>
    </row>
    <row r="1514" spans="3:15" ht="13.5">
      <c r="C1514" s="1463" t="s">
        <v>5306</v>
      </c>
      <c r="D1514" s="1460">
        <v>0</v>
      </c>
      <c r="E1514" s="1460">
        <v>0</v>
      </c>
      <c r="F1514" s="1461">
        <v>0</v>
      </c>
      <c r="G1514" s="1472" t="s">
        <v>5306</v>
      </c>
      <c r="H1514" s="1458">
        <v>0</v>
      </c>
      <c r="I1514" s="1458" t="s">
        <v>3911</v>
      </c>
      <c r="J1514" s="1473">
        <v>0</v>
      </c>
      <c r="K1514" s="1462"/>
      <c r="L1514" s="1456">
        <v>13135050417</v>
      </c>
      <c r="M1514" s="1457">
        <v>0</v>
      </c>
      <c r="N1514" s="1457">
        <v>0</v>
      </c>
      <c r="O1514" s="1458">
        <v>0</v>
      </c>
    </row>
    <row r="1515" spans="3:15" ht="13.5">
      <c r="C1515" s="1463" t="s">
        <v>5307</v>
      </c>
      <c r="D1515" s="1460">
        <v>0</v>
      </c>
      <c r="E1515" s="1460">
        <v>0</v>
      </c>
      <c r="F1515" s="1461">
        <v>0</v>
      </c>
      <c r="G1515" s="1472" t="s">
        <v>5307</v>
      </c>
      <c r="H1515" s="1458">
        <v>0</v>
      </c>
      <c r="I1515" s="1458">
        <v>0</v>
      </c>
      <c r="J1515" s="1473">
        <v>0</v>
      </c>
      <c r="K1515" s="1462"/>
      <c r="L1515" s="1456">
        <v>13135050418</v>
      </c>
      <c r="M1515" s="1457">
        <v>0</v>
      </c>
      <c r="N1515" s="1457">
        <v>0</v>
      </c>
      <c r="O1515" s="1458">
        <v>0</v>
      </c>
    </row>
    <row r="1516" spans="3:15" ht="13.5">
      <c r="C1516" s="1463" t="s">
        <v>5308</v>
      </c>
      <c r="D1516" s="1460">
        <v>0</v>
      </c>
      <c r="E1516" s="1460">
        <v>0</v>
      </c>
      <c r="F1516" s="1461">
        <v>0</v>
      </c>
      <c r="G1516" s="1472" t="s">
        <v>5308</v>
      </c>
      <c r="H1516" s="1458">
        <v>0</v>
      </c>
      <c r="I1516" s="1458" t="s">
        <v>3911</v>
      </c>
      <c r="J1516" s="1473">
        <v>0</v>
      </c>
      <c r="K1516" s="1462"/>
      <c r="L1516" s="1456">
        <v>13135050419</v>
      </c>
      <c r="M1516" s="1457">
        <v>0</v>
      </c>
      <c r="N1516" s="1457">
        <v>0</v>
      </c>
      <c r="O1516" s="1458">
        <v>0</v>
      </c>
    </row>
    <row r="1517" spans="3:15" ht="13.5">
      <c r="C1517" s="1463" t="s">
        <v>5309</v>
      </c>
      <c r="D1517" s="1460">
        <v>0</v>
      </c>
      <c r="E1517" s="1460">
        <v>0</v>
      </c>
      <c r="F1517" s="1461">
        <v>0</v>
      </c>
      <c r="G1517" s="1472" t="s">
        <v>5309</v>
      </c>
      <c r="H1517" s="1458">
        <v>0</v>
      </c>
      <c r="I1517" s="1458">
        <v>0</v>
      </c>
      <c r="J1517" s="1473">
        <v>0</v>
      </c>
      <c r="K1517" s="1462"/>
      <c r="L1517" s="1456">
        <v>13135050421</v>
      </c>
      <c r="M1517" s="1457">
        <v>0</v>
      </c>
      <c r="N1517" s="1457">
        <v>0</v>
      </c>
      <c r="O1517" s="1458">
        <v>0</v>
      </c>
    </row>
    <row r="1518" spans="3:15" ht="13.5">
      <c r="C1518" s="1463" t="s">
        <v>5310</v>
      </c>
      <c r="D1518" s="1460">
        <v>0</v>
      </c>
      <c r="E1518" s="1460">
        <v>0</v>
      </c>
      <c r="F1518" s="1461">
        <v>0</v>
      </c>
      <c r="G1518" s="1472" t="s">
        <v>5310</v>
      </c>
      <c r="H1518" s="1458">
        <v>0</v>
      </c>
      <c r="I1518" s="1458">
        <v>0</v>
      </c>
      <c r="J1518" s="1473">
        <v>0</v>
      </c>
      <c r="K1518" s="1462"/>
      <c r="L1518" s="1456">
        <v>13135050422</v>
      </c>
      <c r="M1518" s="1457">
        <v>0</v>
      </c>
      <c r="N1518" s="1457">
        <v>0</v>
      </c>
      <c r="O1518" s="1458">
        <v>0</v>
      </c>
    </row>
    <row r="1519" spans="3:15" ht="13.5">
      <c r="C1519" s="1463" t="s">
        <v>5311</v>
      </c>
      <c r="D1519" s="1460">
        <v>0</v>
      </c>
      <c r="E1519" s="1460">
        <v>0</v>
      </c>
      <c r="F1519" s="1461">
        <v>0</v>
      </c>
      <c r="G1519" s="1472" t="s">
        <v>5311</v>
      </c>
      <c r="H1519" s="1458">
        <v>0</v>
      </c>
      <c r="I1519" s="1458" t="s">
        <v>3911</v>
      </c>
      <c r="J1519" s="1473">
        <v>0</v>
      </c>
      <c r="K1519" s="1462"/>
      <c r="L1519" s="1456">
        <v>13135050423</v>
      </c>
      <c r="M1519" s="1457">
        <v>0</v>
      </c>
      <c r="N1519" s="1457">
        <v>0</v>
      </c>
      <c r="O1519" s="1458">
        <v>0</v>
      </c>
    </row>
    <row r="1520" spans="3:15" ht="13.5">
      <c r="C1520" s="1463" t="s">
        <v>5312</v>
      </c>
      <c r="D1520" s="1460">
        <v>0</v>
      </c>
      <c r="E1520" s="1460">
        <v>0</v>
      </c>
      <c r="F1520" s="1461">
        <v>0</v>
      </c>
      <c r="G1520" s="1472" t="s">
        <v>5312</v>
      </c>
      <c r="H1520" s="1458">
        <v>0</v>
      </c>
      <c r="I1520" s="1458" t="s">
        <v>3911</v>
      </c>
      <c r="J1520" s="1473">
        <v>0</v>
      </c>
      <c r="K1520" s="1462"/>
      <c r="L1520" s="1456">
        <v>13135050424</v>
      </c>
      <c r="M1520" s="1457">
        <v>0</v>
      </c>
      <c r="N1520" s="1457">
        <v>0</v>
      </c>
      <c r="O1520" s="1458">
        <v>0</v>
      </c>
    </row>
    <row r="1521" spans="3:15" ht="13.5">
      <c r="C1521" s="1463" t="s">
        <v>5313</v>
      </c>
      <c r="D1521" s="1460">
        <v>1</v>
      </c>
      <c r="E1521" s="1460">
        <v>1</v>
      </c>
      <c r="F1521" s="1461">
        <v>2</v>
      </c>
      <c r="G1521" s="1472" t="s">
        <v>5313</v>
      </c>
      <c r="H1521" s="1458">
        <v>1</v>
      </c>
      <c r="I1521" s="1458">
        <v>1</v>
      </c>
      <c r="J1521" s="1473">
        <v>2</v>
      </c>
      <c r="K1521" s="1462"/>
      <c r="L1521" s="1456">
        <v>13135050425</v>
      </c>
      <c r="M1521" s="1457">
        <v>1</v>
      </c>
      <c r="N1521" s="1457">
        <v>1</v>
      </c>
      <c r="O1521" s="1458">
        <v>2</v>
      </c>
    </row>
    <row r="1522" spans="3:15" ht="13.5">
      <c r="C1522" s="1463" t="s">
        <v>5314</v>
      </c>
      <c r="D1522" s="1460">
        <v>1</v>
      </c>
      <c r="E1522" s="1460">
        <v>1</v>
      </c>
      <c r="F1522" s="1461">
        <v>2</v>
      </c>
      <c r="G1522" s="1472" t="s">
        <v>5314</v>
      </c>
      <c r="H1522" s="1458">
        <v>1</v>
      </c>
      <c r="I1522" s="1458">
        <v>1</v>
      </c>
      <c r="J1522" s="1473">
        <v>2</v>
      </c>
      <c r="K1522" s="1462"/>
      <c r="L1522" s="1456">
        <v>13135050426</v>
      </c>
      <c r="M1522" s="1457">
        <v>1</v>
      </c>
      <c r="N1522" s="1457">
        <v>1</v>
      </c>
      <c r="O1522" s="1458">
        <v>2</v>
      </c>
    </row>
    <row r="1523" spans="3:15" ht="13.5">
      <c r="C1523" s="1463" t="s">
        <v>5315</v>
      </c>
      <c r="D1523" s="1460">
        <v>1</v>
      </c>
      <c r="E1523" s="1460">
        <v>1</v>
      </c>
      <c r="F1523" s="1461">
        <v>2</v>
      </c>
      <c r="G1523" s="1472" t="s">
        <v>5315</v>
      </c>
      <c r="H1523" s="1458">
        <v>1</v>
      </c>
      <c r="I1523" s="1458">
        <v>1</v>
      </c>
      <c r="J1523" s="1473">
        <v>2</v>
      </c>
      <c r="K1523" s="1462"/>
      <c r="L1523" s="1456">
        <v>13135050427</v>
      </c>
      <c r="M1523" s="1457">
        <v>1</v>
      </c>
      <c r="N1523" s="1457">
        <v>1</v>
      </c>
      <c r="O1523" s="1458">
        <v>2</v>
      </c>
    </row>
    <row r="1524" spans="3:15" ht="13.5">
      <c r="C1524" s="1463" t="s">
        <v>5316</v>
      </c>
      <c r="D1524" s="1460">
        <v>1</v>
      </c>
      <c r="E1524" s="1460">
        <v>1</v>
      </c>
      <c r="F1524" s="1461">
        <v>2</v>
      </c>
      <c r="G1524" s="1472" t="s">
        <v>5316</v>
      </c>
      <c r="H1524" s="1458">
        <v>1</v>
      </c>
      <c r="I1524" s="1458">
        <v>1</v>
      </c>
      <c r="J1524" s="1473">
        <v>2</v>
      </c>
      <c r="K1524" s="1462"/>
      <c r="L1524" s="1456">
        <v>13135050428</v>
      </c>
      <c r="M1524" s="1457">
        <v>1</v>
      </c>
      <c r="N1524" s="1457">
        <v>1</v>
      </c>
      <c r="O1524" s="1458">
        <v>2</v>
      </c>
    </row>
    <row r="1525" spans="3:15" ht="13.5">
      <c r="C1525" s="1463" t="s">
        <v>5317</v>
      </c>
      <c r="D1525" s="1460">
        <v>1</v>
      </c>
      <c r="E1525" s="1460">
        <v>1</v>
      </c>
      <c r="F1525" s="1461">
        <v>2</v>
      </c>
      <c r="G1525" s="1472" t="s">
        <v>5317</v>
      </c>
      <c r="H1525" s="1458">
        <v>1</v>
      </c>
      <c r="I1525" s="1458">
        <v>1</v>
      </c>
      <c r="J1525" s="1473">
        <v>2</v>
      </c>
      <c r="K1525" s="1462"/>
      <c r="L1525" s="1456">
        <v>13135050429</v>
      </c>
      <c r="M1525" s="1457">
        <v>1</v>
      </c>
      <c r="N1525" s="1457">
        <v>1</v>
      </c>
      <c r="O1525" s="1458">
        <v>2</v>
      </c>
    </row>
    <row r="1526" spans="3:15" ht="13.5">
      <c r="C1526" s="1463" t="s">
        <v>5318</v>
      </c>
      <c r="D1526" s="1460">
        <v>1</v>
      </c>
      <c r="E1526" s="1460">
        <v>1</v>
      </c>
      <c r="F1526" s="1461">
        <v>2</v>
      </c>
      <c r="G1526" s="1472" t="s">
        <v>5318</v>
      </c>
      <c r="H1526" s="1458">
        <v>1</v>
      </c>
      <c r="I1526" s="1458">
        <v>0</v>
      </c>
      <c r="J1526" s="1473">
        <v>1</v>
      </c>
      <c r="K1526" s="1462"/>
      <c r="L1526" s="1456">
        <v>13135050430</v>
      </c>
      <c r="M1526" s="1457">
        <v>1</v>
      </c>
      <c r="N1526" s="1457">
        <v>1</v>
      </c>
      <c r="O1526" s="1458">
        <v>2</v>
      </c>
    </row>
    <row r="1527" spans="3:15" ht="13.5">
      <c r="C1527" s="1463" t="s">
        <v>5319</v>
      </c>
      <c r="D1527" s="1460">
        <v>0</v>
      </c>
      <c r="E1527" s="1460">
        <v>0</v>
      </c>
      <c r="F1527" s="1461">
        <v>0</v>
      </c>
      <c r="G1527" s="1472" t="s">
        <v>5319</v>
      </c>
      <c r="H1527" s="1458">
        <v>0</v>
      </c>
      <c r="I1527" s="1458">
        <v>0</v>
      </c>
      <c r="J1527" s="1473">
        <v>0</v>
      </c>
      <c r="K1527" s="1462"/>
      <c r="L1527" s="1456">
        <v>13135050431</v>
      </c>
      <c r="M1527" s="1457">
        <v>0</v>
      </c>
      <c r="N1527" s="1457">
        <v>0</v>
      </c>
      <c r="O1527" s="1458">
        <v>0</v>
      </c>
    </row>
    <row r="1528" spans="3:15" ht="13.5">
      <c r="C1528" s="1463" t="s">
        <v>5320</v>
      </c>
      <c r="D1528" s="1460">
        <v>1</v>
      </c>
      <c r="E1528" s="1460">
        <v>1</v>
      </c>
      <c r="F1528" s="1461">
        <v>2</v>
      </c>
      <c r="G1528" s="1472" t="s">
        <v>5320</v>
      </c>
      <c r="H1528" s="1458">
        <v>1</v>
      </c>
      <c r="I1528" s="1458" t="s">
        <v>3911</v>
      </c>
      <c r="J1528" s="1473">
        <v>1</v>
      </c>
      <c r="K1528" s="1462"/>
      <c r="L1528" s="1456">
        <v>13135050432</v>
      </c>
      <c r="M1528" s="1457">
        <v>1</v>
      </c>
      <c r="N1528" s="1457">
        <v>1</v>
      </c>
      <c r="O1528" s="1458">
        <v>2</v>
      </c>
    </row>
    <row r="1529" spans="3:15" ht="13.5">
      <c r="C1529" s="1463" t="s">
        <v>5321</v>
      </c>
      <c r="D1529" s="1460">
        <v>0</v>
      </c>
      <c r="E1529" s="1460">
        <v>0</v>
      </c>
      <c r="F1529" s="1461">
        <v>0</v>
      </c>
      <c r="G1529" s="1472" t="s">
        <v>5321</v>
      </c>
      <c r="H1529" s="1458">
        <v>1</v>
      </c>
      <c r="I1529" s="1458">
        <v>0</v>
      </c>
      <c r="J1529" s="1473">
        <v>1</v>
      </c>
      <c r="K1529" s="1462"/>
      <c r="L1529" s="1456">
        <v>13135050433</v>
      </c>
      <c r="M1529" s="1457">
        <v>1</v>
      </c>
      <c r="N1529" s="1457">
        <v>0</v>
      </c>
      <c r="O1529" s="1458">
        <v>1</v>
      </c>
    </row>
    <row r="1530" spans="3:15" ht="13.5">
      <c r="C1530" s="1463" t="s">
        <v>5322</v>
      </c>
      <c r="D1530" s="1460">
        <v>0</v>
      </c>
      <c r="E1530" s="1460">
        <v>0</v>
      </c>
      <c r="F1530" s="1461">
        <v>0</v>
      </c>
      <c r="G1530" s="1472" t="s">
        <v>5322</v>
      </c>
      <c r="H1530" s="1458">
        <v>1</v>
      </c>
      <c r="I1530" s="1458">
        <v>0</v>
      </c>
      <c r="J1530" s="1473">
        <v>1</v>
      </c>
      <c r="K1530" s="1462"/>
      <c r="L1530" s="1456">
        <v>13135050434</v>
      </c>
      <c r="M1530" s="1457">
        <v>1</v>
      </c>
      <c r="N1530" s="1457">
        <v>0</v>
      </c>
      <c r="O1530" s="1458">
        <v>1</v>
      </c>
    </row>
    <row r="1531" spans="3:15" ht="13.5">
      <c r="C1531" s="1463" t="s">
        <v>5323</v>
      </c>
      <c r="D1531" s="1460">
        <v>1</v>
      </c>
      <c r="E1531" s="1460">
        <v>0</v>
      </c>
      <c r="F1531" s="1461">
        <v>1</v>
      </c>
      <c r="G1531" s="1472" t="s">
        <v>5323</v>
      </c>
      <c r="H1531" s="1458">
        <v>0</v>
      </c>
      <c r="I1531" s="1458">
        <v>0</v>
      </c>
      <c r="J1531" s="1473">
        <v>0</v>
      </c>
      <c r="K1531" s="1462"/>
      <c r="L1531" s="1456">
        <v>13135050435</v>
      </c>
      <c r="M1531" s="1457">
        <v>1</v>
      </c>
      <c r="N1531" s="1457">
        <v>0</v>
      </c>
      <c r="O1531" s="1458">
        <v>1</v>
      </c>
    </row>
    <row r="1532" spans="3:15" ht="13.5">
      <c r="C1532" s="1463" t="s">
        <v>5324</v>
      </c>
      <c r="D1532" s="1460">
        <v>0</v>
      </c>
      <c r="E1532" s="1460">
        <v>0</v>
      </c>
      <c r="F1532" s="1461">
        <v>0</v>
      </c>
      <c r="G1532" s="1472" t="s">
        <v>5324</v>
      </c>
      <c r="H1532" s="1458">
        <v>0</v>
      </c>
      <c r="I1532" s="1458">
        <v>0</v>
      </c>
      <c r="J1532" s="1473">
        <v>0</v>
      </c>
      <c r="K1532" s="1462"/>
      <c r="L1532" s="1456">
        <v>13135050436</v>
      </c>
      <c r="M1532" s="1457">
        <v>0</v>
      </c>
      <c r="N1532" s="1457">
        <v>0</v>
      </c>
      <c r="O1532" s="1458">
        <v>0</v>
      </c>
    </row>
    <row r="1533" spans="3:15" ht="13.5">
      <c r="C1533" s="1463" t="s">
        <v>5325</v>
      </c>
      <c r="D1533" s="1460">
        <v>1</v>
      </c>
      <c r="E1533" s="1460">
        <v>0</v>
      </c>
      <c r="F1533" s="1461">
        <v>1</v>
      </c>
      <c r="G1533" s="1472" t="s">
        <v>5325</v>
      </c>
      <c r="H1533" s="1458">
        <v>0</v>
      </c>
      <c r="I1533" s="1458">
        <v>0</v>
      </c>
      <c r="J1533" s="1473">
        <v>0</v>
      </c>
      <c r="K1533" s="1462"/>
      <c r="L1533" s="1456">
        <v>13135050511</v>
      </c>
      <c r="M1533" s="1457">
        <v>1</v>
      </c>
      <c r="N1533" s="1457">
        <v>0</v>
      </c>
      <c r="O1533" s="1458">
        <v>1</v>
      </c>
    </row>
    <row r="1534" spans="3:15" ht="13.5">
      <c r="C1534" s="1463" t="s">
        <v>5326</v>
      </c>
      <c r="D1534" s="1460">
        <v>0</v>
      </c>
      <c r="E1534" s="1460">
        <v>0</v>
      </c>
      <c r="F1534" s="1461">
        <v>0</v>
      </c>
      <c r="G1534" s="1472" t="s">
        <v>5326</v>
      </c>
      <c r="H1534" s="1458">
        <v>0</v>
      </c>
      <c r="I1534" s="1458">
        <v>0</v>
      </c>
      <c r="J1534" s="1473">
        <v>0</v>
      </c>
      <c r="K1534" s="1462"/>
      <c r="L1534" s="1456">
        <v>13135050520</v>
      </c>
      <c r="M1534" s="1457">
        <v>0</v>
      </c>
      <c r="N1534" s="1457">
        <v>0</v>
      </c>
      <c r="O1534" s="1458">
        <v>0</v>
      </c>
    </row>
    <row r="1535" spans="3:15" ht="13.5">
      <c r="C1535" s="1463" t="s">
        <v>5327</v>
      </c>
      <c r="D1535" s="1460">
        <v>0</v>
      </c>
      <c r="E1535" s="1460">
        <v>0</v>
      </c>
      <c r="F1535" s="1461">
        <v>0</v>
      </c>
      <c r="G1535" s="1472" t="s">
        <v>5327</v>
      </c>
      <c r="H1535" s="1458">
        <v>0</v>
      </c>
      <c r="I1535" s="1458">
        <v>0</v>
      </c>
      <c r="J1535" s="1473">
        <v>0</v>
      </c>
      <c r="K1535" s="1462"/>
      <c r="L1535" s="1456">
        <v>13135050521</v>
      </c>
      <c r="M1535" s="1457">
        <v>0</v>
      </c>
      <c r="N1535" s="1457">
        <v>0</v>
      </c>
      <c r="O1535" s="1458">
        <v>0</v>
      </c>
    </row>
    <row r="1536" spans="3:15" ht="13.5">
      <c r="C1536" s="1463" t="s">
        <v>5328</v>
      </c>
      <c r="D1536" s="1460">
        <v>0</v>
      </c>
      <c r="E1536" s="1460">
        <v>0</v>
      </c>
      <c r="F1536" s="1461">
        <v>0</v>
      </c>
      <c r="G1536" s="1472" t="s">
        <v>5328</v>
      </c>
      <c r="H1536" s="1458">
        <v>0</v>
      </c>
      <c r="I1536" s="1458">
        <v>0</v>
      </c>
      <c r="J1536" s="1473">
        <v>0</v>
      </c>
      <c r="K1536" s="1462"/>
      <c r="L1536" s="1456">
        <v>13135050522</v>
      </c>
      <c r="M1536" s="1457">
        <v>0</v>
      </c>
      <c r="N1536" s="1457">
        <v>0</v>
      </c>
      <c r="O1536" s="1458">
        <v>0</v>
      </c>
    </row>
    <row r="1537" spans="3:15" ht="13.5">
      <c r="C1537" s="1463" t="s">
        <v>5329</v>
      </c>
      <c r="D1537" s="1460">
        <v>1</v>
      </c>
      <c r="E1537" s="1460">
        <v>1</v>
      </c>
      <c r="F1537" s="1461">
        <v>2</v>
      </c>
      <c r="G1537" s="1472" t="s">
        <v>5329</v>
      </c>
      <c r="H1537" s="1458">
        <v>0</v>
      </c>
      <c r="I1537" s="1458" t="s">
        <v>3911</v>
      </c>
      <c r="J1537" s="1473">
        <v>0</v>
      </c>
      <c r="K1537" s="1462"/>
      <c r="L1537" s="1456">
        <v>13135050523</v>
      </c>
      <c r="M1537" s="1457">
        <v>1</v>
      </c>
      <c r="N1537" s="1457">
        <v>1</v>
      </c>
      <c r="O1537" s="1458">
        <v>2</v>
      </c>
    </row>
    <row r="1538" spans="3:15" ht="13.5">
      <c r="C1538" s="1463" t="s">
        <v>5330</v>
      </c>
      <c r="D1538" s="1460">
        <v>0</v>
      </c>
      <c r="E1538" s="1460">
        <v>0</v>
      </c>
      <c r="F1538" s="1461">
        <v>0</v>
      </c>
      <c r="G1538" s="1472" t="s">
        <v>5330</v>
      </c>
      <c r="H1538" s="1458">
        <v>0</v>
      </c>
      <c r="I1538" s="1458">
        <v>0</v>
      </c>
      <c r="J1538" s="1473">
        <v>0</v>
      </c>
      <c r="K1538" s="1462"/>
      <c r="L1538" s="1456">
        <v>13135050524</v>
      </c>
      <c r="M1538" s="1457">
        <v>0</v>
      </c>
      <c r="N1538" s="1457">
        <v>0</v>
      </c>
      <c r="O1538" s="1458">
        <v>0</v>
      </c>
    </row>
    <row r="1539" spans="3:15" ht="13.5">
      <c r="C1539" s="1463" t="s">
        <v>5331</v>
      </c>
      <c r="D1539" s="1460">
        <v>1</v>
      </c>
      <c r="E1539" s="1460">
        <v>1</v>
      </c>
      <c r="F1539" s="1461">
        <v>2</v>
      </c>
      <c r="G1539" s="1472" t="s">
        <v>5331</v>
      </c>
      <c r="H1539" s="1458">
        <v>1</v>
      </c>
      <c r="I1539" s="1458">
        <v>1</v>
      </c>
      <c r="J1539" s="1473">
        <v>2</v>
      </c>
      <c r="K1539" s="1462"/>
      <c r="L1539" s="1456">
        <v>13135050525</v>
      </c>
      <c r="M1539" s="1457">
        <v>1</v>
      </c>
      <c r="N1539" s="1457">
        <v>1</v>
      </c>
      <c r="O1539" s="1458">
        <v>2</v>
      </c>
    </row>
    <row r="1540" spans="3:15" ht="13.5">
      <c r="C1540" s="1463" t="s">
        <v>5332</v>
      </c>
      <c r="D1540" s="1460">
        <v>0</v>
      </c>
      <c r="E1540" s="1460">
        <v>0</v>
      </c>
      <c r="F1540" s="1461">
        <v>0</v>
      </c>
      <c r="G1540" s="1472" t="s">
        <v>5332</v>
      </c>
      <c r="H1540" s="1458">
        <v>1</v>
      </c>
      <c r="I1540" s="1458">
        <v>0</v>
      </c>
      <c r="J1540" s="1473">
        <v>1</v>
      </c>
      <c r="K1540" s="1462"/>
      <c r="L1540" s="1456">
        <v>13135050526</v>
      </c>
      <c r="M1540" s="1457">
        <v>1</v>
      </c>
      <c r="N1540" s="1457">
        <v>0</v>
      </c>
      <c r="O1540" s="1458">
        <v>1</v>
      </c>
    </row>
    <row r="1541" spans="3:15" ht="13.5">
      <c r="C1541" s="1463" t="s">
        <v>5333</v>
      </c>
      <c r="D1541" s="1460">
        <v>1</v>
      </c>
      <c r="E1541" s="1460">
        <v>1</v>
      </c>
      <c r="F1541" s="1461">
        <v>2</v>
      </c>
      <c r="G1541" s="1472" t="s">
        <v>5333</v>
      </c>
      <c r="H1541" s="1458">
        <v>1</v>
      </c>
      <c r="I1541" s="1458">
        <v>1</v>
      </c>
      <c r="J1541" s="1473">
        <v>2</v>
      </c>
      <c r="K1541" s="1462"/>
      <c r="L1541" s="1456">
        <v>13135050527</v>
      </c>
      <c r="M1541" s="1457">
        <v>1</v>
      </c>
      <c r="N1541" s="1457">
        <v>1</v>
      </c>
      <c r="O1541" s="1458">
        <v>2</v>
      </c>
    </row>
    <row r="1542" spans="3:15" ht="13.5">
      <c r="C1542" s="1463" t="s">
        <v>5334</v>
      </c>
      <c r="D1542" s="1460">
        <v>1</v>
      </c>
      <c r="E1542" s="1460">
        <v>1</v>
      </c>
      <c r="F1542" s="1461">
        <v>2</v>
      </c>
      <c r="G1542" s="1472" t="s">
        <v>5334</v>
      </c>
      <c r="H1542" s="1458">
        <v>1</v>
      </c>
      <c r="I1542" s="1458">
        <v>1</v>
      </c>
      <c r="J1542" s="1473">
        <v>2</v>
      </c>
      <c r="K1542" s="1462"/>
      <c r="L1542" s="1456">
        <v>13135050528</v>
      </c>
      <c r="M1542" s="1457">
        <v>1</v>
      </c>
      <c r="N1542" s="1457">
        <v>1</v>
      </c>
      <c r="O1542" s="1458">
        <v>2</v>
      </c>
    </row>
    <row r="1543" spans="3:15" ht="13.5">
      <c r="C1543" s="1463" t="s">
        <v>5335</v>
      </c>
      <c r="D1543" s="1460">
        <v>1</v>
      </c>
      <c r="E1543" s="1460">
        <v>0</v>
      </c>
      <c r="F1543" s="1461">
        <v>1</v>
      </c>
      <c r="G1543" s="1472" t="s">
        <v>5335</v>
      </c>
      <c r="H1543" s="1458">
        <v>1</v>
      </c>
      <c r="I1543" s="1458" t="s">
        <v>3911</v>
      </c>
      <c r="J1543" s="1473">
        <v>1</v>
      </c>
      <c r="K1543" s="1462"/>
      <c r="L1543" s="1456">
        <v>13135050529</v>
      </c>
      <c r="M1543" s="1457">
        <v>1</v>
      </c>
      <c r="N1543" s="1457">
        <v>0</v>
      </c>
      <c r="O1543" s="1458">
        <v>1</v>
      </c>
    </row>
    <row r="1544" spans="3:15" ht="13.5">
      <c r="C1544" s="1463" t="s">
        <v>5336</v>
      </c>
      <c r="D1544" s="1460">
        <v>1</v>
      </c>
      <c r="E1544" s="1460">
        <v>1</v>
      </c>
      <c r="F1544" s="1461">
        <v>2</v>
      </c>
      <c r="G1544" s="1472" t="s">
        <v>5336</v>
      </c>
      <c r="H1544" s="1458">
        <v>1</v>
      </c>
      <c r="I1544" s="1458">
        <v>1</v>
      </c>
      <c r="J1544" s="1473">
        <v>2</v>
      </c>
      <c r="K1544" s="1462"/>
      <c r="L1544" s="1456">
        <v>13135050530</v>
      </c>
      <c r="M1544" s="1457">
        <v>1</v>
      </c>
      <c r="N1544" s="1457">
        <v>1</v>
      </c>
      <c r="O1544" s="1458">
        <v>2</v>
      </c>
    </row>
    <row r="1545" spans="3:15" ht="13.5">
      <c r="C1545" s="1463" t="s">
        <v>5337</v>
      </c>
      <c r="D1545" s="1460">
        <v>1</v>
      </c>
      <c r="E1545" s="1460">
        <v>0</v>
      </c>
      <c r="F1545" s="1461">
        <v>1</v>
      </c>
      <c r="G1545" s="1472" t="s">
        <v>5337</v>
      </c>
      <c r="H1545" s="1458">
        <v>0</v>
      </c>
      <c r="I1545" s="1458">
        <v>0</v>
      </c>
      <c r="J1545" s="1473">
        <v>0</v>
      </c>
      <c r="K1545" s="1462"/>
      <c r="L1545" s="1456">
        <v>13135050531</v>
      </c>
      <c r="M1545" s="1457">
        <v>1</v>
      </c>
      <c r="N1545" s="1457">
        <v>0</v>
      </c>
      <c r="O1545" s="1458">
        <v>1</v>
      </c>
    </row>
    <row r="1546" spans="3:15" ht="13.5">
      <c r="C1546" s="1463" t="s">
        <v>5338</v>
      </c>
      <c r="D1546" s="1460">
        <v>1</v>
      </c>
      <c r="E1546" s="1460">
        <v>0</v>
      </c>
      <c r="F1546" s="1461">
        <v>1</v>
      </c>
      <c r="G1546" s="1472" t="s">
        <v>5338</v>
      </c>
      <c r="H1546" s="1458">
        <v>1</v>
      </c>
      <c r="I1546" s="1458">
        <v>0</v>
      </c>
      <c r="J1546" s="1473">
        <v>1</v>
      </c>
      <c r="K1546" s="1462"/>
      <c r="L1546" s="1456">
        <v>13135050532</v>
      </c>
      <c r="M1546" s="1457">
        <v>1</v>
      </c>
      <c r="N1546" s="1457">
        <v>0</v>
      </c>
      <c r="O1546" s="1458">
        <v>1</v>
      </c>
    </row>
    <row r="1547" spans="3:15" ht="13.5">
      <c r="C1547" s="1463" t="s">
        <v>5339</v>
      </c>
      <c r="D1547" s="1460">
        <v>1</v>
      </c>
      <c r="E1547" s="1460">
        <v>0</v>
      </c>
      <c r="F1547" s="1461">
        <v>1</v>
      </c>
      <c r="G1547" s="1472" t="s">
        <v>5339</v>
      </c>
      <c r="H1547" s="1458">
        <v>1</v>
      </c>
      <c r="I1547" s="1458">
        <v>0</v>
      </c>
      <c r="J1547" s="1473">
        <v>1</v>
      </c>
      <c r="K1547" s="1462"/>
      <c r="L1547" s="1456">
        <v>13135050533</v>
      </c>
      <c r="M1547" s="1457">
        <v>1</v>
      </c>
      <c r="N1547" s="1457">
        <v>0</v>
      </c>
      <c r="O1547" s="1458">
        <v>1</v>
      </c>
    </row>
    <row r="1548" spans="3:15" ht="13.5">
      <c r="C1548" s="1463" t="s">
        <v>5340</v>
      </c>
      <c r="D1548" s="1460">
        <v>1</v>
      </c>
      <c r="E1548" s="1460">
        <v>1</v>
      </c>
      <c r="F1548" s="1461">
        <v>2</v>
      </c>
      <c r="G1548" s="1472" t="s">
        <v>5340</v>
      </c>
      <c r="H1548" s="1458">
        <v>1</v>
      </c>
      <c r="I1548" s="1458" t="s">
        <v>3911</v>
      </c>
      <c r="J1548" s="1473">
        <v>1</v>
      </c>
      <c r="K1548" s="1462"/>
      <c r="L1548" s="1456">
        <v>13135050534</v>
      </c>
      <c r="M1548" s="1457">
        <v>1</v>
      </c>
      <c r="N1548" s="1457">
        <v>1</v>
      </c>
      <c r="O1548" s="1458">
        <v>2</v>
      </c>
    </row>
    <row r="1549" spans="3:15" ht="13.5">
      <c r="C1549" s="1463" t="s">
        <v>5341</v>
      </c>
      <c r="D1549" s="1460">
        <v>1</v>
      </c>
      <c r="E1549" s="1460">
        <v>0</v>
      </c>
      <c r="F1549" s="1461">
        <v>1</v>
      </c>
      <c r="G1549" s="1472" t="s">
        <v>5341</v>
      </c>
      <c r="H1549" s="1458">
        <v>1</v>
      </c>
      <c r="I1549" s="1458">
        <v>0</v>
      </c>
      <c r="J1549" s="1473">
        <v>1</v>
      </c>
      <c r="K1549" s="1462"/>
      <c r="L1549" s="1456">
        <v>13135050535</v>
      </c>
      <c r="M1549" s="1457">
        <v>1</v>
      </c>
      <c r="N1549" s="1457">
        <v>0</v>
      </c>
      <c r="O1549" s="1458">
        <v>1</v>
      </c>
    </row>
    <row r="1550" spans="3:15" ht="13.5">
      <c r="C1550" s="1463" t="s">
        <v>5342</v>
      </c>
      <c r="D1550" s="1460">
        <v>1</v>
      </c>
      <c r="E1550" s="1460">
        <v>1</v>
      </c>
      <c r="F1550" s="1461">
        <v>2</v>
      </c>
      <c r="G1550" s="1472" t="s">
        <v>5342</v>
      </c>
      <c r="H1550" s="1458">
        <v>1</v>
      </c>
      <c r="I1550" s="1458">
        <v>0</v>
      </c>
      <c r="J1550" s="1473">
        <v>1</v>
      </c>
      <c r="K1550" s="1462"/>
      <c r="L1550" s="1456">
        <v>13135050536</v>
      </c>
      <c r="M1550" s="1457">
        <v>1</v>
      </c>
      <c r="N1550" s="1457">
        <v>1</v>
      </c>
      <c r="O1550" s="1458">
        <v>2</v>
      </c>
    </row>
    <row r="1551" spans="3:15" ht="13.5">
      <c r="C1551" s="1463" t="s">
        <v>5343</v>
      </c>
      <c r="D1551" s="1460">
        <v>0</v>
      </c>
      <c r="E1551" s="1460">
        <v>0</v>
      </c>
      <c r="F1551" s="1461">
        <v>0</v>
      </c>
      <c r="G1551" s="1472" t="s">
        <v>5343</v>
      </c>
      <c r="H1551" s="1458">
        <v>0</v>
      </c>
      <c r="I1551" s="1458" t="s">
        <v>3911</v>
      </c>
      <c r="J1551" s="1473">
        <v>0</v>
      </c>
      <c r="K1551" s="1462"/>
      <c r="L1551" s="1456">
        <v>13135050537</v>
      </c>
      <c r="M1551" s="1457">
        <v>0</v>
      </c>
      <c r="N1551" s="1457">
        <v>0</v>
      </c>
      <c r="O1551" s="1458">
        <v>0</v>
      </c>
    </row>
    <row r="1552" spans="3:15" ht="13.5">
      <c r="C1552" s="1463" t="s">
        <v>5344</v>
      </c>
      <c r="D1552" s="1460">
        <v>1</v>
      </c>
      <c r="E1552" s="1460">
        <v>1</v>
      </c>
      <c r="F1552" s="1461">
        <v>2</v>
      </c>
      <c r="G1552" s="1472" t="s">
        <v>5344</v>
      </c>
      <c r="H1552" s="1458">
        <v>1</v>
      </c>
      <c r="I1552" s="1458">
        <v>0</v>
      </c>
      <c r="J1552" s="1473">
        <v>1</v>
      </c>
      <c r="K1552" s="1462"/>
      <c r="L1552" s="1456">
        <v>13135050538</v>
      </c>
      <c r="M1552" s="1457">
        <v>1</v>
      </c>
      <c r="N1552" s="1457">
        <v>1</v>
      </c>
      <c r="O1552" s="1458">
        <v>2</v>
      </c>
    </row>
    <row r="1553" spans="3:15" ht="13.5">
      <c r="C1553" s="1463" t="s">
        <v>5345</v>
      </c>
      <c r="D1553" s="1460">
        <v>0</v>
      </c>
      <c r="E1553" s="1460">
        <v>0</v>
      </c>
      <c r="F1553" s="1461">
        <v>0</v>
      </c>
      <c r="G1553" s="1472" t="s">
        <v>5345</v>
      </c>
      <c r="H1553" s="1458">
        <v>0</v>
      </c>
      <c r="I1553" s="1458">
        <v>0</v>
      </c>
      <c r="J1553" s="1473">
        <v>0</v>
      </c>
      <c r="K1553" s="1462"/>
      <c r="L1553" s="1456">
        <v>13135050539</v>
      </c>
      <c r="M1553" s="1457">
        <v>0</v>
      </c>
      <c r="N1553" s="1457">
        <v>0</v>
      </c>
      <c r="O1553" s="1458">
        <v>0</v>
      </c>
    </row>
    <row r="1554" spans="3:15" ht="13.5">
      <c r="C1554" s="1463" t="s">
        <v>5346</v>
      </c>
      <c r="D1554" s="1460">
        <v>1</v>
      </c>
      <c r="E1554" s="1460">
        <v>1</v>
      </c>
      <c r="F1554" s="1461">
        <v>2</v>
      </c>
      <c r="G1554" s="1472" t="s">
        <v>5346</v>
      </c>
      <c r="H1554" s="1458">
        <v>0</v>
      </c>
      <c r="I1554" s="1458">
        <v>0</v>
      </c>
      <c r="J1554" s="1473">
        <v>0</v>
      </c>
      <c r="K1554" s="1462"/>
      <c r="L1554" s="1456">
        <v>13135050540</v>
      </c>
      <c r="M1554" s="1457">
        <v>1</v>
      </c>
      <c r="N1554" s="1457">
        <v>1</v>
      </c>
      <c r="O1554" s="1458">
        <v>2</v>
      </c>
    </row>
    <row r="1555" spans="3:15" ht="13.5">
      <c r="C1555" s="1463" t="s">
        <v>5347</v>
      </c>
      <c r="D1555" s="1460">
        <v>0</v>
      </c>
      <c r="E1555" s="1460">
        <v>0</v>
      </c>
      <c r="F1555" s="1461">
        <v>0</v>
      </c>
      <c r="G1555" s="1472" t="s">
        <v>5347</v>
      </c>
      <c r="H1555" s="1458">
        <v>0</v>
      </c>
      <c r="I1555" s="1458" t="s">
        <v>3911</v>
      </c>
      <c r="J1555" s="1473">
        <v>0</v>
      </c>
      <c r="K1555" s="1462"/>
      <c r="L1555" s="1456">
        <v>13135050541</v>
      </c>
      <c r="M1555" s="1457">
        <v>0</v>
      </c>
      <c r="N1555" s="1457">
        <v>0</v>
      </c>
      <c r="O1555" s="1458">
        <v>0</v>
      </c>
    </row>
    <row r="1556" spans="3:15" ht="13.5">
      <c r="C1556" s="1463" t="s">
        <v>5348</v>
      </c>
      <c r="D1556" s="1460">
        <v>0</v>
      </c>
      <c r="E1556" s="1460">
        <v>0</v>
      </c>
      <c r="F1556" s="1461">
        <v>0</v>
      </c>
      <c r="G1556" s="1472" t="s">
        <v>5348</v>
      </c>
      <c r="H1556" s="1458">
        <v>0</v>
      </c>
      <c r="I1556" s="1458">
        <v>0</v>
      </c>
      <c r="J1556" s="1473">
        <v>0</v>
      </c>
      <c r="K1556" s="1462"/>
      <c r="L1556" s="1456">
        <v>13135050542</v>
      </c>
      <c r="M1556" s="1457">
        <v>0</v>
      </c>
      <c r="N1556" s="1457">
        <v>0</v>
      </c>
      <c r="O1556" s="1458">
        <v>0</v>
      </c>
    </row>
    <row r="1557" spans="3:15" ht="13.5">
      <c r="C1557" s="1463" t="s">
        <v>5349</v>
      </c>
      <c r="D1557" s="1460">
        <v>1</v>
      </c>
      <c r="E1557" s="1460">
        <v>1</v>
      </c>
      <c r="F1557" s="1461">
        <v>2</v>
      </c>
      <c r="G1557" s="1472" t="s">
        <v>5349</v>
      </c>
      <c r="H1557" s="1458">
        <v>1</v>
      </c>
      <c r="I1557" s="1458">
        <v>1</v>
      </c>
      <c r="J1557" s="1473">
        <v>2</v>
      </c>
      <c r="K1557" s="1462"/>
      <c r="L1557" s="1456">
        <v>13135050543</v>
      </c>
      <c r="M1557" s="1457">
        <v>1</v>
      </c>
      <c r="N1557" s="1457">
        <v>1</v>
      </c>
      <c r="O1557" s="1458">
        <v>2</v>
      </c>
    </row>
    <row r="1558" spans="3:15" ht="13.5">
      <c r="C1558" s="1463" t="s">
        <v>5350</v>
      </c>
      <c r="D1558" s="1460">
        <v>1</v>
      </c>
      <c r="E1558" s="1460">
        <v>1</v>
      </c>
      <c r="F1558" s="1461">
        <v>2</v>
      </c>
      <c r="G1558" s="1472" t="s">
        <v>5350</v>
      </c>
      <c r="H1558" s="1458">
        <v>1</v>
      </c>
      <c r="I1558" s="1458">
        <v>1</v>
      </c>
      <c r="J1558" s="1473">
        <v>2</v>
      </c>
      <c r="K1558" s="1462"/>
      <c r="L1558" s="1456">
        <v>13135050544</v>
      </c>
      <c r="M1558" s="1457">
        <v>1</v>
      </c>
      <c r="N1558" s="1457">
        <v>1</v>
      </c>
      <c r="O1558" s="1458">
        <v>2</v>
      </c>
    </row>
    <row r="1559" spans="3:15" ht="13.5">
      <c r="C1559" s="1463" t="s">
        <v>5351</v>
      </c>
      <c r="D1559" s="1460">
        <v>1</v>
      </c>
      <c r="E1559" s="1460">
        <v>0</v>
      </c>
      <c r="F1559" s="1461">
        <v>1</v>
      </c>
      <c r="G1559" s="1472" t="s">
        <v>5351</v>
      </c>
      <c r="H1559" s="1458">
        <v>1</v>
      </c>
      <c r="I1559" s="1458">
        <v>0</v>
      </c>
      <c r="J1559" s="1473">
        <v>1</v>
      </c>
      <c r="K1559" s="1462"/>
      <c r="L1559" s="1456">
        <v>13135050545</v>
      </c>
      <c r="M1559" s="1457">
        <v>1</v>
      </c>
      <c r="N1559" s="1457">
        <v>0</v>
      </c>
      <c r="O1559" s="1458">
        <v>1</v>
      </c>
    </row>
    <row r="1560" spans="3:15" ht="13.5">
      <c r="C1560" s="1463" t="s">
        <v>5352</v>
      </c>
      <c r="D1560" s="1460">
        <v>1</v>
      </c>
      <c r="E1560" s="1460">
        <v>1</v>
      </c>
      <c r="F1560" s="1461">
        <v>2</v>
      </c>
      <c r="G1560" s="1472" t="s">
        <v>5352</v>
      </c>
      <c r="H1560" s="1458">
        <v>1</v>
      </c>
      <c r="I1560" s="1458">
        <v>1</v>
      </c>
      <c r="J1560" s="1473">
        <v>2</v>
      </c>
      <c r="K1560" s="1462"/>
      <c r="L1560" s="1456">
        <v>13135050546</v>
      </c>
      <c r="M1560" s="1457">
        <v>1</v>
      </c>
      <c r="N1560" s="1457">
        <v>1</v>
      </c>
      <c r="O1560" s="1458">
        <v>2</v>
      </c>
    </row>
    <row r="1561" spans="3:15" ht="13.5">
      <c r="C1561" s="1463" t="s">
        <v>5353</v>
      </c>
      <c r="D1561" s="1460">
        <v>1</v>
      </c>
      <c r="E1561" s="1460">
        <v>1</v>
      </c>
      <c r="F1561" s="1461">
        <v>2</v>
      </c>
      <c r="G1561" s="1472" t="s">
        <v>5353</v>
      </c>
      <c r="H1561" s="1458">
        <v>1</v>
      </c>
      <c r="I1561" s="1458">
        <v>1</v>
      </c>
      <c r="J1561" s="1473">
        <v>2</v>
      </c>
      <c r="K1561" s="1462"/>
      <c r="L1561" s="1456">
        <v>13135050547</v>
      </c>
      <c r="M1561" s="1457">
        <v>1</v>
      </c>
      <c r="N1561" s="1457">
        <v>1</v>
      </c>
      <c r="O1561" s="1458">
        <v>2</v>
      </c>
    </row>
    <row r="1562" spans="3:15" ht="13.5">
      <c r="C1562" s="1463" t="s">
        <v>5354</v>
      </c>
      <c r="D1562" s="1460">
        <v>1</v>
      </c>
      <c r="E1562" s="1460">
        <v>1</v>
      </c>
      <c r="F1562" s="1461">
        <v>2</v>
      </c>
      <c r="G1562" s="1472" t="s">
        <v>5354</v>
      </c>
      <c r="H1562" s="1458">
        <v>1</v>
      </c>
      <c r="I1562" s="1458">
        <v>1</v>
      </c>
      <c r="J1562" s="1473">
        <v>2</v>
      </c>
      <c r="K1562" s="1462"/>
      <c r="L1562" s="1456">
        <v>13135050548</v>
      </c>
      <c r="M1562" s="1457">
        <v>1</v>
      </c>
      <c r="N1562" s="1457">
        <v>1</v>
      </c>
      <c r="O1562" s="1458">
        <v>2</v>
      </c>
    </row>
    <row r="1563" spans="3:15" ht="13.5">
      <c r="C1563" s="1463" t="s">
        <v>5355</v>
      </c>
      <c r="D1563" s="1460">
        <v>1</v>
      </c>
      <c r="E1563" s="1460">
        <v>1</v>
      </c>
      <c r="F1563" s="1461">
        <v>2</v>
      </c>
      <c r="G1563" s="1472" t="s">
        <v>5355</v>
      </c>
      <c r="H1563" s="1458">
        <v>1</v>
      </c>
      <c r="I1563" s="1458">
        <v>1</v>
      </c>
      <c r="J1563" s="1473">
        <v>2</v>
      </c>
      <c r="K1563" s="1462"/>
      <c r="L1563" s="1456">
        <v>13135050549</v>
      </c>
      <c r="M1563" s="1457">
        <v>1</v>
      </c>
      <c r="N1563" s="1457">
        <v>1</v>
      </c>
      <c r="O1563" s="1458">
        <v>2</v>
      </c>
    </row>
    <row r="1564" spans="3:15" ht="13.5">
      <c r="C1564" s="1463" t="s">
        <v>5356</v>
      </c>
      <c r="D1564" s="1460">
        <v>1</v>
      </c>
      <c r="E1564" s="1460">
        <v>1</v>
      </c>
      <c r="F1564" s="1461">
        <v>2</v>
      </c>
      <c r="G1564" s="1472" t="s">
        <v>5356</v>
      </c>
      <c r="H1564" s="1458">
        <v>1</v>
      </c>
      <c r="I1564" s="1458">
        <v>1</v>
      </c>
      <c r="J1564" s="1473">
        <v>2</v>
      </c>
      <c r="K1564" s="1462"/>
      <c r="L1564" s="1456">
        <v>13135050605</v>
      </c>
      <c r="M1564" s="1457">
        <v>1</v>
      </c>
      <c r="N1564" s="1457">
        <v>1</v>
      </c>
      <c r="O1564" s="1458">
        <v>2</v>
      </c>
    </row>
    <row r="1565" spans="3:15" ht="13.5">
      <c r="C1565" s="1463" t="s">
        <v>5357</v>
      </c>
      <c r="D1565" s="1460">
        <v>1</v>
      </c>
      <c r="E1565" s="1460">
        <v>1</v>
      </c>
      <c r="F1565" s="1461">
        <v>2</v>
      </c>
      <c r="G1565" s="1472" t="s">
        <v>5357</v>
      </c>
      <c r="H1565" s="1458">
        <v>1</v>
      </c>
      <c r="I1565" s="1458">
        <v>1</v>
      </c>
      <c r="J1565" s="1473">
        <v>2</v>
      </c>
      <c r="K1565" s="1462"/>
      <c r="L1565" s="1456">
        <v>13135050606</v>
      </c>
      <c r="M1565" s="1457">
        <v>1</v>
      </c>
      <c r="N1565" s="1457">
        <v>1</v>
      </c>
      <c r="O1565" s="1458">
        <v>2</v>
      </c>
    </row>
    <row r="1566" spans="3:15" ht="13.5">
      <c r="C1566" s="1463" t="s">
        <v>5358</v>
      </c>
      <c r="D1566" s="1460">
        <v>1</v>
      </c>
      <c r="E1566" s="1460">
        <v>1</v>
      </c>
      <c r="F1566" s="1461">
        <v>2</v>
      </c>
      <c r="G1566" s="1472" t="s">
        <v>5358</v>
      </c>
      <c r="H1566" s="1458">
        <v>1</v>
      </c>
      <c r="I1566" s="1458">
        <v>1</v>
      </c>
      <c r="J1566" s="1473">
        <v>2</v>
      </c>
      <c r="K1566" s="1462"/>
      <c r="L1566" s="1456">
        <v>13135050607</v>
      </c>
      <c r="M1566" s="1457">
        <v>1</v>
      </c>
      <c r="N1566" s="1457">
        <v>1</v>
      </c>
      <c r="O1566" s="1458">
        <v>2</v>
      </c>
    </row>
    <row r="1567" spans="3:15" ht="13.5">
      <c r="C1567" s="1463" t="s">
        <v>5359</v>
      </c>
      <c r="D1567" s="1460">
        <v>1</v>
      </c>
      <c r="E1567" s="1460">
        <v>1</v>
      </c>
      <c r="F1567" s="1461">
        <v>2</v>
      </c>
      <c r="G1567" s="1472" t="s">
        <v>5359</v>
      </c>
      <c r="H1567" s="1458">
        <v>1</v>
      </c>
      <c r="I1567" s="1458">
        <v>1</v>
      </c>
      <c r="J1567" s="1473">
        <v>2</v>
      </c>
      <c r="K1567" s="1462"/>
      <c r="L1567" s="1456">
        <v>13135050608</v>
      </c>
      <c r="M1567" s="1457">
        <v>1</v>
      </c>
      <c r="N1567" s="1457">
        <v>1</v>
      </c>
      <c r="O1567" s="1458">
        <v>2</v>
      </c>
    </row>
    <row r="1568" spans="3:15" ht="13.5">
      <c r="C1568" s="1463" t="s">
        <v>5360</v>
      </c>
      <c r="D1568" s="1460">
        <v>1</v>
      </c>
      <c r="E1568" s="1460">
        <v>1</v>
      </c>
      <c r="F1568" s="1461">
        <v>2</v>
      </c>
      <c r="G1568" s="1472" t="s">
        <v>5360</v>
      </c>
      <c r="H1568" s="1458">
        <v>1</v>
      </c>
      <c r="I1568" s="1458">
        <v>1</v>
      </c>
      <c r="J1568" s="1473">
        <v>2</v>
      </c>
      <c r="K1568" s="1462"/>
      <c r="L1568" s="1456">
        <v>13135050609</v>
      </c>
      <c r="M1568" s="1457">
        <v>1</v>
      </c>
      <c r="N1568" s="1457">
        <v>1</v>
      </c>
      <c r="O1568" s="1458">
        <v>2</v>
      </c>
    </row>
    <row r="1569" spans="3:15" ht="13.5">
      <c r="C1569" s="1463" t="s">
        <v>5361</v>
      </c>
      <c r="D1569" s="1460">
        <v>1</v>
      </c>
      <c r="E1569" s="1460">
        <v>1</v>
      </c>
      <c r="F1569" s="1461">
        <v>2</v>
      </c>
      <c r="G1569" s="1472" t="s">
        <v>5361</v>
      </c>
      <c r="H1569" s="1458">
        <v>1</v>
      </c>
      <c r="I1569" s="1458">
        <v>1</v>
      </c>
      <c r="J1569" s="1473">
        <v>2</v>
      </c>
      <c r="K1569" s="1462"/>
      <c r="L1569" s="1456">
        <v>13135050610</v>
      </c>
      <c r="M1569" s="1457">
        <v>1</v>
      </c>
      <c r="N1569" s="1457">
        <v>1</v>
      </c>
      <c r="O1569" s="1458">
        <v>2</v>
      </c>
    </row>
    <row r="1570" spans="3:15" ht="13.5">
      <c r="C1570" s="1463" t="s">
        <v>5362</v>
      </c>
      <c r="D1570" s="1460">
        <v>0</v>
      </c>
      <c r="E1570" s="1460">
        <v>1</v>
      </c>
      <c r="F1570" s="1461">
        <v>1</v>
      </c>
      <c r="G1570" s="1472" t="s">
        <v>5362</v>
      </c>
      <c r="H1570" s="1458">
        <v>0</v>
      </c>
      <c r="I1570" s="1458">
        <v>1</v>
      </c>
      <c r="J1570" s="1473">
        <v>1</v>
      </c>
      <c r="K1570" s="1462"/>
      <c r="L1570" s="1456">
        <v>13135050709</v>
      </c>
      <c r="M1570" s="1457">
        <v>0</v>
      </c>
      <c r="N1570" s="1457">
        <v>1</v>
      </c>
      <c r="O1570" s="1458">
        <v>1</v>
      </c>
    </row>
    <row r="1571" spans="3:15" ht="13.5">
      <c r="C1571" s="1463" t="s">
        <v>5363</v>
      </c>
      <c r="D1571" s="1460">
        <v>1</v>
      </c>
      <c r="E1571" s="1460">
        <v>1</v>
      </c>
      <c r="F1571" s="1461">
        <v>2</v>
      </c>
      <c r="G1571" s="1472" t="s">
        <v>5363</v>
      </c>
      <c r="H1571" s="1458">
        <v>1</v>
      </c>
      <c r="I1571" s="1458">
        <v>1</v>
      </c>
      <c r="J1571" s="1473">
        <v>2</v>
      </c>
      <c r="K1571" s="1462"/>
      <c r="L1571" s="1456">
        <v>13135050712</v>
      </c>
      <c r="M1571" s="1457">
        <v>1</v>
      </c>
      <c r="N1571" s="1457">
        <v>1</v>
      </c>
      <c r="O1571" s="1458">
        <v>2</v>
      </c>
    </row>
    <row r="1572" spans="3:15" ht="13.5">
      <c r="C1572" s="1463" t="s">
        <v>5364</v>
      </c>
      <c r="D1572" s="1460">
        <v>1</v>
      </c>
      <c r="E1572" s="1460">
        <v>1</v>
      </c>
      <c r="F1572" s="1461">
        <v>2</v>
      </c>
      <c r="G1572" s="1472" t="s">
        <v>5364</v>
      </c>
      <c r="H1572" s="1458">
        <v>1</v>
      </c>
      <c r="I1572" s="1458">
        <v>1</v>
      </c>
      <c r="J1572" s="1473">
        <v>2</v>
      </c>
      <c r="K1572" s="1462"/>
      <c r="L1572" s="1456">
        <v>13135050713</v>
      </c>
      <c r="M1572" s="1457">
        <v>1</v>
      </c>
      <c r="N1572" s="1457">
        <v>1</v>
      </c>
      <c r="O1572" s="1458">
        <v>2</v>
      </c>
    </row>
    <row r="1573" spans="3:15" ht="13.5">
      <c r="C1573" s="1463" t="s">
        <v>5365</v>
      </c>
      <c r="D1573" s="1460">
        <v>1</v>
      </c>
      <c r="E1573" s="1460">
        <v>1</v>
      </c>
      <c r="F1573" s="1461">
        <v>2</v>
      </c>
      <c r="G1573" s="1472" t="s">
        <v>5365</v>
      </c>
      <c r="H1573" s="1458">
        <v>1</v>
      </c>
      <c r="I1573" s="1458">
        <v>1</v>
      </c>
      <c r="J1573" s="1473">
        <v>2</v>
      </c>
      <c r="K1573" s="1462"/>
      <c r="L1573" s="1456">
        <v>13135050714</v>
      </c>
      <c r="M1573" s="1457">
        <v>1</v>
      </c>
      <c r="N1573" s="1457">
        <v>1</v>
      </c>
      <c r="O1573" s="1458">
        <v>2</v>
      </c>
    </row>
    <row r="1574" spans="3:15" ht="13.5">
      <c r="C1574" s="1463" t="s">
        <v>5366</v>
      </c>
      <c r="D1574" s="1460">
        <v>1</v>
      </c>
      <c r="E1574" s="1460">
        <v>1</v>
      </c>
      <c r="F1574" s="1461">
        <v>2</v>
      </c>
      <c r="G1574" s="1472" t="s">
        <v>5366</v>
      </c>
      <c r="H1574" s="1458">
        <v>1</v>
      </c>
      <c r="I1574" s="1458">
        <v>1</v>
      </c>
      <c r="J1574" s="1473">
        <v>2</v>
      </c>
      <c r="K1574" s="1462"/>
      <c r="L1574" s="1456">
        <v>13135050715</v>
      </c>
      <c r="M1574" s="1457">
        <v>1</v>
      </c>
      <c r="N1574" s="1457">
        <v>1</v>
      </c>
      <c r="O1574" s="1458">
        <v>2</v>
      </c>
    </row>
    <row r="1575" spans="3:15" ht="13.5">
      <c r="C1575" s="1463" t="s">
        <v>5367</v>
      </c>
      <c r="D1575" s="1460">
        <v>1</v>
      </c>
      <c r="E1575" s="1460">
        <v>1</v>
      </c>
      <c r="F1575" s="1461">
        <v>2</v>
      </c>
      <c r="G1575" s="1472" t="s">
        <v>5367</v>
      </c>
      <c r="H1575" s="1458">
        <v>1</v>
      </c>
      <c r="I1575" s="1458" t="s">
        <v>3911</v>
      </c>
      <c r="J1575" s="1473">
        <v>1</v>
      </c>
      <c r="K1575" s="1462"/>
      <c r="L1575" s="1456">
        <v>13135050718</v>
      </c>
      <c r="M1575" s="1457">
        <v>1</v>
      </c>
      <c r="N1575" s="1457">
        <v>1</v>
      </c>
      <c r="O1575" s="1458">
        <v>2</v>
      </c>
    </row>
    <row r="1576" spans="3:15" ht="13.5">
      <c r="C1576" s="1463" t="s">
        <v>5368</v>
      </c>
      <c r="D1576" s="1460">
        <v>1</v>
      </c>
      <c r="E1576" s="1460">
        <v>1</v>
      </c>
      <c r="F1576" s="1461">
        <v>2</v>
      </c>
      <c r="G1576" s="1472" t="s">
        <v>5368</v>
      </c>
      <c r="H1576" s="1458">
        <v>1</v>
      </c>
      <c r="I1576" s="1458">
        <v>0</v>
      </c>
      <c r="J1576" s="1473">
        <v>1</v>
      </c>
      <c r="K1576" s="1462"/>
      <c r="L1576" s="1456">
        <v>13135050719</v>
      </c>
      <c r="M1576" s="1457">
        <v>1</v>
      </c>
      <c r="N1576" s="1457">
        <v>1</v>
      </c>
      <c r="O1576" s="1458">
        <v>2</v>
      </c>
    </row>
    <row r="1577" spans="3:15" ht="13.5">
      <c r="C1577" s="1463" t="s">
        <v>5369</v>
      </c>
      <c r="D1577" s="1460">
        <v>1</v>
      </c>
      <c r="E1577" s="1460">
        <v>1</v>
      </c>
      <c r="F1577" s="1461">
        <v>2</v>
      </c>
      <c r="G1577" s="1472" t="s">
        <v>5369</v>
      </c>
      <c r="H1577" s="1458">
        <v>1</v>
      </c>
      <c r="I1577" s="1458">
        <v>1</v>
      </c>
      <c r="J1577" s="1473">
        <v>2</v>
      </c>
      <c r="K1577" s="1462"/>
      <c r="L1577" s="1456">
        <v>13135050720</v>
      </c>
      <c r="M1577" s="1457">
        <v>1</v>
      </c>
      <c r="N1577" s="1457">
        <v>1</v>
      </c>
      <c r="O1577" s="1458">
        <v>2</v>
      </c>
    </row>
    <row r="1578" spans="3:15" ht="13.5">
      <c r="C1578" s="1463" t="s">
        <v>5370</v>
      </c>
      <c r="D1578" s="1460">
        <v>1</v>
      </c>
      <c r="E1578" s="1460">
        <v>0</v>
      </c>
      <c r="F1578" s="1461">
        <v>1</v>
      </c>
      <c r="G1578" s="1472" t="s">
        <v>5370</v>
      </c>
      <c r="H1578" s="1458">
        <v>1</v>
      </c>
      <c r="I1578" s="1458">
        <v>1</v>
      </c>
      <c r="J1578" s="1473">
        <v>2</v>
      </c>
      <c r="K1578" s="1462"/>
      <c r="L1578" s="1456">
        <v>13135050721</v>
      </c>
      <c r="M1578" s="1457">
        <v>1</v>
      </c>
      <c r="N1578" s="1457">
        <v>1</v>
      </c>
      <c r="O1578" s="1458">
        <v>2</v>
      </c>
    </row>
    <row r="1579" spans="3:15" ht="13.5">
      <c r="C1579" s="1463" t="s">
        <v>5371</v>
      </c>
      <c r="D1579" s="1460">
        <v>0</v>
      </c>
      <c r="E1579" s="1460">
        <v>0</v>
      </c>
      <c r="F1579" s="1461">
        <v>0</v>
      </c>
      <c r="G1579" s="1472" t="s">
        <v>5371</v>
      </c>
      <c r="H1579" s="1458">
        <v>0</v>
      </c>
      <c r="I1579" s="1458">
        <v>0</v>
      </c>
      <c r="J1579" s="1473">
        <v>0</v>
      </c>
      <c r="K1579" s="1462"/>
      <c r="L1579" s="1456">
        <v>13135050722</v>
      </c>
      <c r="M1579" s="1457">
        <v>0</v>
      </c>
      <c r="N1579" s="1457">
        <v>0</v>
      </c>
      <c r="O1579" s="1458">
        <v>0</v>
      </c>
    </row>
    <row r="1580" spans="3:15" ht="13.5">
      <c r="C1580" s="1463" t="s">
        <v>5372</v>
      </c>
      <c r="D1580" s="1460">
        <v>0</v>
      </c>
      <c r="E1580" s="1460">
        <v>1</v>
      </c>
      <c r="F1580" s="1461">
        <v>1</v>
      </c>
      <c r="G1580" s="1472" t="s">
        <v>5372</v>
      </c>
      <c r="H1580" s="1458">
        <v>1</v>
      </c>
      <c r="I1580" s="1458">
        <v>1</v>
      </c>
      <c r="J1580" s="1473">
        <v>2</v>
      </c>
      <c r="K1580" s="1462"/>
      <c r="L1580" s="1456">
        <v>13135050723</v>
      </c>
      <c r="M1580" s="1457">
        <v>1</v>
      </c>
      <c r="N1580" s="1457">
        <v>1</v>
      </c>
      <c r="O1580" s="1458">
        <v>2</v>
      </c>
    </row>
    <row r="1581" spans="3:15" ht="13.5">
      <c r="C1581" s="1463" t="s">
        <v>5373</v>
      </c>
      <c r="D1581" s="1460">
        <v>1</v>
      </c>
      <c r="E1581" s="1460">
        <v>1</v>
      </c>
      <c r="F1581" s="1461">
        <v>2</v>
      </c>
      <c r="G1581" s="1472" t="s">
        <v>5373</v>
      </c>
      <c r="H1581" s="1458">
        <v>1</v>
      </c>
      <c r="I1581" s="1458">
        <v>1</v>
      </c>
      <c r="J1581" s="1473">
        <v>2</v>
      </c>
      <c r="K1581" s="1462"/>
      <c r="L1581" s="1456">
        <v>13135050724</v>
      </c>
      <c r="M1581" s="1457">
        <v>1</v>
      </c>
      <c r="N1581" s="1457">
        <v>1</v>
      </c>
      <c r="O1581" s="1458">
        <v>2</v>
      </c>
    </row>
    <row r="1582" spans="3:15" ht="13.5">
      <c r="C1582" s="1463" t="s">
        <v>5374</v>
      </c>
      <c r="D1582" s="1460">
        <v>1</v>
      </c>
      <c r="E1582" s="1460">
        <v>1</v>
      </c>
      <c r="F1582" s="1461">
        <v>2</v>
      </c>
      <c r="G1582" s="1472" t="s">
        <v>5374</v>
      </c>
      <c r="H1582" s="1458">
        <v>1</v>
      </c>
      <c r="I1582" s="1458">
        <v>1</v>
      </c>
      <c r="J1582" s="1473">
        <v>2</v>
      </c>
      <c r="K1582" s="1462"/>
      <c r="L1582" s="1456">
        <v>13135050725</v>
      </c>
      <c r="M1582" s="1457">
        <v>1</v>
      </c>
      <c r="N1582" s="1457">
        <v>1</v>
      </c>
      <c r="O1582" s="1458">
        <v>2</v>
      </c>
    </row>
    <row r="1583" spans="3:15" ht="13.5">
      <c r="C1583" s="1463" t="s">
        <v>5375</v>
      </c>
      <c r="D1583" s="1460">
        <v>1</v>
      </c>
      <c r="E1583" s="1460">
        <v>1</v>
      </c>
      <c r="F1583" s="1461">
        <v>2</v>
      </c>
      <c r="G1583" s="1472" t="s">
        <v>5375</v>
      </c>
      <c r="H1583" s="1458">
        <v>1</v>
      </c>
      <c r="I1583" s="1458">
        <v>1</v>
      </c>
      <c r="J1583" s="1473">
        <v>2</v>
      </c>
      <c r="K1583" s="1462"/>
      <c r="L1583" s="1456">
        <v>13135050726</v>
      </c>
      <c r="M1583" s="1457">
        <v>1</v>
      </c>
      <c r="N1583" s="1457">
        <v>1</v>
      </c>
      <c r="O1583" s="1458">
        <v>2</v>
      </c>
    </row>
    <row r="1584" spans="3:15" ht="13.5">
      <c r="C1584" s="1463" t="s">
        <v>5376</v>
      </c>
      <c r="D1584" s="1460">
        <v>1</v>
      </c>
      <c r="E1584" s="1460">
        <v>1</v>
      </c>
      <c r="F1584" s="1461">
        <v>2</v>
      </c>
      <c r="G1584" s="1472" t="s">
        <v>5376</v>
      </c>
      <c r="H1584" s="1458">
        <v>1</v>
      </c>
      <c r="I1584" s="1458">
        <v>1</v>
      </c>
      <c r="J1584" s="1473">
        <v>2</v>
      </c>
      <c r="K1584" s="1462"/>
      <c r="L1584" s="1456">
        <v>13135050727</v>
      </c>
      <c r="M1584" s="1457">
        <v>1</v>
      </c>
      <c r="N1584" s="1457">
        <v>1</v>
      </c>
      <c r="O1584" s="1458">
        <v>2</v>
      </c>
    </row>
    <row r="1585" spans="3:15" ht="13.5">
      <c r="C1585" s="1463" t="s">
        <v>5377</v>
      </c>
      <c r="D1585" s="1460">
        <v>1</v>
      </c>
      <c r="E1585" s="1460">
        <v>1</v>
      </c>
      <c r="F1585" s="1461">
        <v>2</v>
      </c>
      <c r="G1585" s="1472" t="s">
        <v>5377</v>
      </c>
      <c r="H1585" s="1458">
        <v>1</v>
      </c>
      <c r="I1585" s="1458">
        <v>1</v>
      </c>
      <c r="J1585" s="1473">
        <v>2</v>
      </c>
      <c r="K1585" s="1462"/>
      <c r="L1585" s="1456">
        <v>13135050728</v>
      </c>
      <c r="M1585" s="1457">
        <v>1</v>
      </c>
      <c r="N1585" s="1457">
        <v>1</v>
      </c>
      <c r="O1585" s="1458">
        <v>2</v>
      </c>
    </row>
    <row r="1586" spans="3:15" ht="13.5">
      <c r="C1586" s="1463" t="s">
        <v>5378</v>
      </c>
      <c r="D1586" s="1460">
        <v>0</v>
      </c>
      <c r="E1586" s="1460">
        <v>0</v>
      </c>
      <c r="F1586" s="1461">
        <v>0</v>
      </c>
      <c r="G1586" s="1472" t="s">
        <v>5378</v>
      </c>
      <c r="H1586" s="1458">
        <v>1</v>
      </c>
      <c r="I1586" s="1458">
        <v>0</v>
      </c>
      <c r="J1586" s="1473">
        <v>1</v>
      </c>
      <c r="K1586" s="1462"/>
      <c r="L1586" s="1456">
        <v>13135050729</v>
      </c>
      <c r="M1586" s="1457">
        <v>1</v>
      </c>
      <c r="N1586" s="1457">
        <v>0</v>
      </c>
      <c r="O1586" s="1458">
        <v>1</v>
      </c>
    </row>
    <row r="1587" spans="3:15" ht="13.5">
      <c r="C1587" s="1463" t="s">
        <v>5379</v>
      </c>
      <c r="D1587" s="1460">
        <v>1</v>
      </c>
      <c r="E1587" s="1460">
        <v>1</v>
      </c>
      <c r="F1587" s="1461">
        <v>2</v>
      </c>
      <c r="G1587" s="1472" t="s">
        <v>5379</v>
      </c>
      <c r="H1587" s="1458">
        <v>1</v>
      </c>
      <c r="I1587" s="1458">
        <v>0</v>
      </c>
      <c r="J1587" s="1473">
        <v>1</v>
      </c>
      <c r="K1587" s="1462"/>
      <c r="L1587" s="1456">
        <v>13135050730</v>
      </c>
      <c r="M1587" s="1457">
        <v>1</v>
      </c>
      <c r="N1587" s="1457">
        <v>1</v>
      </c>
      <c r="O1587" s="1458">
        <v>2</v>
      </c>
    </row>
    <row r="1588" spans="3:15" ht="13.5">
      <c r="C1588" s="1463" t="s">
        <v>5380</v>
      </c>
      <c r="D1588" s="1460">
        <v>1</v>
      </c>
      <c r="E1588" s="1460">
        <v>1</v>
      </c>
      <c r="F1588" s="1461">
        <v>2</v>
      </c>
      <c r="G1588" s="1472" t="s">
        <v>5380</v>
      </c>
      <c r="H1588" s="1458">
        <v>0</v>
      </c>
      <c r="I1588" s="1458">
        <v>1</v>
      </c>
      <c r="J1588" s="1473">
        <v>1</v>
      </c>
      <c r="K1588" s="1462"/>
      <c r="L1588" s="1456">
        <v>13135050731</v>
      </c>
      <c r="M1588" s="1457">
        <v>1</v>
      </c>
      <c r="N1588" s="1457">
        <v>1</v>
      </c>
      <c r="O1588" s="1458">
        <v>2</v>
      </c>
    </row>
    <row r="1589" spans="3:15" ht="13.5">
      <c r="C1589" s="1463" t="s">
        <v>5381</v>
      </c>
      <c r="D1589" s="1460">
        <v>1</v>
      </c>
      <c r="E1589" s="1460">
        <v>1</v>
      </c>
      <c r="F1589" s="1461">
        <v>2</v>
      </c>
      <c r="G1589" s="1472" t="s">
        <v>5381</v>
      </c>
      <c r="H1589" s="1458">
        <v>0</v>
      </c>
      <c r="I1589" s="1458">
        <v>1</v>
      </c>
      <c r="J1589" s="1473">
        <v>1</v>
      </c>
      <c r="K1589" s="1462"/>
      <c r="L1589" s="1456">
        <v>13137000100</v>
      </c>
      <c r="M1589" s="1457">
        <v>1</v>
      </c>
      <c r="N1589" s="1457">
        <v>1</v>
      </c>
      <c r="O1589" s="1458">
        <v>2</v>
      </c>
    </row>
    <row r="1590" spans="3:15" ht="13.5">
      <c r="C1590" s="1463" t="s">
        <v>5382</v>
      </c>
      <c r="D1590" s="1460">
        <v>1</v>
      </c>
      <c r="E1590" s="1460">
        <v>0</v>
      </c>
      <c r="F1590" s="1461">
        <v>1</v>
      </c>
      <c r="G1590" s="1472" t="s">
        <v>5382</v>
      </c>
      <c r="H1590" s="1458">
        <v>0</v>
      </c>
      <c r="I1590" s="1458">
        <v>0</v>
      </c>
      <c r="J1590" s="1473">
        <v>0</v>
      </c>
      <c r="K1590" s="1462"/>
      <c r="L1590" s="1456">
        <v>13137000201</v>
      </c>
      <c r="M1590" s="1457">
        <v>1</v>
      </c>
      <c r="N1590" s="1457">
        <v>0</v>
      </c>
      <c r="O1590" s="1458">
        <v>1</v>
      </c>
    </row>
    <row r="1591" spans="3:15" ht="13.5">
      <c r="C1591" s="1463" t="s">
        <v>5383</v>
      </c>
      <c r="D1591" s="1460">
        <v>1</v>
      </c>
      <c r="E1591" s="1460">
        <v>1</v>
      </c>
      <c r="F1591" s="1461">
        <v>2</v>
      </c>
      <c r="G1591" s="1472" t="s">
        <v>5383</v>
      </c>
      <c r="H1591" s="1458">
        <v>1</v>
      </c>
      <c r="I1591" s="1458">
        <v>0</v>
      </c>
      <c r="J1591" s="1473">
        <v>1</v>
      </c>
      <c r="K1591" s="1462"/>
      <c r="L1591" s="1456">
        <v>13137000202</v>
      </c>
      <c r="M1591" s="1457">
        <v>1</v>
      </c>
      <c r="N1591" s="1457">
        <v>1</v>
      </c>
      <c r="O1591" s="1458">
        <v>2</v>
      </c>
    </row>
    <row r="1592" spans="3:15" ht="13.5">
      <c r="C1592" s="1463" t="s">
        <v>5384</v>
      </c>
      <c r="D1592" s="1460">
        <v>0</v>
      </c>
      <c r="E1592" s="1460">
        <v>0</v>
      </c>
      <c r="F1592" s="1461">
        <v>0</v>
      </c>
      <c r="G1592" s="1472" t="s">
        <v>5384</v>
      </c>
      <c r="H1592" s="1458">
        <v>0</v>
      </c>
      <c r="I1592" s="1458">
        <v>0</v>
      </c>
      <c r="J1592" s="1473">
        <v>0</v>
      </c>
      <c r="K1592" s="1462"/>
      <c r="L1592" s="1456">
        <v>13137000300</v>
      </c>
      <c r="M1592" s="1457">
        <v>0</v>
      </c>
      <c r="N1592" s="1457">
        <v>0</v>
      </c>
      <c r="O1592" s="1458">
        <v>0</v>
      </c>
    </row>
    <row r="1593" spans="3:15" ht="13.5">
      <c r="C1593" s="1463" t="s">
        <v>5385</v>
      </c>
      <c r="D1593" s="1460">
        <v>1</v>
      </c>
      <c r="E1593" s="1460">
        <v>0</v>
      </c>
      <c r="F1593" s="1461">
        <v>1</v>
      </c>
      <c r="G1593" s="1472" t="s">
        <v>5385</v>
      </c>
      <c r="H1593" s="1458">
        <v>0</v>
      </c>
      <c r="I1593" s="1458">
        <v>1</v>
      </c>
      <c r="J1593" s="1473">
        <v>1</v>
      </c>
      <c r="K1593" s="1462"/>
      <c r="L1593" s="1456">
        <v>13137000400</v>
      </c>
      <c r="M1593" s="1457">
        <v>1</v>
      </c>
      <c r="N1593" s="1457">
        <v>1</v>
      </c>
      <c r="O1593" s="1458">
        <v>1</v>
      </c>
    </row>
    <row r="1594" spans="3:15" ht="13.5">
      <c r="C1594" s="1463" t="s">
        <v>5386</v>
      </c>
      <c r="D1594" s="1460">
        <v>0</v>
      </c>
      <c r="E1594" s="1460">
        <v>0</v>
      </c>
      <c r="F1594" s="1461">
        <v>0</v>
      </c>
      <c r="G1594" s="1472" t="s">
        <v>5386</v>
      </c>
      <c r="H1594" s="1458">
        <v>0</v>
      </c>
      <c r="I1594" s="1458">
        <v>1</v>
      </c>
      <c r="J1594" s="1473">
        <v>1</v>
      </c>
      <c r="K1594" s="1462"/>
      <c r="L1594" s="1456">
        <v>13137000500</v>
      </c>
      <c r="M1594" s="1457">
        <v>0</v>
      </c>
      <c r="N1594" s="1457">
        <v>1</v>
      </c>
      <c r="O1594" s="1458">
        <v>1</v>
      </c>
    </row>
    <row r="1595" spans="3:15" ht="13.5">
      <c r="C1595" s="1463" t="s">
        <v>5387</v>
      </c>
      <c r="D1595" s="1460">
        <v>0</v>
      </c>
      <c r="E1595" s="1460">
        <v>0</v>
      </c>
      <c r="F1595" s="1461">
        <v>0</v>
      </c>
      <c r="G1595" s="1472" t="s">
        <v>5387</v>
      </c>
      <c r="H1595" s="1458">
        <v>0</v>
      </c>
      <c r="I1595" s="1458">
        <v>0</v>
      </c>
      <c r="J1595" s="1473">
        <v>0</v>
      </c>
      <c r="K1595" s="1462"/>
      <c r="L1595" s="1456">
        <v>13137000601</v>
      </c>
      <c r="M1595" s="1457">
        <v>0</v>
      </c>
      <c r="N1595" s="1457">
        <v>0</v>
      </c>
      <c r="O1595" s="1458">
        <v>0</v>
      </c>
    </row>
    <row r="1596" spans="3:15" ht="13.5">
      <c r="C1596" s="1463" t="s">
        <v>5388</v>
      </c>
      <c r="D1596" s="1460">
        <v>0</v>
      </c>
      <c r="E1596" s="1460">
        <v>0</v>
      </c>
      <c r="F1596" s="1461">
        <v>0</v>
      </c>
      <c r="G1596" s="1472" t="s">
        <v>5388</v>
      </c>
      <c r="H1596" s="1458">
        <v>0</v>
      </c>
      <c r="I1596" s="1458">
        <v>0</v>
      </c>
      <c r="J1596" s="1473">
        <v>0</v>
      </c>
      <c r="K1596" s="1462"/>
      <c r="L1596" s="1456">
        <v>13137000602</v>
      </c>
      <c r="M1596" s="1457">
        <v>0</v>
      </c>
      <c r="N1596" s="1457">
        <v>0</v>
      </c>
      <c r="O1596" s="1458">
        <v>0</v>
      </c>
    </row>
    <row r="1597" spans="3:15" ht="13.5">
      <c r="C1597" s="1463" t="s">
        <v>5389</v>
      </c>
      <c r="D1597" s="1460">
        <v>1</v>
      </c>
      <c r="E1597" s="1460">
        <v>0</v>
      </c>
      <c r="F1597" s="1461">
        <v>1</v>
      </c>
      <c r="G1597" s="1472" t="s">
        <v>5389</v>
      </c>
      <c r="H1597" s="1458">
        <v>0</v>
      </c>
      <c r="I1597" s="1458">
        <v>0</v>
      </c>
      <c r="J1597" s="1473">
        <v>0</v>
      </c>
      <c r="K1597" s="1462"/>
      <c r="L1597" s="1456">
        <v>13139000101</v>
      </c>
      <c r="M1597" s="1457">
        <v>1</v>
      </c>
      <c r="N1597" s="1457">
        <v>0</v>
      </c>
      <c r="O1597" s="1458">
        <v>1</v>
      </c>
    </row>
    <row r="1598" spans="3:15" ht="13.5">
      <c r="C1598" s="1463" t="s">
        <v>5390</v>
      </c>
      <c r="D1598" s="1460">
        <v>1</v>
      </c>
      <c r="E1598" s="1460">
        <v>0</v>
      </c>
      <c r="F1598" s="1461">
        <v>1</v>
      </c>
      <c r="G1598" s="1472" t="s">
        <v>5390</v>
      </c>
      <c r="H1598" s="1458">
        <v>1</v>
      </c>
      <c r="I1598" s="1458">
        <v>0</v>
      </c>
      <c r="J1598" s="1473">
        <v>1</v>
      </c>
      <c r="K1598" s="1462"/>
      <c r="L1598" s="1456">
        <v>13139000102</v>
      </c>
      <c r="M1598" s="1457">
        <v>1</v>
      </c>
      <c r="N1598" s="1457">
        <v>0</v>
      </c>
      <c r="O1598" s="1458">
        <v>1</v>
      </c>
    </row>
    <row r="1599" spans="3:15" ht="13.5">
      <c r="C1599" s="1463" t="s">
        <v>5391</v>
      </c>
      <c r="D1599" s="1460">
        <v>0</v>
      </c>
      <c r="E1599" s="1460">
        <v>0</v>
      </c>
      <c r="F1599" s="1461">
        <v>0</v>
      </c>
      <c r="G1599" s="1472" t="s">
        <v>5391</v>
      </c>
      <c r="H1599" s="1458">
        <v>1</v>
      </c>
      <c r="I1599" s="1458">
        <v>0</v>
      </c>
      <c r="J1599" s="1473">
        <v>1</v>
      </c>
      <c r="K1599" s="1462"/>
      <c r="L1599" s="1456">
        <v>13139000201</v>
      </c>
      <c r="M1599" s="1457">
        <v>1</v>
      </c>
      <c r="N1599" s="1457">
        <v>0</v>
      </c>
      <c r="O1599" s="1458">
        <v>1</v>
      </c>
    </row>
    <row r="1600" spans="3:15" ht="13.5">
      <c r="C1600" s="1463" t="s">
        <v>5392</v>
      </c>
      <c r="D1600" s="1460">
        <v>1</v>
      </c>
      <c r="E1600" s="1460">
        <v>1</v>
      </c>
      <c r="F1600" s="1461">
        <v>2</v>
      </c>
      <c r="G1600" s="1472" t="s">
        <v>5392</v>
      </c>
      <c r="H1600" s="1458">
        <v>1</v>
      </c>
      <c r="I1600" s="1458">
        <v>1</v>
      </c>
      <c r="J1600" s="1473">
        <v>2</v>
      </c>
      <c r="K1600" s="1462"/>
      <c r="L1600" s="1456">
        <v>13139000203</v>
      </c>
      <c r="M1600" s="1457">
        <v>1</v>
      </c>
      <c r="N1600" s="1457">
        <v>1</v>
      </c>
      <c r="O1600" s="1458">
        <v>2</v>
      </c>
    </row>
    <row r="1601" spans="3:15" ht="13.5">
      <c r="C1601" s="1463" t="s">
        <v>5393</v>
      </c>
      <c r="D1601" s="1460">
        <v>1</v>
      </c>
      <c r="E1601" s="1460">
        <v>1</v>
      </c>
      <c r="F1601" s="1461">
        <v>2</v>
      </c>
      <c r="G1601" s="1472" t="s">
        <v>5393</v>
      </c>
      <c r="H1601" s="1458">
        <v>1</v>
      </c>
      <c r="I1601" s="1458">
        <v>1</v>
      </c>
      <c r="J1601" s="1473">
        <v>2</v>
      </c>
      <c r="K1601" s="1462"/>
      <c r="L1601" s="1456">
        <v>13139000204</v>
      </c>
      <c r="M1601" s="1457">
        <v>1</v>
      </c>
      <c r="N1601" s="1457">
        <v>1</v>
      </c>
      <c r="O1601" s="1458">
        <v>2</v>
      </c>
    </row>
    <row r="1602" spans="3:15" ht="13.5">
      <c r="C1602" s="1463" t="s">
        <v>5394</v>
      </c>
      <c r="D1602" s="1460">
        <v>1</v>
      </c>
      <c r="E1602" s="1460">
        <v>1</v>
      </c>
      <c r="F1602" s="1461">
        <v>2</v>
      </c>
      <c r="G1602" s="1472" t="s">
        <v>5394</v>
      </c>
      <c r="H1602" s="1458">
        <v>1</v>
      </c>
      <c r="I1602" s="1458">
        <v>0</v>
      </c>
      <c r="J1602" s="1473">
        <v>1</v>
      </c>
      <c r="K1602" s="1462"/>
      <c r="L1602" s="1456">
        <v>13139000302</v>
      </c>
      <c r="M1602" s="1457">
        <v>1</v>
      </c>
      <c r="N1602" s="1457">
        <v>1</v>
      </c>
      <c r="O1602" s="1458">
        <v>2</v>
      </c>
    </row>
    <row r="1603" spans="3:15" ht="13.5">
      <c r="C1603" s="1463" t="s">
        <v>5395</v>
      </c>
      <c r="D1603" s="1460">
        <v>1</v>
      </c>
      <c r="E1603" s="1460">
        <v>1</v>
      </c>
      <c r="F1603" s="1461">
        <v>2</v>
      </c>
      <c r="G1603" s="1472" t="s">
        <v>5395</v>
      </c>
      <c r="H1603" s="1458">
        <v>1</v>
      </c>
      <c r="I1603" s="1458">
        <v>1</v>
      </c>
      <c r="J1603" s="1473">
        <v>2</v>
      </c>
      <c r="K1603" s="1462"/>
      <c r="L1603" s="1456">
        <v>13139000303</v>
      </c>
      <c r="M1603" s="1457">
        <v>1</v>
      </c>
      <c r="N1603" s="1457">
        <v>1</v>
      </c>
      <c r="O1603" s="1458">
        <v>2</v>
      </c>
    </row>
    <row r="1604" spans="3:15" ht="13.5">
      <c r="C1604" s="1463" t="s">
        <v>5396</v>
      </c>
      <c r="D1604" s="1460">
        <v>1</v>
      </c>
      <c r="E1604" s="1460">
        <v>1</v>
      </c>
      <c r="F1604" s="1461">
        <v>2</v>
      </c>
      <c r="G1604" s="1472" t="s">
        <v>5396</v>
      </c>
      <c r="H1604" s="1458">
        <v>1</v>
      </c>
      <c r="I1604" s="1458">
        <v>1</v>
      </c>
      <c r="J1604" s="1473">
        <v>2</v>
      </c>
      <c r="K1604" s="1462"/>
      <c r="L1604" s="1456">
        <v>13139000304</v>
      </c>
      <c r="M1604" s="1457">
        <v>1</v>
      </c>
      <c r="N1604" s="1457">
        <v>1</v>
      </c>
      <c r="O1604" s="1458">
        <v>2</v>
      </c>
    </row>
    <row r="1605" spans="3:15" ht="13.5">
      <c r="C1605" s="1463" t="s">
        <v>5397</v>
      </c>
      <c r="D1605" s="1460">
        <v>1</v>
      </c>
      <c r="E1605" s="1460">
        <v>1</v>
      </c>
      <c r="F1605" s="1461">
        <v>2</v>
      </c>
      <c r="G1605" s="1472" t="s">
        <v>5397</v>
      </c>
      <c r="H1605" s="1458">
        <v>1</v>
      </c>
      <c r="I1605" s="1458">
        <v>1</v>
      </c>
      <c r="J1605" s="1473">
        <v>2</v>
      </c>
      <c r="K1605" s="1462"/>
      <c r="L1605" s="1456">
        <v>13139000305</v>
      </c>
      <c r="M1605" s="1457">
        <v>1</v>
      </c>
      <c r="N1605" s="1457">
        <v>1</v>
      </c>
      <c r="O1605" s="1458">
        <v>2</v>
      </c>
    </row>
    <row r="1606" spans="3:15" ht="13.5">
      <c r="C1606" s="1463" t="s">
        <v>5398</v>
      </c>
      <c r="D1606" s="1460">
        <v>1</v>
      </c>
      <c r="E1606" s="1460">
        <v>0</v>
      </c>
      <c r="F1606" s="1461">
        <v>1</v>
      </c>
      <c r="G1606" s="1472" t="s">
        <v>5398</v>
      </c>
      <c r="H1606" s="1458">
        <v>1</v>
      </c>
      <c r="I1606" s="1458">
        <v>1</v>
      </c>
      <c r="J1606" s="1473">
        <v>2</v>
      </c>
      <c r="K1606" s="1462"/>
      <c r="L1606" s="1456">
        <v>13139000400</v>
      </c>
      <c r="M1606" s="1457">
        <v>1</v>
      </c>
      <c r="N1606" s="1457">
        <v>1</v>
      </c>
      <c r="O1606" s="1458">
        <v>2</v>
      </c>
    </row>
    <row r="1607" spans="3:15" ht="13.5">
      <c r="C1607" s="1463" t="s">
        <v>5399</v>
      </c>
      <c r="D1607" s="1460">
        <v>1</v>
      </c>
      <c r="E1607" s="1460">
        <v>1</v>
      </c>
      <c r="F1607" s="1461">
        <v>2</v>
      </c>
      <c r="G1607" s="1472" t="s">
        <v>5399</v>
      </c>
      <c r="H1607" s="1458">
        <v>1</v>
      </c>
      <c r="I1607" s="1458">
        <v>1</v>
      </c>
      <c r="J1607" s="1473">
        <v>2</v>
      </c>
      <c r="K1607" s="1462"/>
      <c r="L1607" s="1456">
        <v>13139000500</v>
      </c>
      <c r="M1607" s="1457">
        <v>1</v>
      </c>
      <c r="N1607" s="1457">
        <v>1</v>
      </c>
      <c r="O1607" s="1458">
        <v>2</v>
      </c>
    </row>
    <row r="1608" spans="3:15" ht="13.5">
      <c r="C1608" s="1463" t="s">
        <v>5400</v>
      </c>
      <c r="D1608" s="1460">
        <v>0</v>
      </c>
      <c r="E1608" s="1460">
        <v>0</v>
      </c>
      <c r="F1608" s="1461">
        <v>0</v>
      </c>
      <c r="G1608" s="1472" t="s">
        <v>5400</v>
      </c>
      <c r="H1608" s="1458">
        <v>0</v>
      </c>
      <c r="I1608" s="1458">
        <v>0</v>
      </c>
      <c r="J1608" s="1473">
        <v>0</v>
      </c>
      <c r="K1608" s="1462"/>
      <c r="L1608" s="1456">
        <v>13139000600</v>
      </c>
      <c r="M1608" s="1457">
        <v>0</v>
      </c>
      <c r="N1608" s="1457">
        <v>0</v>
      </c>
      <c r="O1608" s="1458">
        <v>0</v>
      </c>
    </row>
    <row r="1609" spans="3:15" ht="13.5">
      <c r="C1609" s="1463" t="s">
        <v>5401</v>
      </c>
      <c r="D1609" s="1460">
        <v>0</v>
      </c>
      <c r="E1609" s="1460">
        <v>0</v>
      </c>
      <c r="F1609" s="1461">
        <v>0</v>
      </c>
      <c r="G1609" s="1472" t="s">
        <v>5401</v>
      </c>
      <c r="H1609" s="1458">
        <v>0</v>
      </c>
      <c r="I1609" s="1458">
        <v>0</v>
      </c>
      <c r="J1609" s="1473">
        <v>0</v>
      </c>
      <c r="K1609" s="1462"/>
      <c r="L1609" s="1456">
        <v>13139000701</v>
      </c>
      <c r="M1609" s="1457">
        <v>0</v>
      </c>
      <c r="N1609" s="1457">
        <v>0</v>
      </c>
      <c r="O1609" s="1458">
        <v>0</v>
      </c>
    </row>
    <row r="1610" spans="3:15" ht="13.5">
      <c r="C1610" s="1463" t="s">
        <v>5402</v>
      </c>
      <c r="D1610" s="1460">
        <v>0</v>
      </c>
      <c r="E1610" s="1460">
        <v>0</v>
      </c>
      <c r="F1610" s="1461">
        <v>0</v>
      </c>
      <c r="G1610" s="1472" t="s">
        <v>5402</v>
      </c>
      <c r="H1610" s="1458">
        <v>0</v>
      </c>
      <c r="I1610" s="1458">
        <v>0</v>
      </c>
      <c r="J1610" s="1473">
        <v>0</v>
      </c>
      <c r="K1610" s="1462"/>
      <c r="L1610" s="1456">
        <v>13139000702</v>
      </c>
      <c r="M1610" s="1457">
        <v>0</v>
      </c>
      <c r="N1610" s="1457">
        <v>0</v>
      </c>
      <c r="O1610" s="1458">
        <v>0</v>
      </c>
    </row>
    <row r="1611" spans="3:15" ht="13.5">
      <c r="C1611" s="1463" t="s">
        <v>5403</v>
      </c>
      <c r="D1611" s="1460">
        <v>0</v>
      </c>
      <c r="E1611" s="1460">
        <v>0</v>
      </c>
      <c r="F1611" s="1461">
        <v>0</v>
      </c>
      <c r="G1611" s="1472" t="s">
        <v>5403</v>
      </c>
      <c r="H1611" s="1458">
        <v>0</v>
      </c>
      <c r="I1611" s="1458">
        <v>0</v>
      </c>
      <c r="J1611" s="1473">
        <v>0</v>
      </c>
      <c r="K1611" s="1462"/>
      <c r="L1611" s="1456">
        <v>13139000800</v>
      </c>
      <c r="M1611" s="1457">
        <v>0</v>
      </c>
      <c r="N1611" s="1457">
        <v>0</v>
      </c>
      <c r="O1611" s="1458">
        <v>0</v>
      </c>
    </row>
    <row r="1612" spans="3:15" ht="13.5">
      <c r="C1612" s="1463" t="s">
        <v>5404</v>
      </c>
      <c r="D1612" s="1460">
        <v>1</v>
      </c>
      <c r="E1612" s="1460">
        <v>1</v>
      </c>
      <c r="F1612" s="1461">
        <v>2</v>
      </c>
      <c r="G1612" s="1472" t="s">
        <v>5404</v>
      </c>
      <c r="H1612" s="1458">
        <v>1</v>
      </c>
      <c r="I1612" s="1458">
        <v>1</v>
      </c>
      <c r="J1612" s="1473">
        <v>2</v>
      </c>
      <c r="K1612" s="1462"/>
      <c r="L1612" s="1456">
        <v>13139000900</v>
      </c>
      <c r="M1612" s="1457">
        <v>1</v>
      </c>
      <c r="N1612" s="1457">
        <v>1</v>
      </c>
      <c r="O1612" s="1458">
        <v>2</v>
      </c>
    </row>
    <row r="1613" spans="3:15" ht="13.5">
      <c r="C1613" s="1463" t="s">
        <v>5405</v>
      </c>
      <c r="D1613" s="1460">
        <v>1</v>
      </c>
      <c r="E1613" s="1460">
        <v>0</v>
      </c>
      <c r="F1613" s="1461">
        <v>1</v>
      </c>
      <c r="G1613" s="1472" t="s">
        <v>5405</v>
      </c>
      <c r="H1613" s="1458">
        <v>0</v>
      </c>
      <c r="I1613" s="1458">
        <v>1</v>
      </c>
      <c r="J1613" s="1473">
        <v>1</v>
      </c>
      <c r="K1613" s="1462"/>
      <c r="L1613" s="1456">
        <v>13139001002</v>
      </c>
      <c r="M1613" s="1457">
        <v>1</v>
      </c>
      <c r="N1613" s="1457">
        <v>1</v>
      </c>
      <c r="O1613" s="1458">
        <v>1</v>
      </c>
    </row>
    <row r="1614" spans="3:15" ht="13.5">
      <c r="C1614" s="1463" t="s">
        <v>5406</v>
      </c>
      <c r="D1614" s="1460">
        <v>0</v>
      </c>
      <c r="E1614" s="1460">
        <v>0</v>
      </c>
      <c r="F1614" s="1461">
        <v>0</v>
      </c>
      <c r="G1614" s="1472" t="s">
        <v>5406</v>
      </c>
      <c r="H1614" s="1458">
        <v>0</v>
      </c>
      <c r="I1614" s="1458">
        <v>0</v>
      </c>
      <c r="J1614" s="1473">
        <v>0</v>
      </c>
      <c r="K1614" s="1462"/>
      <c r="L1614" s="1456">
        <v>13139001003</v>
      </c>
      <c r="M1614" s="1457">
        <v>0</v>
      </c>
      <c r="N1614" s="1457">
        <v>0</v>
      </c>
      <c r="O1614" s="1458">
        <v>0</v>
      </c>
    </row>
    <row r="1615" spans="3:15" ht="13.5">
      <c r="C1615" s="1463" t="s">
        <v>5407</v>
      </c>
      <c r="D1615" s="1460">
        <v>1</v>
      </c>
      <c r="E1615" s="1460">
        <v>1</v>
      </c>
      <c r="F1615" s="1461">
        <v>2</v>
      </c>
      <c r="G1615" s="1472" t="s">
        <v>5407</v>
      </c>
      <c r="H1615" s="1458">
        <v>0</v>
      </c>
      <c r="I1615" s="1458">
        <v>0</v>
      </c>
      <c r="J1615" s="1473">
        <v>0</v>
      </c>
      <c r="K1615" s="1462"/>
      <c r="L1615" s="1456">
        <v>13139001004</v>
      </c>
      <c r="M1615" s="1457">
        <v>1</v>
      </c>
      <c r="N1615" s="1457">
        <v>1</v>
      </c>
      <c r="O1615" s="1458">
        <v>2</v>
      </c>
    </row>
    <row r="1616" spans="3:15" ht="13.5">
      <c r="C1616" s="1463" t="s">
        <v>5408</v>
      </c>
      <c r="D1616" s="1460">
        <v>0</v>
      </c>
      <c r="E1616" s="1460">
        <v>0</v>
      </c>
      <c r="F1616" s="1461">
        <v>0</v>
      </c>
      <c r="G1616" s="1472" t="s">
        <v>5408</v>
      </c>
      <c r="H1616" s="1458">
        <v>0</v>
      </c>
      <c r="I1616" s="1458" t="s">
        <v>3911</v>
      </c>
      <c r="J1616" s="1473">
        <v>0</v>
      </c>
      <c r="K1616" s="1462"/>
      <c r="L1616" s="1456">
        <v>13139001101</v>
      </c>
      <c r="M1616" s="1457">
        <v>0</v>
      </c>
      <c r="N1616" s="1457">
        <v>0</v>
      </c>
      <c r="O1616" s="1458">
        <v>0</v>
      </c>
    </row>
    <row r="1617" spans="3:15" ht="13.5">
      <c r="C1617" s="1463" t="s">
        <v>5409</v>
      </c>
      <c r="D1617" s="1460">
        <v>0</v>
      </c>
      <c r="E1617" s="1460">
        <v>0</v>
      </c>
      <c r="F1617" s="1461">
        <v>0</v>
      </c>
      <c r="G1617" s="1472" t="s">
        <v>5409</v>
      </c>
      <c r="H1617" s="1458">
        <v>1</v>
      </c>
      <c r="I1617" s="1458">
        <v>0</v>
      </c>
      <c r="J1617" s="1473">
        <v>1</v>
      </c>
      <c r="K1617" s="1462"/>
      <c r="L1617" s="1456">
        <v>13139001102</v>
      </c>
      <c r="M1617" s="1457">
        <v>1</v>
      </c>
      <c r="N1617" s="1457">
        <v>0</v>
      </c>
      <c r="O1617" s="1458">
        <v>1</v>
      </c>
    </row>
    <row r="1618" spans="3:15" ht="13.5">
      <c r="C1618" s="1463" t="s">
        <v>5410</v>
      </c>
      <c r="D1618" s="1460">
        <v>0</v>
      </c>
      <c r="E1618" s="1460">
        <v>0</v>
      </c>
      <c r="F1618" s="1461">
        <v>0</v>
      </c>
      <c r="G1618" s="1472" t="s">
        <v>5410</v>
      </c>
      <c r="H1618" s="1458">
        <v>0</v>
      </c>
      <c r="I1618" s="1458">
        <v>0</v>
      </c>
      <c r="J1618" s="1473">
        <v>0</v>
      </c>
      <c r="K1618" s="1462"/>
      <c r="L1618" s="1456">
        <v>13139001201</v>
      </c>
      <c r="M1618" s="1457">
        <v>0</v>
      </c>
      <c r="N1618" s="1457">
        <v>0</v>
      </c>
      <c r="O1618" s="1458">
        <v>0</v>
      </c>
    </row>
    <row r="1619" spans="3:15" ht="13.5">
      <c r="C1619" s="1463" t="s">
        <v>5411</v>
      </c>
      <c r="D1619" s="1460">
        <v>1</v>
      </c>
      <c r="E1619" s="1460">
        <v>0</v>
      </c>
      <c r="F1619" s="1461">
        <v>1</v>
      </c>
      <c r="G1619" s="1472" t="s">
        <v>5411</v>
      </c>
      <c r="H1619" s="1458">
        <v>0</v>
      </c>
      <c r="I1619" s="1458">
        <v>0</v>
      </c>
      <c r="J1619" s="1473">
        <v>0</v>
      </c>
      <c r="K1619" s="1462"/>
      <c r="L1619" s="1456">
        <v>13139001202</v>
      </c>
      <c r="M1619" s="1457">
        <v>1</v>
      </c>
      <c r="N1619" s="1457">
        <v>0</v>
      </c>
      <c r="O1619" s="1458">
        <v>1</v>
      </c>
    </row>
    <row r="1620" spans="3:15" ht="13.5">
      <c r="C1620" s="1463" t="s">
        <v>5412</v>
      </c>
      <c r="D1620" s="1460">
        <v>1</v>
      </c>
      <c r="E1620" s="1460">
        <v>1</v>
      </c>
      <c r="F1620" s="1461">
        <v>2</v>
      </c>
      <c r="G1620" s="1472" t="s">
        <v>5412</v>
      </c>
      <c r="H1620" s="1458">
        <v>1</v>
      </c>
      <c r="I1620" s="1458">
        <v>0</v>
      </c>
      <c r="J1620" s="1473">
        <v>1</v>
      </c>
      <c r="K1620" s="1462"/>
      <c r="L1620" s="1456">
        <v>13139001301</v>
      </c>
      <c r="M1620" s="1457">
        <v>1</v>
      </c>
      <c r="N1620" s="1457">
        <v>1</v>
      </c>
      <c r="O1620" s="1458">
        <v>2</v>
      </c>
    </row>
    <row r="1621" spans="3:15" ht="13.5">
      <c r="C1621" s="1463" t="s">
        <v>5413</v>
      </c>
      <c r="D1621" s="1460">
        <v>1</v>
      </c>
      <c r="E1621" s="1460">
        <v>1</v>
      </c>
      <c r="F1621" s="1461">
        <v>2</v>
      </c>
      <c r="G1621" s="1472" t="s">
        <v>5413</v>
      </c>
      <c r="H1621" s="1458">
        <v>1</v>
      </c>
      <c r="I1621" s="1458">
        <v>1</v>
      </c>
      <c r="J1621" s="1473">
        <v>2</v>
      </c>
      <c r="K1621" s="1462"/>
      <c r="L1621" s="1456">
        <v>13139001302</v>
      </c>
      <c r="M1621" s="1457">
        <v>1</v>
      </c>
      <c r="N1621" s="1457">
        <v>1</v>
      </c>
      <c r="O1621" s="1458">
        <v>2</v>
      </c>
    </row>
    <row r="1622" spans="3:15" ht="13.5">
      <c r="C1622" s="1463" t="s">
        <v>5414</v>
      </c>
      <c r="D1622" s="1460">
        <v>1</v>
      </c>
      <c r="E1622" s="1460">
        <v>1</v>
      </c>
      <c r="F1622" s="1461">
        <v>2</v>
      </c>
      <c r="G1622" s="1472" t="s">
        <v>5414</v>
      </c>
      <c r="H1622" s="1458">
        <v>1</v>
      </c>
      <c r="I1622" s="1458">
        <v>0</v>
      </c>
      <c r="J1622" s="1473">
        <v>1</v>
      </c>
      <c r="K1622" s="1462"/>
      <c r="L1622" s="1456">
        <v>13139001402</v>
      </c>
      <c r="M1622" s="1457">
        <v>1</v>
      </c>
      <c r="N1622" s="1457">
        <v>1</v>
      </c>
      <c r="O1622" s="1458">
        <v>2</v>
      </c>
    </row>
    <row r="1623" spans="3:15" ht="13.5">
      <c r="C1623" s="1463" t="s">
        <v>5415</v>
      </c>
      <c r="D1623" s="1460">
        <v>0</v>
      </c>
      <c r="E1623" s="1460">
        <v>0</v>
      </c>
      <c r="F1623" s="1461">
        <v>0</v>
      </c>
      <c r="G1623" s="1472" t="s">
        <v>5415</v>
      </c>
      <c r="H1623" s="1458">
        <v>0</v>
      </c>
      <c r="I1623" s="1458">
        <v>0</v>
      </c>
      <c r="J1623" s="1473">
        <v>0</v>
      </c>
      <c r="K1623" s="1462"/>
      <c r="L1623" s="1456">
        <v>13139001403</v>
      </c>
      <c r="M1623" s="1457">
        <v>0</v>
      </c>
      <c r="N1623" s="1457">
        <v>0</v>
      </c>
      <c r="O1623" s="1458">
        <v>0</v>
      </c>
    </row>
    <row r="1624" spans="3:15" ht="13.5">
      <c r="C1624" s="1463" t="s">
        <v>5416</v>
      </c>
      <c r="D1624" s="1460">
        <v>1</v>
      </c>
      <c r="E1624" s="1460">
        <v>0</v>
      </c>
      <c r="F1624" s="1461">
        <v>1</v>
      </c>
      <c r="G1624" s="1472" t="s">
        <v>5416</v>
      </c>
      <c r="H1624" s="1458">
        <v>1</v>
      </c>
      <c r="I1624" s="1458">
        <v>0</v>
      </c>
      <c r="J1624" s="1473">
        <v>1</v>
      </c>
      <c r="K1624" s="1462"/>
      <c r="L1624" s="1456">
        <v>13139001404</v>
      </c>
      <c r="M1624" s="1457">
        <v>1</v>
      </c>
      <c r="N1624" s="1457">
        <v>0</v>
      </c>
      <c r="O1624" s="1458">
        <v>1</v>
      </c>
    </row>
    <row r="1625" spans="3:15" ht="13.5">
      <c r="C1625" s="1463" t="s">
        <v>5417</v>
      </c>
      <c r="D1625" s="1460">
        <v>1</v>
      </c>
      <c r="E1625" s="1460">
        <v>1</v>
      </c>
      <c r="F1625" s="1461">
        <v>2</v>
      </c>
      <c r="G1625" s="1472" t="s">
        <v>5417</v>
      </c>
      <c r="H1625" s="1458">
        <v>1</v>
      </c>
      <c r="I1625" s="1458">
        <v>1</v>
      </c>
      <c r="J1625" s="1473">
        <v>2</v>
      </c>
      <c r="K1625" s="1462"/>
      <c r="L1625" s="1456">
        <v>13139001501</v>
      </c>
      <c r="M1625" s="1457">
        <v>1</v>
      </c>
      <c r="N1625" s="1457">
        <v>1</v>
      </c>
      <c r="O1625" s="1458">
        <v>2</v>
      </c>
    </row>
    <row r="1626" spans="3:15" ht="13.5">
      <c r="C1626" s="1463" t="s">
        <v>5418</v>
      </c>
      <c r="D1626" s="1460">
        <v>1</v>
      </c>
      <c r="E1626" s="1460">
        <v>1</v>
      </c>
      <c r="F1626" s="1461">
        <v>2</v>
      </c>
      <c r="G1626" s="1472" t="s">
        <v>5418</v>
      </c>
      <c r="H1626" s="1458">
        <v>1</v>
      </c>
      <c r="I1626" s="1458">
        <v>1</v>
      </c>
      <c r="J1626" s="1473">
        <v>2</v>
      </c>
      <c r="K1626" s="1462"/>
      <c r="L1626" s="1456">
        <v>13139001502</v>
      </c>
      <c r="M1626" s="1457">
        <v>1</v>
      </c>
      <c r="N1626" s="1457">
        <v>1</v>
      </c>
      <c r="O1626" s="1458">
        <v>2</v>
      </c>
    </row>
    <row r="1627" spans="3:15" ht="13.5">
      <c r="C1627" s="1463" t="s">
        <v>5419</v>
      </c>
      <c r="D1627" s="1460">
        <v>1</v>
      </c>
      <c r="E1627" s="1460">
        <v>1</v>
      </c>
      <c r="F1627" s="1461">
        <v>2</v>
      </c>
      <c r="G1627" s="1472" t="s">
        <v>5419</v>
      </c>
      <c r="H1627" s="1458">
        <v>1</v>
      </c>
      <c r="I1627" s="1458">
        <v>0</v>
      </c>
      <c r="J1627" s="1473">
        <v>1</v>
      </c>
      <c r="K1627" s="1462"/>
      <c r="L1627" s="1456">
        <v>13139001603</v>
      </c>
      <c r="M1627" s="1457">
        <v>1</v>
      </c>
      <c r="N1627" s="1457">
        <v>1</v>
      </c>
      <c r="O1627" s="1458">
        <v>2</v>
      </c>
    </row>
    <row r="1628" spans="3:15" ht="13.5">
      <c r="C1628" s="1463" t="s">
        <v>5420</v>
      </c>
      <c r="D1628" s="1460">
        <v>1</v>
      </c>
      <c r="E1628" s="1460">
        <v>1</v>
      </c>
      <c r="F1628" s="1461">
        <v>2</v>
      </c>
      <c r="G1628" s="1472" t="s">
        <v>5420</v>
      </c>
      <c r="H1628" s="1458">
        <v>1</v>
      </c>
      <c r="I1628" s="1458">
        <v>1</v>
      </c>
      <c r="J1628" s="1473">
        <v>2</v>
      </c>
      <c r="K1628" s="1462"/>
      <c r="L1628" s="1456">
        <v>13139001604</v>
      </c>
      <c r="M1628" s="1457">
        <v>1</v>
      </c>
      <c r="N1628" s="1457">
        <v>1</v>
      </c>
      <c r="O1628" s="1458">
        <v>2</v>
      </c>
    </row>
    <row r="1629" spans="3:15" ht="13.5">
      <c r="C1629" s="1463" t="s">
        <v>5421</v>
      </c>
      <c r="D1629" s="1460">
        <v>1</v>
      </c>
      <c r="E1629" s="1460">
        <v>1</v>
      </c>
      <c r="F1629" s="1461">
        <v>2</v>
      </c>
      <c r="G1629" s="1472" t="s">
        <v>5421</v>
      </c>
      <c r="H1629" s="1458">
        <v>1</v>
      </c>
      <c r="I1629" s="1458" t="s">
        <v>3911</v>
      </c>
      <c r="J1629" s="1473">
        <v>1</v>
      </c>
      <c r="K1629" s="1462"/>
      <c r="L1629" s="1456">
        <v>13139001605</v>
      </c>
      <c r="M1629" s="1457">
        <v>1</v>
      </c>
      <c r="N1629" s="1457">
        <v>1</v>
      </c>
      <c r="O1629" s="1458">
        <v>2</v>
      </c>
    </row>
    <row r="1630" spans="3:15" ht="13.5">
      <c r="C1630" s="1463" t="s">
        <v>5422</v>
      </c>
      <c r="D1630" s="1460">
        <v>1</v>
      </c>
      <c r="E1630" s="1460">
        <v>1</v>
      </c>
      <c r="F1630" s="1461">
        <v>2</v>
      </c>
      <c r="G1630" s="1472" t="s">
        <v>5422</v>
      </c>
      <c r="H1630" s="1458">
        <v>1</v>
      </c>
      <c r="I1630" s="1458">
        <v>1</v>
      </c>
      <c r="J1630" s="1473">
        <v>2</v>
      </c>
      <c r="K1630" s="1462"/>
      <c r="L1630" s="1456">
        <v>13139001606</v>
      </c>
      <c r="M1630" s="1457">
        <v>1</v>
      </c>
      <c r="N1630" s="1457">
        <v>1</v>
      </c>
      <c r="O1630" s="1458">
        <v>2</v>
      </c>
    </row>
    <row r="1631" spans="3:15" ht="13.5">
      <c r="C1631" s="1463" t="s">
        <v>5423</v>
      </c>
      <c r="D1631" s="1460">
        <v>0</v>
      </c>
      <c r="E1631" s="1460">
        <v>1</v>
      </c>
      <c r="F1631" s="1461">
        <v>1</v>
      </c>
      <c r="G1631" s="1472" t="s">
        <v>5423</v>
      </c>
      <c r="H1631" s="1458">
        <v>1</v>
      </c>
      <c r="I1631" s="1458">
        <v>1</v>
      </c>
      <c r="J1631" s="1473">
        <v>2</v>
      </c>
      <c r="K1631" s="1462"/>
      <c r="L1631" s="1456">
        <v>13139001607</v>
      </c>
      <c r="M1631" s="1457">
        <v>1</v>
      </c>
      <c r="N1631" s="1457">
        <v>1</v>
      </c>
      <c r="O1631" s="1458">
        <v>2</v>
      </c>
    </row>
    <row r="1632" spans="3:15" ht="13.5">
      <c r="C1632" s="1463" t="s">
        <v>5424</v>
      </c>
      <c r="D1632" s="1460">
        <v>1</v>
      </c>
      <c r="E1632" s="1460">
        <v>1</v>
      </c>
      <c r="F1632" s="1461">
        <v>2</v>
      </c>
      <c r="G1632" s="1472" t="s">
        <v>5424</v>
      </c>
      <c r="H1632" s="1458">
        <v>1</v>
      </c>
      <c r="I1632" s="1458">
        <v>1</v>
      </c>
      <c r="J1632" s="1473">
        <v>2</v>
      </c>
      <c r="K1632" s="1462"/>
      <c r="L1632" s="1456">
        <v>13139001608</v>
      </c>
      <c r="M1632" s="1457">
        <v>1</v>
      </c>
      <c r="N1632" s="1457">
        <v>1</v>
      </c>
      <c r="O1632" s="1458">
        <v>2</v>
      </c>
    </row>
    <row r="1633" spans="3:15" ht="13.5">
      <c r="C1633" s="1463" t="s">
        <v>5425</v>
      </c>
      <c r="D1633" s="1460">
        <v>0</v>
      </c>
      <c r="E1633" s="1460">
        <v>0</v>
      </c>
      <c r="F1633" s="1461">
        <v>0</v>
      </c>
      <c r="G1633" s="1472" t="s">
        <v>5425</v>
      </c>
      <c r="H1633" s="1458">
        <v>0</v>
      </c>
      <c r="I1633" s="1458">
        <v>1</v>
      </c>
      <c r="J1633" s="1473">
        <v>1</v>
      </c>
      <c r="K1633" s="1462"/>
      <c r="L1633" s="1456">
        <v>13141480300</v>
      </c>
      <c r="M1633" s="1457">
        <v>0</v>
      </c>
      <c r="N1633" s="1457">
        <v>1</v>
      </c>
      <c r="O1633" s="1458">
        <v>1</v>
      </c>
    </row>
    <row r="1634" spans="3:15" ht="13.5">
      <c r="C1634" s="1463" t="s">
        <v>5426</v>
      </c>
      <c r="D1634" s="1460">
        <v>0</v>
      </c>
      <c r="E1634" s="1460">
        <v>0</v>
      </c>
      <c r="F1634" s="1461">
        <v>0</v>
      </c>
      <c r="G1634" s="1472" t="s">
        <v>5426</v>
      </c>
      <c r="H1634" s="1458">
        <v>0</v>
      </c>
      <c r="I1634" s="1458">
        <v>1</v>
      </c>
      <c r="J1634" s="1473">
        <v>1</v>
      </c>
      <c r="K1634" s="1462"/>
      <c r="L1634" s="1456">
        <v>13141480400</v>
      </c>
      <c r="M1634" s="1457">
        <v>0</v>
      </c>
      <c r="N1634" s="1457">
        <v>1</v>
      </c>
      <c r="O1634" s="1458">
        <v>1</v>
      </c>
    </row>
    <row r="1635" spans="3:15" ht="13.5">
      <c r="C1635" s="1463" t="s">
        <v>5427</v>
      </c>
      <c r="D1635" s="1460">
        <v>0</v>
      </c>
      <c r="E1635" s="1460">
        <v>0</v>
      </c>
      <c r="F1635" s="1461">
        <v>0</v>
      </c>
      <c r="G1635" s="1472" t="s">
        <v>5427</v>
      </c>
      <c r="H1635" s="1458">
        <v>0</v>
      </c>
      <c r="I1635" s="1458">
        <v>0</v>
      </c>
      <c r="J1635" s="1473">
        <v>0</v>
      </c>
      <c r="K1635" s="1462"/>
      <c r="L1635" s="1456">
        <v>13143010100</v>
      </c>
      <c r="M1635" s="1457">
        <v>0</v>
      </c>
      <c r="N1635" s="1457">
        <v>0</v>
      </c>
      <c r="O1635" s="1458">
        <v>0</v>
      </c>
    </row>
    <row r="1636" spans="3:15" ht="13.5">
      <c r="C1636" s="1463" t="s">
        <v>5428</v>
      </c>
      <c r="D1636" s="1460">
        <v>0</v>
      </c>
      <c r="E1636" s="1460">
        <v>1</v>
      </c>
      <c r="F1636" s="1461">
        <v>1</v>
      </c>
      <c r="G1636" s="1472" t="s">
        <v>5428</v>
      </c>
      <c r="H1636" s="1458">
        <v>0</v>
      </c>
      <c r="I1636" s="1458">
        <v>0</v>
      </c>
      <c r="J1636" s="1473">
        <v>0</v>
      </c>
      <c r="K1636" s="1462"/>
      <c r="L1636" s="1456">
        <v>13143010200</v>
      </c>
      <c r="M1636" s="1457">
        <v>0</v>
      </c>
      <c r="N1636" s="1457">
        <v>1</v>
      </c>
      <c r="O1636" s="1458">
        <v>1</v>
      </c>
    </row>
    <row r="1637" spans="3:15" ht="13.5">
      <c r="C1637" s="1463" t="s">
        <v>5429</v>
      </c>
      <c r="D1637" s="1460">
        <v>0</v>
      </c>
      <c r="E1637" s="1460">
        <v>0</v>
      </c>
      <c r="F1637" s="1461">
        <v>0</v>
      </c>
      <c r="G1637" s="1472" t="s">
        <v>5429</v>
      </c>
      <c r="H1637" s="1458">
        <v>0</v>
      </c>
      <c r="I1637" s="1458">
        <v>0</v>
      </c>
      <c r="J1637" s="1473">
        <v>0</v>
      </c>
      <c r="K1637" s="1462"/>
      <c r="L1637" s="1456">
        <v>13143010301</v>
      </c>
      <c r="M1637" s="1457">
        <v>0</v>
      </c>
      <c r="N1637" s="1457">
        <v>0</v>
      </c>
      <c r="O1637" s="1458">
        <v>0</v>
      </c>
    </row>
    <row r="1638" spans="3:15" ht="13.5">
      <c r="C1638" s="1463" t="s">
        <v>5430</v>
      </c>
      <c r="D1638" s="1460">
        <v>0</v>
      </c>
      <c r="E1638" s="1460">
        <v>0</v>
      </c>
      <c r="F1638" s="1461">
        <v>0</v>
      </c>
      <c r="G1638" s="1472" t="s">
        <v>5430</v>
      </c>
      <c r="H1638" s="1458">
        <v>1</v>
      </c>
      <c r="I1638" s="1458">
        <v>0</v>
      </c>
      <c r="J1638" s="1473">
        <v>1</v>
      </c>
      <c r="K1638" s="1462"/>
      <c r="L1638" s="1456">
        <v>13143010302</v>
      </c>
      <c r="M1638" s="1457">
        <v>1</v>
      </c>
      <c r="N1638" s="1457">
        <v>0</v>
      </c>
      <c r="O1638" s="1458">
        <v>1</v>
      </c>
    </row>
    <row r="1639" spans="3:15" ht="13.5">
      <c r="C1639" s="1463" t="s">
        <v>5431</v>
      </c>
      <c r="D1639" s="1460">
        <v>0</v>
      </c>
      <c r="E1639" s="1460">
        <v>0</v>
      </c>
      <c r="F1639" s="1461">
        <v>0</v>
      </c>
      <c r="G1639" s="1472" t="s">
        <v>5431</v>
      </c>
      <c r="H1639" s="1458">
        <v>0</v>
      </c>
      <c r="I1639" s="1458">
        <v>0</v>
      </c>
      <c r="J1639" s="1473">
        <v>0</v>
      </c>
      <c r="K1639" s="1462"/>
      <c r="L1639" s="1456">
        <v>13143010400</v>
      </c>
      <c r="M1639" s="1457">
        <v>0</v>
      </c>
      <c r="N1639" s="1457">
        <v>0</v>
      </c>
      <c r="O1639" s="1458">
        <v>0</v>
      </c>
    </row>
    <row r="1640" spans="3:15" ht="13.5">
      <c r="C1640" s="1463" t="s">
        <v>5432</v>
      </c>
      <c r="D1640" s="1460">
        <v>0</v>
      </c>
      <c r="E1640" s="1460">
        <v>0</v>
      </c>
      <c r="F1640" s="1461">
        <v>0</v>
      </c>
      <c r="G1640" s="1472" t="s">
        <v>5432</v>
      </c>
      <c r="H1640" s="1458">
        <v>0</v>
      </c>
      <c r="I1640" s="1458">
        <v>1</v>
      </c>
      <c r="J1640" s="1473">
        <v>1</v>
      </c>
      <c r="K1640" s="1462"/>
      <c r="L1640" s="1456">
        <v>13145120198</v>
      </c>
      <c r="M1640" s="1457">
        <v>0</v>
      </c>
      <c r="N1640" s="1457">
        <v>1</v>
      </c>
      <c r="O1640" s="1458">
        <v>1</v>
      </c>
    </row>
    <row r="1641" spans="3:15" ht="13.5">
      <c r="C1641" s="1463" t="s">
        <v>5433</v>
      </c>
      <c r="D1641" s="1460">
        <v>0</v>
      </c>
      <c r="E1641" s="1460">
        <v>1</v>
      </c>
      <c r="F1641" s="1461">
        <v>1</v>
      </c>
      <c r="G1641" s="1472" t="s">
        <v>5433</v>
      </c>
      <c r="H1641" s="1458">
        <v>0</v>
      </c>
      <c r="I1641" s="1458" t="s">
        <v>3911</v>
      </c>
      <c r="J1641" s="1473">
        <v>0</v>
      </c>
      <c r="K1641" s="1462"/>
      <c r="L1641" s="1456">
        <v>13145120200</v>
      </c>
      <c r="M1641" s="1457">
        <v>0</v>
      </c>
      <c r="N1641" s="1457">
        <v>1</v>
      </c>
      <c r="O1641" s="1458">
        <v>1</v>
      </c>
    </row>
    <row r="1642" spans="3:15" ht="13.5">
      <c r="C1642" s="1463" t="s">
        <v>5434</v>
      </c>
      <c r="D1642" s="1460">
        <v>1</v>
      </c>
      <c r="E1642" s="1460">
        <v>1</v>
      </c>
      <c r="F1642" s="1461">
        <v>2</v>
      </c>
      <c r="G1642" s="1472" t="s">
        <v>5434</v>
      </c>
      <c r="H1642" s="1458">
        <v>1</v>
      </c>
      <c r="I1642" s="1458">
        <v>1</v>
      </c>
      <c r="J1642" s="1473">
        <v>2</v>
      </c>
      <c r="K1642" s="1462"/>
      <c r="L1642" s="1456">
        <v>13145120300</v>
      </c>
      <c r="M1642" s="1457">
        <v>1</v>
      </c>
      <c r="N1642" s="1457">
        <v>1</v>
      </c>
      <c r="O1642" s="1458">
        <v>2</v>
      </c>
    </row>
    <row r="1643" spans="3:15" ht="13.5">
      <c r="C1643" s="1463" t="s">
        <v>5435</v>
      </c>
      <c r="D1643" s="1460">
        <v>1</v>
      </c>
      <c r="E1643" s="1460">
        <v>1</v>
      </c>
      <c r="F1643" s="1461">
        <v>2</v>
      </c>
      <c r="G1643" s="1472" t="s">
        <v>5435</v>
      </c>
      <c r="H1643" s="1458">
        <v>1</v>
      </c>
      <c r="I1643" s="1458">
        <v>1</v>
      </c>
      <c r="J1643" s="1473">
        <v>2</v>
      </c>
      <c r="K1643" s="1462"/>
      <c r="L1643" s="1456">
        <v>13145120401</v>
      </c>
      <c r="M1643" s="1457">
        <v>1</v>
      </c>
      <c r="N1643" s="1457">
        <v>1</v>
      </c>
      <c r="O1643" s="1458">
        <v>2</v>
      </c>
    </row>
    <row r="1644" spans="3:15" ht="13.5">
      <c r="C1644" s="1463" t="s">
        <v>5436</v>
      </c>
      <c r="D1644" s="1460">
        <v>1</v>
      </c>
      <c r="E1644" s="1460">
        <v>1</v>
      </c>
      <c r="F1644" s="1461">
        <v>2</v>
      </c>
      <c r="G1644" s="1472" t="s">
        <v>5436</v>
      </c>
      <c r="H1644" s="1458">
        <v>0</v>
      </c>
      <c r="I1644" s="1458">
        <v>1</v>
      </c>
      <c r="J1644" s="1473">
        <v>1</v>
      </c>
      <c r="K1644" s="1462"/>
      <c r="L1644" s="1456">
        <v>13145120402</v>
      </c>
      <c r="M1644" s="1457">
        <v>1</v>
      </c>
      <c r="N1644" s="1457">
        <v>1</v>
      </c>
      <c r="O1644" s="1458">
        <v>2</v>
      </c>
    </row>
    <row r="1645" spans="3:15" ht="13.5">
      <c r="C1645" s="1463" t="s">
        <v>5437</v>
      </c>
      <c r="D1645" s="1460">
        <v>0</v>
      </c>
      <c r="E1645" s="1460">
        <v>1</v>
      </c>
      <c r="F1645" s="1461">
        <v>1</v>
      </c>
      <c r="G1645" s="1472" t="s">
        <v>5437</v>
      </c>
      <c r="H1645" s="1458">
        <v>0</v>
      </c>
      <c r="I1645" s="1458">
        <v>1</v>
      </c>
      <c r="J1645" s="1473">
        <v>1</v>
      </c>
      <c r="K1645" s="1462"/>
      <c r="L1645" s="1456">
        <v>13147960100</v>
      </c>
      <c r="M1645" s="1457">
        <v>0</v>
      </c>
      <c r="N1645" s="1457">
        <v>1</v>
      </c>
      <c r="O1645" s="1458">
        <v>1</v>
      </c>
    </row>
    <row r="1646" spans="3:15" ht="13.5">
      <c r="C1646" s="1463" t="s">
        <v>5438</v>
      </c>
      <c r="D1646" s="1460">
        <v>1</v>
      </c>
      <c r="E1646" s="1460">
        <v>1</v>
      </c>
      <c r="F1646" s="1461">
        <v>2</v>
      </c>
      <c r="G1646" s="1472" t="s">
        <v>5438</v>
      </c>
      <c r="H1646" s="1458">
        <v>0</v>
      </c>
      <c r="I1646" s="1458">
        <v>1</v>
      </c>
      <c r="J1646" s="1473">
        <v>1</v>
      </c>
      <c r="K1646" s="1462"/>
      <c r="L1646" s="1456">
        <v>13147960200</v>
      </c>
      <c r="M1646" s="1457">
        <v>1</v>
      </c>
      <c r="N1646" s="1457">
        <v>1</v>
      </c>
      <c r="O1646" s="1458">
        <v>2</v>
      </c>
    </row>
    <row r="1647" spans="3:15" ht="13.5">
      <c r="C1647" s="1463" t="s">
        <v>5439</v>
      </c>
      <c r="D1647" s="1460">
        <v>0</v>
      </c>
      <c r="E1647" s="1460">
        <v>0</v>
      </c>
      <c r="F1647" s="1461">
        <v>0</v>
      </c>
      <c r="G1647" s="1472" t="s">
        <v>5439</v>
      </c>
      <c r="H1647" s="1458">
        <v>0</v>
      </c>
      <c r="I1647" s="1458">
        <v>0</v>
      </c>
      <c r="J1647" s="1473">
        <v>0</v>
      </c>
      <c r="K1647" s="1462"/>
      <c r="L1647" s="1456">
        <v>13147960300</v>
      </c>
      <c r="M1647" s="1457">
        <v>0</v>
      </c>
      <c r="N1647" s="1457">
        <v>0</v>
      </c>
      <c r="O1647" s="1458">
        <v>0</v>
      </c>
    </row>
    <row r="1648" spans="3:15" ht="13.5">
      <c r="C1648" s="1463" t="s">
        <v>5440</v>
      </c>
      <c r="D1648" s="1460">
        <v>0</v>
      </c>
      <c r="E1648" s="1460">
        <v>0</v>
      </c>
      <c r="F1648" s="1461">
        <v>0</v>
      </c>
      <c r="G1648" s="1472" t="s">
        <v>5440</v>
      </c>
      <c r="H1648" s="1458">
        <v>0</v>
      </c>
      <c r="I1648" s="1458">
        <v>0</v>
      </c>
      <c r="J1648" s="1473">
        <v>0</v>
      </c>
      <c r="K1648" s="1462"/>
      <c r="L1648" s="1456">
        <v>13147960400</v>
      </c>
      <c r="M1648" s="1457">
        <v>0</v>
      </c>
      <c r="N1648" s="1457">
        <v>0</v>
      </c>
      <c r="O1648" s="1458">
        <v>0</v>
      </c>
    </row>
    <row r="1649" spans="3:15" ht="13.5">
      <c r="C1649" s="1463" t="s">
        <v>5441</v>
      </c>
      <c r="D1649" s="1460">
        <v>0</v>
      </c>
      <c r="E1649" s="1460">
        <v>0</v>
      </c>
      <c r="F1649" s="1461">
        <v>0</v>
      </c>
      <c r="G1649" s="1472" t="s">
        <v>5441</v>
      </c>
      <c r="H1649" s="1458">
        <v>0</v>
      </c>
      <c r="I1649" s="1458">
        <v>1</v>
      </c>
      <c r="J1649" s="1473">
        <v>1</v>
      </c>
      <c r="K1649" s="1462"/>
      <c r="L1649" s="1456">
        <v>13147960500</v>
      </c>
      <c r="M1649" s="1457">
        <v>0</v>
      </c>
      <c r="N1649" s="1457">
        <v>1</v>
      </c>
      <c r="O1649" s="1458">
        <v>1</v>
      </c>
    </row>
    <row r="1650" spans="3:15" ht="13.5">
      <c r="C1650" s="1463" t="s">
        <v>5442</v>
      </c>
      <c r="D1650" s="1460">
        <v>0</v>
      </c>
      <c r="E1650" s="1460">
        <v>0</v>
      </c>
      <c r="F1650" s="1461">
        <v>0</v>
      </c>
      <c r="G1650" s="1472" t="s">
        <v>5442</v>
      </c>
      <c r="H1650" s="1458">
        <v>0</v>
      </c>
      <c r="I1650" s="1458">
        <v>0</v>
      </c>
      <c r="J1650" s="1473">
        <v>0</v>
      </c>
      <c r="K1650" s="1462"/>
      <c r="L1650" s="1456">
        <v>13149970100</v>
      </c>
      <c r="M1650" s="1457">
        <v>0</v>
      </c>
      <c r="N1650" s="1457">
        <v>0</v>
      </c>
      <c r="O1650" s="1458">
        <v>0</v>
      </c>
    </row>
    <row r="1651" spans="3:15" ht="13.5">
      <c r="C1651" s="1463" t="s">
        <v>5443</v>
      </c>
      <c r="D1651" s="1460">
        <v>0</v>
      </c>
      <c r="E1651" s="1460">
        <v>1</v>
      </c>
      <c r="F1651" s="1461">
        <v>1</v>
      </c>
      <c r="G1651" s="1472" t="s">
        <v>5443</v>
      </c>
      <c r="H1651" s="1458">
        <v>0</v>
      </c>
      <c r="I1651" s="1458">
        <v>1</v>
      </c>
      <c r="J1651" s="1473">
        <v>1</v>
      </c>
      <c r="K1651" s="1462"/>
      <c r="L1651" s="1456">
        <v>13149970200</v>
      </c>
      <c r="M1651" s="1457">
        <v>0</v>
      </c>
      <c r="N1651" s="1457">
        <v>1</v>
      </c>
      <c r="O1651" s="1458">
        <v>1</v>
      </c>
    </row>
    <row r="1652" spans="3:15" ht="13.5">
      <c r="C1652" s="1463" t="s">
        <v>5444</v>
      </c>
      <c r="D1652" s="1460">
        <v>0</v>
      </c>
      <c r="E1652" s="1460">
        <v>0</v>
      </c>
      <c r="F1652" s="1461">
        <v>0</v>
      </c>
      <c r="G1652" s="1472" t="s">
        <v>5444</v>
      </c>
      <c r="H1652" s="1458">
        <v>1</v>
      </c>
      <c r="I1652" s="1458">
        <v>0</v>
      </c>
      <c r="J1652" s="1473">
        <v>1</v>
      </c>
      <c r="K1652" s="1462"/>
      <c r="L1652" s="1456">
        <v>13149970300</v>
      </c>
      <c r="M1652" s="1457">
        <v>1</v>
      </c>
      <c r="N1652" s="1457">
        <v>0</v>
      </c>
      <c r="O1652" s="1458">
        <v>1</v>
      </c>
    </row>
    <row r="1653" spans="3:15" ht="13.5">
      <c r="C1653" s="1463" t="s">
        <v>5445</v>
      </c>
      <c r="D1653" s="1460">
        <v>1</v>
      </c>
      <c r="E1653" s="1460">
        <v>1</v>
      </c>
      <c r="F1653" s="1461">
        <v>2</v>
      </c>
      <c r="G1653" s="1472" t="s">
        <v>5445</v>
      </c>
      <c r="H1653" s="1458">
        <v>1</v>
      </c>
      <c r="I1653" s="1458">
        <v>1</v>
      </c>
      <c r="J1653" s="1473">
        <v>2</v>
      </c>
      <c r="K1653" s="1462"/>
      <c r="L1653" s="1456">
        <v>13151070104</v>
      </c>
      <c r="M1653" s="1457">
        <v>1</v>
      </c>
      <c r="N1653" s="1457">
        <v>1</v>
      </c>
      <c r="O1653" s="1458">
        <v>2</v>
      </c>
    </row>
    <row r="1654" spans="3:15" ht="13.5">
      <c r="C1654" s="1463" t="s">
        <v>5446</v>
      </c>
      <c r="D1654" s="1460">
        <v>0</v>
      </c>
      <c r="E1654" s="1460">
        <v>0</v>
      </c>
      <c r="F1654" s="1461">
        <v>0</v>
      </c>
      <c r="G1654" s="1472" t="s">
        <v>5446</v>
      </c>
      <c r="H1654" s="1458">
        <v>0</v>
      </c>
      <c r="I1654" s="1458">
        <v>0</v>
      </c>
      <c r="J1654" s="1473">
        <v>0</v>
      </c>
      <c r="K1654" s="1462"/>
      <c r="L1654" s="1456">
        <v>13151070106</v>
      </c>
      <c r="M1654" s="1457">
        <v>0</v>
      </c>
      <c r="N1654" s="1457">
        <v>0</v>
      </c>
      <c r="O1654" s="1458">
        <v>0</v>
      </c>
    </row>
    <row r="1655" spans="3:15" ht="13.5">
      <c r="C1655" s="1463" t="s">
        <v>5447</v>
      </c>
      <c r="D1655" s="1460">
        <v>1</v>
      </c>
      <c r="E1655" s="1460">
        <v>1</v>
      </c>
      <c r="F1655" s="1461">
        <v>2</v>
      </c>
      <c r="G1655" s="1472" t="s">
        <v>5447</v>
      </c>
      <c r="H1655" s="1458">
        <v>1</v>
      </c>
      <c r="I1655" s="1458">
        <v>1</v>
      </c>
      <c r="J1655" s="1473">
        <v>2</v>
      </c>
      <c r="K1655" s="1462"/>
      <c r="L1655" s="1456">
        <v>13151070107</v>
      </c>
      <c r="M1655" s="1457">
        <v>1</v>
      </c>
      <c r="N1655" s="1457">
        <v>1</v>
      </c>
      <c r="O1655" s="1458">
        <v>2</v>
      </c>
    </row>
    <row r="1656" spans="3:15" ht="13.5">
      <c r="C1656" s="1463" t="s">
        <v>5448</v>
      </c>
      <c r="D1656" s="1460">
        <v>1</v>
      </c>
      <c r="E1656" s="1460">
        <v>1</v>
      </c>
      <c r="F1656" s="1461">
        <v>2</v>
      </c>
      <c r="G1656" s="1472" t="s">
        <v>5448</v>
      </c>
      <c r="H1656" s="1458">
        <v>1</v>
      </c>
      <c r="I1656" s="1458">
        <v>1</v>
      </c>
      <c r="J1656" s="1473">
        <v>2</v>
      </c>
      <c r="K1656" s="1462"/>
      <c r="L1656" s="1456">
        <v>13151070108</v>
      </c>
      <c r="M1656" s="1457">
        <v>1</v>
      </c>
      <c r="N1656" s="1457">
        <v>1</v>
      </c>
      <c r="O1656" s="1458">
        <v>2</v>
      </c>
    </row>
    <row r="1657" spans="3:15" ht="13.5">
      <c r="C1657" s="1463" t="s">
        <v>5449</v>
      </c>
      <c r="D1657" s="1460">
        <v>1</v>
      </c>
      <c r="E1657" s="1460">
        <v>1</v>
      </c>
      <c r="F1657" s="1461">
        <v>2</v>
      </c>
      <c r="G1657" s="1472" t="s">
        <v>5449</v>
      </c>
      <c r="H1657" s="1458">
        <v>1</v>
      </c>
      <c r="I1657" s="1458">
        <v>1</v>
      </c>
      <c r="J1657" s="1473">
        <v>2</v>
      </c>
      <c r="K1657" s="1462"/>
      <c r="L1657" s="1456">
        <v>13151070109</v>
      </c>
      <c r="M1657" s="1457">
        <v>1</v>
      </c>
      <c r="N1657" s="1457">
        <v>1</v>
      </c>
      <c r="O1657" s="1458">
        <v>2</v>
      </c>
    </row>
    <row r="1658" spans="3:15" ht="13.5">
      <c r="C1658" s="1463" t="s">
        <v>5450</v>
      </c>
      <c r="D1658" s="1460">
        <v>1</v>
      </c>
      <c r="E1658" s="1460">
        <v>1</v>
      </c>
      <c r="F1658" s="1461">
        <v>2</v>
      </c>
      <c r="G1658" s="1472" t="s">
        <v>5450</v>
      </c>
      <c r="H1658" s="1458">
        <v>1</v>
      </c>
      <c r="I1658" s="1458">
        <v>1</v>
      </c>
      <c r="J1658" s="1473">
        <v>2</v>
      </c>
      <c r="K1658" s="1462"/>
      <c r="L1658" s="1456">
        <v>13151070110</v>
      </c>
      <c r="M1658" s="1457">
        <v>1</v>
      </c>
      <c r="N1658" s="1457">
        <v>1</v>
      </c>
      <c r="O1658" s="1458">
        <v>2</v>
      </c>
    </row>
    <row r="1659" spans="3:15" ht="13.5">
      <c r="C1659" s="1463" t="s">
        <v>5451</v>
      </c>
      <c r="D1659" s="1460">
        <v>0</v>
      </c>
      <c r="E1659" s="1460">
        <v>0</v>
      </c>
      <c r="F1659" s="1461">
        <v>0</v>
      </c>
      <c r="G1659" s="1472" t="s">
        <v>5451</v>
      </c>
      <c r="H1659" s="1458">
        <v>0</v>
      </c>
      <c r="I1659" s="1458">
        <v>0</v>
      </c>
      <c r="J1659" s="1473">
        <v>0</v>
      </c>
      <c r="K1659" s="1462"/>
      <c r="L1659" s="1456">
        <v>13151070111</v>
      </c>
      <c r="M1659" s="1457">
        <v>0</v>
      </c>
      <c r="N1659" s="1457">
        <v>0</v>
      </c>
      <c r="O1659" s="1458">
        <v>0</v>
      </c>
    </row>
    <row r="1660" spans="3:15" ht="13.5">
      <c r="C1660" s="1463" t="s">
        <v>5452</v>
      </c>
      <c r="D1660" s="1460">
        <v>0</v>
      </c>
      <c r="E1660" s="1460">
        <v>0</v>
      </c>
      <c r="F1660" s="1461">
        <v>0</v>
      </c>
      <c r="G1660" s="1472" t="s">
        <v>5452</v>
      </c>
      <c r="H1660" s="1458">
        <v>0</v>
      </c>
      <c r="I1660" s="1458">
        <v>0</v>
      </c>
      <c r="J1660" s="1473">
        <v>0</v>
      </c>
      <c r="K1660" s="1462"/>
      <c r="L1660" s="1456">
        <v>13151070113</v>
      </c>
      <c r="M1660" s="1457">
        <v>0</v>
      </c>
      <c r="N1660" s="1457">
        <v>0</v>
      </c>
      <c r="O1660" s="1458">
        <v>0</v>
      </c>
    </row>
    <row r="1661" spans="3:15" ht="13.5">
      <c r="C1661" s="1463" t="s">
        <v>5453</v>
      </c>
      <c r="D1661" s="1460">
        <v>0</v>
      </c>
      <c r="E1661" s="1460">
        <v>1</v>
      </c>
      <c r="F1661" s="1461">
        <v>1</v>
      </c>
      <c r="G1661" s="1472" t="s">
        <v>5453</v>
      </c>
      <c r="H1661" s="1458">
        <v>0</v>
      </c>
      <c r="I1661" s="1458">
        <v>1</v>
      </c>
      <c r="J1661" s="1473">
        <v>1</v>
      </c>
      <c r="K1661" s="1462"/>
      <c r="L1661" s="1456">
        <v>13151070114</v>
      </c>
      <c r="M1661" s="1457">
        <v>0</v>
      </c>
      <c r="N1661" s="1457">
        <v>1</v>
      </c>
      <c r="O1661" s="1458">
        <v>1</v>
      </c>
    </row>
    <row r="1662" spans="3:15" ht="13.5">
      <c r="C1662" s="1463" t="s">
        <v>5454</v>
      </c>
      <c r="D1662" s="1460">
        <v>1</v>
      </c>
      <c r="E1662" s="1460">
        <v>1</v>
      </c>
      <c r="F1662" s="1461">
        <v>2</v>
      </c>
      <c r="G1662" s="1472" t="s">
        <v>5454</v>
      </c>
      <c r="H1662" s="1458">
        <v>1</v>
      </c>
      <c r="I1662" s="1458">
        <v>1</v>
      </c>
      <c r="J1662" s="1473">
        <v>2</v>
      </c>
      <c r="K1662" s="1462"/>
      <c r="L1662" s="1456">
        <v>13151070202</v>
      </c>
      <c r="M1662" s="1457">
        <v>1</v>
      </c>
      <c r="N1662" s="1457">
        <v>1</v>
      </c>
      <c r="O1662" s="1458">
        <v>2</v>
      </c>
    </row>
    <row r="1663" spans="3:15" ht="13.5">
      <c r="C1663" s="1463" t="s">
        <v>5455</v>
      </c>
      <c r="D1663" s="1460">
        <v>1</v>
      </c>
      <c r="E1663" s="1460">
        <v>1</v>
      </c>
      <c r="F1663" s="1461">
        <v>2</v>
      </c>
      <c r="G1663" s="1472" t="s">
        <v>5455</v>
      </c>
      <c r="H1663" s="1458">
        <v>1</v>
      </c>
      <c r="I1663" s="1458">
        <v>1</v>
      </c>
      <c r="J1663" s="1473">
        <v>2</v>
      </c>
      <c r="K1663" s="1462"/>
      <c r="L1663" s="1456">
        <v>13151070203</v>
      </c>
      <c r="M1663" s="1457">
        <v>1</v>
      </c>
      <c r="N1663" s="1457">
        <v>1</v>
      </c>
      <c r="O1663" s="1458">
        <v>2</v>
      </c>
    </row>
    <row r="1664" spans="3:15" ht="13.5">
      <c r="C1664" s="1463" t="s">
        <v>5456</v>
      </c>
      <c r="D1664" s="1460">
        <v>1</v>
      </c>
      <c r="E1664" s="1460">
        <v>1</v>
      </c>
      <c r="F1664" s="1461">
        <v>2</v>
      </c>
      <c r="G1664" s="1472" t="s">
        <v>5456</v>
      </c>
      <c r="H1664" s="1458">
        <v>1</v>
      </c>
      <c r="I1664" s="1458">
        <v>1</v>
      </c>
      <c r="J1664" s="1473">
        <v>2</v>
      </c>
      <c r="K1664" s="1462"/>
      <c r="L1664" s="1456">
        <v>13151070204</v>
      </c>
      <c r="M1664" s="1457">
        <v>1</v>
      </c>
      <c r="N1664" s="1457">
        <v>1</v>
      </c>
      <c r="O1664" s="1458">
        <v>2</v>
      </c>
    </row>
    <row r="1665" spans="3:15" ht="13.5">
      <c r="C1665" s="1463" t="s">
        <v>5457</v>
      </c>
      <c r="D1665" s="1460">
        <v>0</v>
      </c>
      <c r="E1665" s="1460">
        <v>1</v>
      </c>
      <c r="F1665" s="1461">
        <v>1</v>
      </c>
      <c r="G1665" s="1472" t="s">
        <v>5457</v>
      </c>
      <c r="H1665" s="1458">
        <v>0</v>
      </c>
      <c r="I1665" s="1458">
        <v>1</v>
      </c>
      <c r="J1665" s="1473">
        <v>1</v>
      </c>
      <c r="K1665" s="1462"/>
      <c r="L1665" s="1456">
        <v>13151070205</v>
      </c>
      <c r="M1665" s="1457">
        <v>0</v>
      </c>
      <c r="N1665" s="1457">
        <v>1</v>
      </c>
      <c r="O1665" s="1458">
        <v>1</v>
      </c>
    </row>
    <row r="1666" spans="3:15" ht="13.5">
      <c r="C1666" s="1463" t="s">
        <v>5458</v>
      </c>
      <c r="D1666" s="1460">
        <v>0</v>
      </c>
      <c r="E1666" s="1460">
        <v>0</v>
      </c>
      <c r="F1666" s="1461">
        <v>0</v>
      </c>
      <c r="G1666" s="1472" t="s">
        <v>5458</v>
      </c>
      <c r="H1666" s="1458">
        <v>0</v>
      </c>
      <c r="I1666" s="1458">
        <v>1</v>
      </c>
      <c r="J1666" s="1473">
        <v>1</v>
      </c>
      <c r="K1666" s="1462"/>
      <c r="L1666" s="1456">
        <v>13151070304</v>
      </c>
      <c r="M1666" s="1457">
        <v>0</v>
      </c>
      <c r="N1666" s="1457">
        <v>1</v>
      </c>
      <c r="O1666" s="1458">
        <v>1</v>
      </c>
    </row>
    <row r="1667" spans="3:15" ht="13.5">
      <c r="C1667" s="1463" t="s">
        <v>5459</v>
      </c>
      <c r="D1667" s="1460">
        <v>1</v>
      </c>
      <c r="E1667" s="1460">
        <v>1</v>
      </c>
      <c r="F1667" s="1461">
        <v>2</v>
      </c>
      <c r="G1667" s="1472" t="s">
        <v>5459</v>
      </c>
      <c r="H1667" s="1458">
        <v>1</v>
      </c>
      <c r="I1667" s="1458" t="s">
        <v>3911</v>
      </c>
      <c r="J1667" s="1473">
        <v>1</v>
      </c>
      <c r="K1667" s="1462"/>
      <c r="L1667" s="1456">
        <v>13151070305</v>
      </c>
      <c r="M1667" s="1457">
        <v>1</v>
      </c>
      <c r="N1667" s="1457">
        <v>1</v>
      </c>
      <c r="O1667" s="1458">
        <v>2</v>
      </c>
    </row>
    <row r="1668" spans="3:15" ht="13.5">
      <c r="C1668" s="1463" t="s">
        <v>5460</v>
      </c>
      <c r="D1668" s="1460">
        <v>1</v>
      </c>
      <c r="E1668" s="1460">
        <v>1</v>
      </c>
      <c r="F1668" s="1461">
        <v>2</v>
      </c>
      <c r="G1668" s="1472" t="s">
        <v>5460</v>
      </c>
      <c r="H1668" s="1458">
        <v>1</v>
      </c>
      <c r="I1668" s="1458">
        <v>1</v>
      </c>
      <c r="J1668" s="1473">
        <v>2</v>
      </c>
      <c r="K1668" s="1462"/>
      <c r="L1668" s="1456">
        <v>13151070306</v>
      </c>
      <c r="M1668" s="1457">
        <v>1</v>
      </c>
      <c r="N1668" s="1457">
        <v>1</v>
      </c>
      <c r="O1668" s="1458">
        <v>2</v>
      </c>
    </row>
    <row r="1669" spans="3:15" ht="13.5">
      <c r="C1669" s="1463" t="s">
        <v>5461</v>
      </c>
      <c r="D1669" s="1460">
        <v>1</v>
      </c>
      <c r="E1669" s="1460">
        <v>1</v>
      </c>
      <c r="F1669" s="1461">
        <v>2</v>
      </c>
      <c r="G1669" s="1472" t="s">
        <v>5461</v>
      </c>
      <c r="H1669" s="1458">
        <v>1</v>
      </c>
      <c r="I1669" s="1458">
        <v>1</v>
      </c>
      <c r="J1669" s="1473">
        <v>2</v>
      </c>
      <c r="K1669" s="1462"/>
      <c r="L1669" s="1456">
        <v>13151070307</v>
      </c>
      <c r="M1669" s="1457">
        <v>1</v>
      </c>
      <c r="N1669" s="1457">
        <v>1</v>
      </c>
      <c r="O1669" s="1458">
        <v>2</v>
      </c>
    </row>
    <row r="1670" spans="3:15" ht="13.5">
      <c r="C1670" s="1463" t="s">
        <v>5462</v>
      </c>
      <c r="D1670" s="1460">
        <v>1</v>
      </c>
      <c r="E1670" s="1460">
        <v>1</v>
      </c>
      <c r="F1670" s="1461">
        <v>2</v>
      </c>
      <c r="G1670" s="1472" t="s">
        <v>5462</v>
      </c>
      <c r="H1670" s="1458">
        <v>1</v>
      </c>
      <c r="I1670" s="1458">
        <v>1</v>
      </c>
      <c r="J1670" s="1473">
        <v>2</v>
      </c>
      <c r="K1670" s="1462"/>
      <c r="L1670" s="1456">
        <v>13151070309</v>
      </c>
      <c r="M1670" s="1457">
        <v>1</v>
      </c>
      <c r="N1670" s="1457">
        <v>1</v>
      </c>
      <c r="O1670" s="1458">
        <v>2</v>
      </c>
    </row>
    <row r="1671" spans="3:15" ht="13.5">
      <c r="C1671" s="1463" t="s">
        <v>5463</v>
      </c>
      <c r="D1671" s="1460">
        <v>1</v>
      </c>
      <c r="E1671" s="1460">
        <v>1</v>
      </c>
      <c r="F1671" s="1461">
        <v>2</v>
      </c>
      <c r="G1671" s="1472" t="s">
        <v>5463</v>
      </c>
      <c r="H1671" s="1458">
        <v>1</v>
      </c>
      <c r="I1671" s="1458">
        <v>0</v>
      </c>
      <c r="J1671" s="1473">
        <v>1</v>
      </c>
      <c r="K1671" s="1462"/>
      <c r="L1671" s="1456">
        <v>13151070310</v>
      </c>
      <c r="M1671" s="1457">
        <v>1</v>
      </c>
      <c r="N1671" s="1457">
        <v>1</v>
      </c>
      <c r="O1671" s="1458">
        <v>2</v>
      </c>
    </row>
    <row r="1672" spans="3:15" ht="13.5">
      <c r="C1672" s="1463" t="s">
        <v>5464</v>
      </c>
      <c r="D1672" s="1460">
        <v>0</v>
      </c>
      <c r="E1672" s="1460">
        <v>0</v>
      </c>
      <c r="F1672" s="1461">
        <v>0</v>
      </c>
      <c r="G1672" s="1472" t="s">
        <v>5464</v>
      </c>
      <c r="H1672" s="1458">
        <v>0</v>
      </c>
      <c r="I1672" s="1458" t="s">
        <v>3911</v>
      </c>
      <c r="J1672" s="1473">
        <v>0</v>
      </c>
      <c r="K1672" s="1462"/>
      <c r="L1672" s="1456">
        <v>13151070311</v>
      </c>
      <c r="M1672" s="1457">
        <v>0</v>
      </c>
      <c r="N1672" s="1457">
        <v>0</v>
      </c>
      <c r="O1672" s="1458">
        <v>0</v>
      </c>
    </row>
    <row r="1673" spans="3:15" ht="13.5">
      <c r="C1673" s="1463" t="s">
        <v>5465</v>
      </c>
      <c r="D1673" s="1460">
        <v>1</v>
      </c>
      <c r="E1673" s="1460">
        <v>1</v>
      </c>
      <c r="F1673" s="1461">
        <v>2</v>
      </c>
      <c r="G1673" s="1472" t="s">
        <v>5465</v>
      </c>
      <c r="H1673" s="1458">
        <v>1</v>
      </c>
      <c r="I1673" s="1458">
        <v>1</v>
      </c>
      <c r="J1673" s="1473">
        <v>2</v>
      </c>
      <c r="K1673" s="1462"/>
      <c r="L1673" s="1456">
        <v>13151070402</v>
      </c>
      <c r="M1673" s="1457">
        <v>1</v>
      </c>
      <c r="N1673" s="1457">
        <v>1</v>
      </c>
      <c r="O1673" s="1458">
        <v>2</v>
      </c>
    </row>
    <row r="1674" spans="3:15" ht="13.5">
      <c r="C1674" s="1463" t="s">
        <v>5466</v>
      </c>
      <c r="D1674" s="1460">
        <v>0</v>
      </c>
      <c r="E1674" s="1460">
        <v>1</v>
      </c>
      <c r="F1674" s="1461">
        <v>1</v>
      </c>
      <c r="G1674" s="1472" t="s">
        <v>5466</v>
      </c>
      <c r="H1674" s="1458">
        <v>0</v>
      </c>
      <c r="I1674" s="1458">
        <v>0</v>
      </c>
      <c r="J1674" s="1473">
        <v>0</v>
      </c>
      <c r="K1674" s="1462"/>
      <c r="L1674" s="1456">
        <v>13151070403</v>
      </c>
      <c r="M1674" s="1457">
        <v>0</v>
      </c>
      <c r="N1674" s="1457">
        <v>1</v>
      </c>
      <c r="O1674" s="1458">
        <v>1</v>
      </c>
    </row>
    <row r="1675" spans="3:15" ht="13.5">
      <c r="C1675" s="1463" t="s">
        <v>5467</v>
      </c>
      <c r="D1675" s="1460">
        <v>1</v>
      </c>
      <c r="E1675" s="1460">
        <v>1</v>
      </c>
      <c r="F1675" s="1461">
        <v>2</v>
      </c>
      <c r="G1675" s="1472" t="s">
        <v>5467</v>
      </c>
      <c r="H1675" s="1458">
        <v>1</v>
      </c>
      <c r="I1675" s="1458">
        <v>1</v>
      </c>
      <c r="J1675" s="1473">
        <v>2</v>
      </c>
      <c r="K1675" s="1462"/>
      <c r="L1675" s="1456">
        <v>13151070404</v>
      </c>
      <c r="M1675" s="1457">
        <v>1</v>
      </c>
      <c r="N1675" s="1457">
        <v>1</v>
      </c>
      <c r="O1675" s="1458">
        <v>2</v>
      </c>
    </row>
    <row r="1676" spans="3:15" ht="13.5">
      <c r="C1676" s="1463" t="s">
        <v>5468</v>
      </c>
      <c r="D1676" s="1460">
        <v>0</v>
      </c>
      <c r="E1676" s="1460">
        <v>0</v>
      </c>
      <c r="F1676" s="1461">
        <v>0</v>
      </c>
      <c r="G1676" s="1472" t="s">
        <v>5468</v>
      </c>
      <c r="H1676" s="1458">
        <v>1</v>
      </c>
      <c r="I1676" s="1458">
        <v>0</v>
      </c>
      <c r="J1676" s="1473">
        <v>1</v>
      </c>
      <c r="K1676" s="1462"/>
      <c r="L1676" s="1456">
        <v>13151070501</v>
      </c>
      <c r="M1676" s="1457">
        <v>1</v>
      </c>
      <c r="N1676" s="1457">
        <v>0</v>
      </c>
      <c r="O1676" s="1458">
        <v>1</v>
      </c>
    </row>
    <row r="1677" spans="3:15" ht="13.5">
      <c r="C1677" s="1463" t="s">
        <v>5469</v>
      </c>
      <c r="D1677" s="1460">
        <v>1</v>
      </c>
      <c r="E1677" s="1460">
        <v>1</v>
      </c>
      <c r="F1677" s="1461">
        <v>2</v>
      </c>
      <c r="G1677" s="1472" t="s">
        <v>5469</v>
      </c>
      <c r="H1677" s="1458">
        <v>1</v>
      </c>
      <c r="I1677" s="1458">
        <v>1</v>
      </c>
      <c r="J1677" s="1473">
        <v>2</v>
      </c>
      <c r="K1677" s="1462"/>
      <c r="L1677" s="1456">
        <v>13151070502</v>
      </c>
      <c r="M1677" s="1457">
        <v>1</v>
      </c>
      <c r="N1677" s="1457">
        <v>1</v>
      </c>
      <c r="O1677" s="1458">
        <v>2</v>
      </c>
    </row>
    <row r="1678" spans="3:15" ht="13.5">
      <c r="C1678" s="1463" t="s">
        <v>5470</v>
      </c>
      <c r="D1678" s="1460">
        <v>0</v>
      </c>
      <c r="E1678" s="1460">
        <v>0</v>
      </c>
      <c r="F1678" s="1461">
        <v>0</v>
      </c>
      <c r="G1678" s="1472" t="s">
        <v>5470</v>
      </c>
      <c r="H1678" s="1458">
        <v>0</v>
      </c>
      <c r="I1678" s="1458">
        <v>1</v>
      </c>
      <c r="J1678" s="1473">
        <v>0</v>
      </c>
      <c r="K1678" s="1462"/>
      <c r="L1678" s="1456">
        <v>13153020105</v>
      </c>
      <c r="M1678" s="1457">
        <v>0</v>
      </c>
      <c r="N1678" s="1457">
        <v>1</v>
      </c>
      <c r="O1678" s="1458">
        <v>0</v>
      </c>
    </row>
    <row r="1679" spans="3:15" ht="13.5">
      <c r="C1679" s="1463" t="s">
        <v>5471</v>
      </c>
      <c r="D1679" s="1460">
        <v>0</v>
      </c>
      <c r="E1679" s="1460">
        <v>1</v>
      </c>
      <c r="F1679" s="1461">
        <v>1</v>
      </c>
      <c r="G1679" s="1472" t="s">
        <v>5471</v>
      </c>
      <c r="H1679" s="1458">
        <v>0</v>
      </c>
      <c r="I1679" s="1458">
        <v>0</v>
      </c>
      <c r="J1679" s="1473">
        <v>0</v>
      </c>
      <c r="K1679" s="1462"/>
      <c r="L1679" s="1456">
        <v>13153020106</v>
      </c>
      <c r="M1679" s="1457">
        <v>0</v>
      </c>
      <c r="N1679" s="1457">
        <v>1</v>
      </c>
      <c r="O1679" s="1458">
        <v>1</v>
      </c>
    </row>
    <row r="1680" spans="3:15" ht="13.5">
      <c r="C1680" s="1463" t="s">
        <v>5472</v>
      </c>
      <c r="D1680" s="1460">
        <v>0</v>
      </c>
      <c r="E1680" s="1460">
        <v>1</v>
      </c>
      <c r="F1680" s="1461">
        <v>1</v>
      </c>
      <c r="G1680" s="1472" t="s">
        <v>5472</v>
      </c>
      <c r="H1680" s="1458">
        <v>0</v>
      </c>
      <c r="I1680" s="1458">
        <v>1</v>
      </c>
      <c r="J1680" s="1473">
        <v>1</v>
      </c>
      <c r="K1680" s="1462"/>
      <c r="L1680" s="1456">
        <v>13153020108</v>
      </c>
      <c r="M1680" s="1457">
        <v>0</v>
      </c>
      <c r="N1680" s="1457">
        <v>1</v>
      </c>
      <c r="O1680" s="1458">
        <v>1</v>
      </c>
    </row>
    <row r="1681" spans="3:15" ht="13.5">
      <c r="C1681" s="1463" t="s">
        <v>5473</v>
      </c>
      <c r="D1681" s="1460">
        <v>1</v>
      </c>
      <c r="E1681" s="1460">
        <v>1</v>
      </c>
      <c r="F1681" s="1461">
        <v>2</v>
      </c>
      <c r="G1681" s="1472" t="s">
        <v>5473</v>
      </c>
      <c r="H1681" s="1458">
        <v>1</v>
      </c>
      <c r="I1681" s="1458">
        <v>1</v>
      </c>
      <c r="J1681" s="1473">
        <v>2</v>
      </c>
      <c r="K1681" s="1462"/>
      <c r="L1681" s="1456">
        <v>13153020109</v>
      </c>
      <c r="M1681" s="1457">
        <v>1</v>
      </c>
      <c r="N1681" s="1457">
        <v>1</v>
      </c>
      <c r="O1681" s="1458">
        <v>2</v>
      </c>
    </row>
    <row r="1682" spans="3:15" ht="13.5">
      <c r="C1682" s="1463" t="s">
        <v>5474</v>
      </c>
      <c r="D1682" s="1460">
        <v>0</v>
      </c>
      <c r="E1682" s="1460">
        <v>0</v>
      </c>
      <c r="F1682" s="1461">
        <v>0</v>
      </c>
      <c r="G1682" s="1472" t="s">
        <v>5474</v>
      </c>
      <c r="H1682" s="1458">
        <v>0</v>
      </c>
      <c r="I1682" s="1458">
        <v>0</v>
      </c>
      <c r="J1682" s="1473">
        <v>0</v>
      </c>
      <c r="K1682" s="1462"/>
      <c r="L1682" s="1456">
        <v>13153020200</v>
      </c>
      <c r="M1682" s="1457">
        <v>0</v>
      </c>
      <c r="N1682" s="1457">
        <v>0</v>
      </c>
      <c r="O1682" s="1458">
        <v>0</v>
      </c>
    </row>
    <row r="1683" spans="3:15" ht="13.5">
      <c r="C1683" s="1463" t="s">
        <v>5475</v>
      </c>
      <c r="D1683" s="1460">
        <v>0</v>
      </c>
      <c r="E1683" s="1460">
        <v>0</v>
      </c>
      <c r="F1683" s="1461">
        <v>0</v>
      </c>
      <c r="G1683" s="1472" t="s">
        <v>5475</v>
      </c>
      <c r="H1683" s="1458">
        <v>0</v>
      </c>
      <c r="I1683" s="1458">
        <v>0</v>
      </c>
      <c r="J1683" s="1473">
        <v>0</v>
      </c>
      <c r="K1683" s="1462"/>
      <c r="L1683" s="1456">
        <v>13153020300</v>
      </c>
      <c r="M1683" s="1457">
        <v>0</v>
      </c>
      <c r="N1683" s="1457">
        <v>0</v>
      </c>
      <c r="O1683" s="1458">
        <v>0</v>
      </c>
    </row>
    <row r="1684" spans="3:15" ht="13.5">
      <c r="C1684" s="1463" t="s">
        <v>5476</v>
      </c>
      <c r="D1684" s="1460">
        <v>0</v>
      </c>
      <c r="E1684" s="1460">
        <v>0</v>
      </c>
      <c r="F1684" s="1461">
        <v>0</v>
      </c>
      <c r="G1684" s="1472" t="s">
        <v>5476</v>
      </c>
      <c r="H1684" s="1458">
        <v>0</v>
      </c>
      <c r="I1684" s="1458">
        <v>0</v>
      </c>
      <c r="J1684" s="1473">
        <v>0</v>
      </c>
      <c r="K1684" s="1462"/>
      <c r="L1684" s="1456">
        <v>13153020400</v>
      </c>
      <c r="M1684" s="1457">
        <v>0</v>
      </c>
      <c r="N1684" s="1457">
        <v>0</v>
      </c>
      <c r="O1684" s="1458">
        <v>0</v>
      </c>
    </row>
    <row r="1685" spans="3:15" ht="13.5">
      <c r="C1685" s="1463" t="s">
        <v>5477</v>
      </c>
      <c r="D1685" s="1460">
        <v>0</v>
      </c>
      <c r="E1685" s="1460">
        <v>1</v>
      </c>
      <c r="F1685" s="1461">
        <v>1</v>
      </c>
      <c r="G1685" s="1472" t="s">
        <v>5477</v>
      </c>
      <c r="H1685" s="1458">
        <v>0</v>
      </c>
      <c r="I1685" s="1458" t="s">
        <v>3911</v>
      </c>
      <c r="J1685" s="1473">
        <v>0</v>
      </c>
      <c r="K1685" s="1462"/>
      <c r="L1685" s="1456">
        <v>13153020600</v>
      </c>
      <c r="M1685" s="1457">
        <v>0</v>
      </c>
      <c r="N1685" s="1457">
        <v>1</v>
      </c>
      <c r="O1685" s="1458">
        <v>1</v>
      </c>
    </row>
    <row r="1686" spans="3:15" ht="13.5">
      <c r="C1686" s="1463" t="s">
        <v>5478</v>
      </c>
      <c r="D1686" s="1460">
        <v>0</v>
      </c>
      <c r="E1686" s="1460">
        <v>0</v>
      </c>
      <c r="F1686" s="1461">
        <v>0</v>
      </c>
      <c r="G1686" s="1472" t="s">
        <v>5478</v>
      </c>
      <c r="H1686" s="1458">
        <v>0</v>
      </c>
      <c r="I1686" s="1458">
        <v>0</v>
      </c>
      <c r="J1686" s="1473">
        <v>0</v>
      </c>
      <c r="K1686" s="1462"/>
      <c r="L1686" s="1456">
        <v>13153020700</v>
      </c>
      <c r="M1686" s="1457">
        <v>0</v>
      </c>
      <c r="N1686" s="1457">
        <v>0</v>
      </c>
      <c r="O1686" s="1458">
        <v>0</v>
      </c>
    </row>
    <row r="1687" spans="3:15" ht="13.5">
      <c r="C1687" s="1463" t="s">
        <v>5479</v>
      </c>
      <c r="D1687" s="1460">
        <v>0</v>
      </c>
      <c r="E1687" s="1460">
        <v>0</v>
      </c>
      <c r="F1687" s="1461">
        <v>0</v>
      </c>
      <c r="G1687" s="1472" t="s">
        <v>5479</v>
      </c>
      <c r="H1687" s="1458">
        <v>1</v>
      </c>
      <c r="I1687" s="1458">
        <v>0</v>
      </c>
      <c r="J1687" s="1473">
        <v>1</v>
      </c>
      <c r="K1687" s="1462"/>
      <c r="L1687" s="1456">
        <v>13153020800</v>
      </c>
      <c r="M1687" s="1457">
        <v>1</v>
      </c>
      <c r="N1687" s="1457">
        <v>0</v>
      </c>
      <c r="O1687" s="1458">
        <v>1</v>
      </c>
    </row>
    <row r="1688" spans="3:15" ht="13.5">
      <c r="C1688" s="1463" t="s">
        <v>5480</v>
      </c>
      <c r="D1688" s="1460">
        <v>0</v>
      </c>
      <c r="E1688" s="1460">
        <v>0</v>
      </c>
      <c r="F1688" s="1461">
        <v>0</v>
      </c>
      <c r="G1688" s="1472" t="s">
        <v>5480</v>
      </c>
      <c r="H1688" s="1458">
        <v>0</v>
      </c>
      <c r="I1688" s="1458">
        <v>0</v>
      </c>
      <c r="J1688" s="1473">
        <v>0</v>
      </c>
      <c r="K1688" s="1462"/>
      <c r="L1688" s="1456">
        <v>13153020900</v>
      </c>
      <c r="M1688" s="1457">
        <v>0</v>
      </c>
      <c r="N1688" s="1457">
        <v>0</v>
      </c>
      <c r="O1688" s="1458">
        <v>0</v>
      </c>
    </row>
    <row r="1689" spans="3:15" ht="13.5">
      <c r="C1689" s="1463" t="s">
        <v>5481</v>
      </c>
      <c r="D1689" s="1460">
        <v>0</v>
      </c>
      <c r="E1689" s="1460">
        <v>0</v>
      </c>
      <c r="F1689" s="1461">
        <v>0</v>
      </c>
      <c r="G1689" s="1472" t="s">
        <v>5481</v>
      </c>
      <c r="H1689" s="1458">
        <v>0</v>
      </c>
      <c r="I1689" s="1458">
        <v>1</v>
      </c>
      <c r="J1689" s="1473">
        <v>1</v>
      </c>
      <c r="K1689" s="1462"/>
      <c r="L1689" s="1456">
        <v>13153021000</v>
      </c>
      <c r="M1689" s="1457">
        <v>0</v>
      </c>
      <c r="N1689" s="1457">
        <v>1</v>
      </c>
      <c r="O1689" s="1458">
        <v>1</v>
      </c>
    </row>
    <row r="1690" spans="3:15" ht="13.5">
      <c r="C1690" s="1463" t="s">
        <v>5482</v>
      </c>
      <c r="D1690" s="1460">
        <v>1</v>
      </c>
      <c r="E1690" s="1460">
        <v>1</v>
      </c>
      <c r="F1690" s="1461">
        <v>2</v>
      </c>
      <c r="G1690" s="1472" t="s">
        <v>5482</v>
      </c>
      <c r="H1690" s="1458">
        <v>1</v>
      </c>
      <c r="I1690" s="1458">
        <v>1</v>
      </c>
      <c r="J1690" s="1473">
        <v>2</v>
      </c>
      <c r="K1690" s="1462"/>
      <c r="L1690" s="1456">
        <v>13153021103</v>
      </c>
      <c r="M1690" s="1457">
        <v>1</v>
      </c>
      <c r="N1690" s="1457">
        <v>1</v>
      </c>
      <c r="O1690" s="1458">
        <v>2</v>
      </c>
    </row>
    <row r="1691" spans="3:15" ht="13.5">
      <c r="C1691" s="1463" t="s">
        <v>5483</v>
      </c>
      <c r="D1691" s="1460">
        <v>0</v>
      </c>
      <c r="E1691" s="1460">
        <v>0</v>
      </c>
      <c r="F1691" s="1461">
        <v>0</v>
      </c>
      <c r="G1691" s="1472" t="s">
        <v>5483</v>
      </c>
      <c r="H1691" s="1458">
        <v>0</v>
      </c>
      <c r="I1691" s="1458">
        <v>0</v>
      </c>
      <c r="J1691" s="1473">
        <v>0</v>
      </c>
      <c r="K1691" s="1462"/>
      <c r="L1691" s="1456">
        <v>13153021104</v>
      </c>
      <c r="M1691" s="1457">
        <v>0</v>
      </c>
      <c r="N1691" s="1457">
        <v>0</v>
      </c>
      <c r="O1691" s="1458">
        <v>0</v>
      </c>
    </row>
    <row r="1692" spans="3:15" ht="13.5">
      <c r="C1692" s="1463" t="s">
        <v>5484</v>
      </c>
      <c r="D1692" s="1460">
        <v>0</v>
      </c>
      <c r="E1692" s="1460">
        <v>1</v>
      </c>
      <c r="F1692" s="1461">
        <v>1</v>
      </c>
      <c r="G1692" s="1472" t="s">
        <v>5484</v>
      </c>
      <c r="H1692" s="1458">
        <v>1</v>
      </c>
      <c r="I1692" s="1458">
        <v>0</v>
      </c>
      <c r="J1692" s="1473">
        <v>1</v>
      </c>
      <c r="K1692" s="1462"/>
      <c r="L1692" s="1456">
        <v>13153021105</v>
      </c>
      <c r="M1692" s="1457">
        <v>1</v>
      </c>
      <c r="N1692" s="1457">
        <v>1</v>
      </c>
      <c r="O1692" s="1458">
        <v>1</v>
      </c>
    </row>
    <row r="1693" spans="3:15" ht="13.5">
      <c r="C1693" s="1463" t="s">
        <v>5485</v>
      </c>
      <c r="D1693" s="1460">
        <v>1</v>
      </c>
      <c r="E1693" s="1460">
        <v>1</v>
      </c>
      <c r="F1693" s="1461">
        <v>2</v>
      </c>
      <c r="G1693" s="1472" t="s">
        <v>5485</v>
      </c>
      <c r="H1693" s="1458">
        <v>0</v>
      </c>
      <c r="I1693" s="1458">
        <v>1</v>
      </c>
      <c r="J1693" s="1473">
        <v>1</v>
      </c>
      <c r="K1693" s="1462"/>
      <c r="L1693" s="1456">
        <v>13153021107</v>
      </c>
      <c r="M1693" s="1457">
        <v>1</v>
      </c>
      <c r="N1693" s="1457">
        <v>1</v>
      </c>
      <c r="O1693" s="1458">
        <v>2</v>
      </c>
    </row>
    <row r="1694" spans="3:15" ht="13.5">
      <c r="C1694" s="1463" t="s">
        <v>5486</v>
      </c>
      <c r="D1694" s="1460">
        <v>1</v>
      </c>
      <c r="E1694" s="1460">
        <v>1</v>
      </c>
      <c r="F1694" s="1461">
        <v>2</v>
      </c>
      <c r="G1694" s="1472" t="s">
        <v>5486</v>
      </c>
      <c r="H1694" s="1458">
        <v>1</v>
      </c>
      <c r="I1694" s="1458">
        <v>1</v>
      </c>
      <c r="J1694" s="1473">
        <v>2</v>
      </c>
      <c r="K1694" s="1462"/>
      <c r="L1694" s="1456">
        <v>13153021108</v>
      </c>
      <c r="M1694" s="1457">
        <v>1</v>
      </c>
      <c r="N1694" s="1457">
        <v>1</v>
      </c>
      <c r="O1694" s="1458">
        <v>2</v>
      </c>
    </row>
    <row r="1695" spans="3:15" ht="13.5">
      <c r="C1695" s="1463" t="s">
        <v>5487</v>
      </c>
      <c r="D1695" s="1460">
        <v>1</v>
      </c>
      <c r="E1695" s="1460">
        <v>1</v>
      </c>
      <c r="F1695" s="1461">
        <v>2</v>
      </c>
      <c r="G1695" s="1472" t="s">
        <v>5487</v>
      </c>
      <c r="H1695" s="1458">
        <v>1</v>
      </c>
      <c r="I1695" s="1458">
        <v>1</v>
      </c>
      <c r="J1695" s="1473">
        <v>2</v>
      </c>
      <c r="K1695" s="1462"/>
      <c r="L1695" s="1456">
        <v>13153021113</v>
      </c>
      <c r="M1695" s="1457">
        <v>1</v>
      </c>
      <c r="N1695" s="1457">
        <v>1</v>
      </c>
      <c r="O1695" s="1458">
        <v>2</v>
      </c>
    </row>
    <row r="1696" spans="3:15" ht="13.5">
      <c r="C1696" s="1463" t="s">
        <v>5488</v>
      </c>
      <c r="D1696" s="1460">
        <v>1</v>
      </c>
      <c r="E1696" s="1460">
        <v>1</v>
      </c>
      <c r="F1696" s="1461">
        <v>2</v>
      </c>
      <c r="G1696" s="1472" t="s">
        <v>5488</v>
      </c>
      <c r="H1696" s="1458">
        <v>1</v>
      </c>
      <c r="I1696" s="1458">
        <v>1</v>
      </c>
      <c r="J1696" s="1473">
        <v>2</v>
      </c>
      <c r="K1696" s="1462"/>
      <c r="L1696" s="1456">
        <v>13153021201</v>
      </c>
      <c r="M1696" s="1457">
        <v>1</v>
      </c>
      <c r="N1696" s="1457">
        <v>1</v>
      </c>
      <c r="O1696" s="1458">
        <v>2</v>
      </c>
    </row>
    <row r="1697" spans="3:15" ht="13.5">
      <c r="C1697" s="1463" t="s">
        <v>5489</v>
      </c>
      <c r="D1697" s="1460">
        <v>0</v>
      </c>
      <c r="E1697" s="1460">
        <v>1</v>
      </c>
      <c r="F1697" s="1461">
        <v>1</v>
      </c>
      <c r="G1697" s="1472" t="s">
        <v>5489</v>
      </c>
      <c r="H1697" s="1458">
        <v>0</v>
      </c>
      <c r="I1697" s="1458">
        <v>1</v>
      </c>
      <c r="J1697" s="1473">
        <v>1</v>
      </c>
      <c r="K1697" s="1462"/>
      <c r="L1697" s="1456">
        <v>13153021202</v>
      </c>
      <c r="M1697" s="1457">
        <v>0</v>
      </c>
      <c r="N1697" s="1457">
        <v>1</v>
      </c>
      <c r="O1697" s="1458">
        <v>1</v>
      </c>
    </row>
    <row r="1698" spans="3:15" ht="13.5">
      <c r="C1698" s="1463" t="s">
        <v>5490</v>
      </c>
      <c r="D1698" s="1460">
        <v>0</v>
      </c>
      <c r="E1698" s="1460">
        <v>0</v>
      </c>
      <c r="F1698" s="1461">
        <v>0</v>
      </c>
      <c r="G1698" s="1472" t="s">
        <v>5490</v>
      </c>
      <c r="H1698" s="1458">
        <v>0</v>
      </c>
      <c r="I1698" s="1458">
        <v>0</v>
      </c>
      <c r="J1698" s="1473">
        <v>0</v>
      </c>
      <c r="K1698" s="1462"/>
      <c r="L1698" s="1456">
        <v>13153021300</v>
      </c>
      <c r="M1698" s="1457">
        <v>0</v>
      </c>
      <c r="N1698" s="1457">
        <v>0</v>
      </c>
      <c r="O1698" s="1458">
        <v>0</v>
      </c>
    </row>
    <row r="1699" spans="3:15" ht="13.5">
      <c r="C1699" s="1463" t="s">
        <v>5491</v>
      </c>
      <c r="D1699" s="1460">
        <v>0</v>
      </c>
      <c r="E1699" s="1460">
        <v>1</v>
      </c>
      <c r="F1699" s="1461">
        <v>1</v>
      </c>
      <c r="G1699" s="1472" t="s">
        <v>5491</v>
      </c>
      <c r="H1699" s="1458">
        <v>0</v>
      </c>
      <c r="I1699" s="1458">
        <v>1</v>
      </c>
      <c r="J1699" s="1473">
        <v>1</v>
      </c>
      <c r="K1699" s="1462"/>
      <c r="L1699" s="1456">
        <v>13153021400</v>
      </c>
      <c r="M1699" s="1457">
        <v>0</v>
      </c>
      <c r="N1699" s="1457">
        <v>1</v>
      </c>
      <c r="O1699" s="1458">
        <v>1</v>
      </c>
    </row>
    <row r="1700" spans="3:15" ht="13.5">
      <c r="C1700" s="1463" t="s">
        <v>5492</v>
      </c>
      <c r="D1700" s="1460">
        <v>1</v>
      </c>
      <c r="E1700" s="1460">
        <v>1</v>
      </c>
      <c r="F1700" s="1461">
        <v>2</v>
      </c>
      <c r="G1700" s="1472" t="s">
        <v>5492</v>
      </c>
      <c r="H1700" s="1458">
        <v>1</v>
      </c>
      <c r="I1700" s="1458">
        <v>1</v>
      </c>
      <c r="J1700" s="1473">
        <v>2</v>
      </c>
      <c r="K1700" s="1462"/>
      <c r="L1700" s="1456">
        <v>13153021500</v>
      </c>
      <c r="M1700" s="1457">
        <v>1</v>
      </c>
      <c r="N1700" s="1457">
        <v>1</v>
      </c>
      <c r="O1700" s="1458">
        <v>2</v>
      </c>
    </row>
    <row r="1701" spans="3:15" ht="13.5">
      <c r="C1701" s="1463" t="s">
        <v>5493</v>
      </c>
      <c r="D1701" s="1460">
        <v>0</v>
      </c>
      <c r="E1701" s="1460">
        <v>0</v>
      </c>
      <c r="F1701" s="1461">
        <v>0</v>
      </c>
      <c r="G1701" s="1472" t="s">
        <v>5493</v>
      </c>
      <c r="H1701" s="1458">
        <v>0</v>
      </c>
      <c r="I1701" s="1458">
        <v>0</v>
      </c>
      <c r="J1701" s="1473">
        <v>0</v>
      </c>
      <c r="K1701" s="1462"/>
      <c r="L1701" s="1456">
        <v>13155950100</v>
      </c>
      <c r="M1701" s="1457">
        <v>0</v>
      </c>
      <c r="N1701" s="1457">
        <v>0</v>
      </c>
      <c r="O1701" s="1458">
        <v>0</v>
      </c>
    </row>
    <row r="1702" spans="3:15" ht="13.5">
      <c r="C1702" s="1463" t="s">
        <v>5494</v>
      </c>
      <c r="D1702" s="1460">
        <v>0</v>
      </c>
      <c r="E1702" s="1460">
        <v>0</v>
      </c>
      <c r="F1702" s="1461">
        <v>0</v>
      </c>
      <c r="G1702" s="1472" t="s">
        <v>5494</v>
      </c>
      <c r="H1702" s="1458">
        <v>0</v>
      </c>
      <c r="I1702" s="1458">
        <v>0</v>
      </c>
      <c r="J1702" s="1473">
        <v>0</v>
      </c>
      <c r="K1702" s="1462"/>
      <c r="L1702" s="1456">
        <v>13155950200</v>
      </c>
      <c r="M1702" s="1457">
        <v>0</v>
      </c>
      <c r="N1702" s="1457">
        <v>0</v>
      </c>
      <c r="O1702" s="1458">
        <v>0</v>
      </c>
    </row>
    <row r="1703" spans="3:15" ht="13.5">
      <c r="C1703" s="1463" t="s">
        <v>5495</v>
      </c>
      <c r="D1703" s="1460">
        <v>1</v>
      </c>
      <c r="E1703" s="1460">
        <v>1</v>
      </c>
      <c r="F1703" s="1461">
        <v>2</v>
      </c>
      <c r="G1703" s="1472" t="s">
        <v>5495</v>
      </c>
      <c r="H1703" s="1458">
        <v>1</v>
      </c>
      <c r="I1703" s="1458">
        <v>1</v>
      </c>
      <c r="J1703" s="1473">
        <v>1</v>
      </c>
      <c r="K1703" s="1462"/>
      <c r="L1703" s="1456">
        <v>13157010101</v>
      </c>
      <c r="M1703" s="1457">
        <v>1</v>
      </c>
      <c r="N1703" s="1457">
        <v>1</v>
      </c>
      <c r="O1703" s="1458">
        <v>2</v>
      </c>
    </row>
    <row r="1704" spans="3:15" ht="13.5">
      <c r="C1704" s="1463" t="s">
        <v>5496</v>
      </c>
      <c r="D1704" s="1460">
        <v>1</v>
      </c>
      <c r="E1704" s="1460">
        <v>1</v>
      </c>
      <c r="F1704" s="1461">
        <v>2</v>
      </c>
      <c r="G1704" s="1472" t="s">
        <v>5496</v>
      </c>
      <c r="H1704" s="1458">
        <v>1</v>
      </c>
      <c r="I1704" s="1458">
        <v>1</v>
      </c>
      <c r="J1704" s="1473">
        <v>2</v>
      </c>
      <c r="K1704" s="1462"/>
      <c r="L1704" s="1456">
        <v>13157010102</v>
      </c>
      <c r="M1704" s="1457">
        <v>1</v>
      </c>
      <c r="N1704" s="1457">
        <v>1</v>
      </c>
      <c r="O1704" s="1458">
        <v>2</v>
      </c>
    </row>
    <row r="1705" spans="3:15" ht="13.5">
      <c r="C1705" s="1463" t="s">
        <v>5497</v>
      </c>
      <c r="D1705" s="1460">
        <v>1</v>
      </c>
      <c r="E1705" s="1460">
        <v>1</v>
      </c>
      <c r="F1705" s="1461">
        <v>2</v>
      </c>
      <c r="G1705" s="1472" t="s">
        <v>5497</v>
      </c>
      <c r="H1705" s="1458">
        <v>0</v>
      </c>
      <c r="I1705" s="1458">
        <v>1</v>
      </c>
      <c r="J1705" s="1473">
        <v>1</v>
      </c>
      <c r="K1705" s="1462"/>
      <c r="L1705" s="1456">
        <v>13157010103</v>
      </c>
      <c r="M1705" s="1457">
        <v>1</v>
      </c>
      <c r="N1705" s="1457">
        <v>1</v>
      </c>
      <c r="O1705" s="1458">
        <v>2</v>
      </c>
    </row>
    <row r="1706" spans="3:15" ht="13.5">
      <c r="C1706" s="1463" t="s">
        <v>5498</v>
      </c>
      <c r="D1706" s="1460">
        <v>0</v>
      </c>
      <c r="E1706" s="1460">
        <v>0</v>
      </c>
      <c r="F1706" s="1461">
        <v>0</v>
      </c>
      <c r="G1706" s="1472" t="s">
        <v>5498</v>
      </c>
      <c r="H1706" s="1458">
        <v>0</v>
      </c>
      <c r="I1706" s="1458">
        <v>0</v>
      </c>
      <c r="J1706" s="1473">
        <v>0</v>
      </c>
      <c r="K1706" s="1462"/>
      <c r="L1706" s="1456">
        <v>13157010200</v>
      </c>
      <c r="M1706" s="1457">
        <v>0</v>
      </c>
      <c r="N1706" s="1457">
        <v>0</v>
      </c>
      <c r="O1706" s="1458">
        <v>0</v>
      </c>
    </row>
    <row r="1707" spans="3:15" ht="13.5">
      <c r="C1707" s="1463" t="s">
        <v>5499</v>
      </c>
      <c r="D1707" s="1460">
        <v>0</v>
      </c>
      <c r="E1707" s="1460">
        <v>0</v>
      </c>
      <c r="F1707" s="1461">
        <v>0</v>
      </c>
      <c r="G1707" s="1472" t="s">
        <v>5499</v>
      </c>
      <c r="H1707" s="1458">
        <v>0</v>
      </c>
      <c r="I1707" s="1458">
        <v>0</v>
      </c>
      <c r="J1707" s="1473">
        <v>0</v>
      </c>
      <c r="K1707" s="1462"/>
      <c r="L1707" s="1456">
        <v>13157010300</v>
      </c>
      <c r="M1707" s="1457">
        <v>0</v>
      </c>
      <c r="N1707" s="1457">
        <v>0</v>
      </c>
      <c r="O1707" s="1458">
        <v>0</v>
      </c>
    </row>
    <row r="1708" spans="3:15" ht="13.5">
      <c r="C1708" s="1463" t="s">
        <v>5500</v>
      </c>
      <c r="D1708" s="1460">
        <v>0</v>
      </c>
      <c r="E1708" s="1460">
        <v>0</v>
      </c>
      <c r="F1708" s="1461">
        <v>0</v>
      </c>
      <c r="G1708" s="1472" t="s">
        <v>5500</v>
      </c>
      <c r="H1708" s="1458">
        <v>0</v>
      </c>
      <c r="I1708" s="1458">
        <v>0</v>
      </c>
      <c r="J1708" s="1473">
        <v>0</v>
      </c>
      <c r="K1708" s="1462"/>
      <c r="L1708" s="1456">
        <v>13157010400</v>
      </c>
      <c r="M1708" s="1457">
        <v>0</v>
      </c>
      <c r="N1708" s="1457">
        <v>0</v>
      </c>
      <c r="O1708" s="1458">
        <v>0</v>
      </c>
    </row>
    <row r="1709" spans="3:15" ht="13.5">
      <c r="C1709" s="1463" t="s">
        <v>5501</v>
      </c>
      <c r="D1709" s="1460">
        <v>0</v>
      </c>
      <c r="E1709" s="1460">
        <v>0</v>
      </c>
      <c r="F1709" s="1461">
        <v>0</v>
      </c>
      <c r="G1709" s="1472" t="s">
        <v>5501</v>
      </c>
      <c r="H1709" s="1458">
        <v>0</v>
      </c>
      <c r="I1709" s="1458">
        <v>0</v>
      </c>
      <c r="J1709" s="1473">
        <v>0</v>
      </c>
      <c r="K1709" s="1462"/>
      <c r="L1709" s="1456">
        <v>13157010500</v>
      </c>
      <c r="M1709" s="1457">
        <v>0</v>
      </c>
      <c r="N1709" s="1457">
        <v>0</v>
      </c>
      <c r="O1709" s="1458">
        <v>0</v>
      </c>
    </row>
    <row r="1710" spans="3:15" ht="13.5">
      <c r="C1710" s="1463" t="s">
        <v>5502</v>
      </c>
      <c r="D1710" s="1460">
        <v>0</v>
      </c>
      <c r="E1710" s="1460">
        <v>0</v>
      </c>
      <c r="F1710" s="1461">
        <v>0</v>
      </c>
      <c r="G1710" s="1472" t="s">
        <v>5502</v>
      </c>
      <c r="H1710" s="1458">
        <v>1</v>
      </c>
      <c r="I1710" s="1458">
        <v>0</v>
      </c>
      <c r="J1710" s="1473">
        <v>1</v>
      </c>
      <c r="K1710" s="1462"/>
      <c r="L1710" s="1456">
        <v>13157010600</v>
      </c>
      <c r="M1710" s="1457">
        <v>1</v>
      </c>
      <c r="N1710" s="1457">
        <v>0</v>
      </c>
      <c r="O1710" s="1458">
        <v>1</v>
      </c>
    </row>
    <row r="1711" spans="3:15" ht="13.5">
      <c r="C1711" s="1463" t="s">
        <v>5503</v>
      </c>
      <c r="D1711" s="1460">
        <v>0</v>
      </c>
      <c r="E1711" s="1460">
        <v>1</v>
      </c>
      <c r="F1711" s="1461">
        <v>1</v>
      </c>
      <c r="G1711" s="1472" t="s">
        <v>5503</v>
      </c>
      <c r="H1711" s="1458">
        <v>1</v>
      </c>
      <c r="I1711" s="1458">
        <v>1</v>
      </c>
      <c r="J1711" s="1473">
        <v>1</v>
      </c>
      <c r="K1711" s="1462"/>
      <c r="L1711" s="1456">
        <v>13157010701</v>
      </c>
      <c r="M1711" s="1457">
        <v>1</v>
      </c>
      <c r="N1711" s="1457">
        <v>1</v>
      </c>
      <c r="O1711" s="1458">
        <v>1</v>
      </c>
    </row>
    <row r="1712" spans="3:15" ht="13.5">
      <c r="C1712" s="1463" t="s">
        <v>5504</v>
      </c>
      <c r="D1712" s="1460">
        <v>1</v>
      </c>
      <c r="E1712" s="1460">
        <v>1</v>
      </c>
      <c r="F1712" s="1461">
        <v>2</v>
      </c>
      <c r="G1712" s="1472" t="s">
        <v>5504</v>
      </c>
      <c r="H1712" s="1458">
        <v>1</v>
      </c>
      <c r="I1712" s="1458">
        <v>1</v>
      </c>
      <c r="J1712" s="1473">
        <v>2</v>
      </c>
      <c r="K1712" s="1462"/>
      <c r="L1712" s="1456">
        <v>13157010702</v>
      </c>
      <c r="M1712" s="1457">
        <v>1</v>
      </c>
      <c r="N1712" s="1457">
        <v>1</v>
      </c>
      <c r="O1712" s="1458">
        <v>2</v>
      </c>
    </row>
    <row r="1713" spans="3:15" ht="13.5">
      <c r="C1713" s="1463" t="s">
        <v>5505</v>
      </c>
      <c r="D1713" s="1460">
        <v>1</v>
      </c>
      <c r="E1713" s="1460">
        <v>1</v>
      </c>
      <c r="F1713" s="1461">
        <v>2</v>
      </c>
      <c r="G1713" s="1472" t="s">
        <v>5505</v>
      </c>
      <c r="H1713" s="1458">
        <v>1</v>
      </c>
      <c r="I1713" s="1458">
        <v>1</v>
      </c>
      <c r="J1713" s="1473">
        <v>2</v>
      </c>
      <c r="K1713" s="1462"/>
      <c r="L1713" s="1456">
        <v>13157010703</v>
      </c>
      <c r="M1713" s="1457">
        <v>1</v>
      </c>
      <c r="N1713" s="1457">
        <v>1</v>
      </c>
      <c r="O1713" s="1458">
        <v>2</v>
      </c>
    </row>
    <row r="1714" spans="3:15" ht="13.5">
      <c r="C1714" s="1463" t="s">
        <v>5506</v>
      </c>
      <c r="D1714" s="1460">
        <v>0</v>
      </c>
      <c r="E1714" s="1460">
        <v>0</v>
      </c>
      <c r="F1714" s="1461">
        <v>0</v>
      </c>
      <c r="G1714" s="1472" t="s">
        <v>5506</v>
      </c>
      <c r="H1714" s="1458">
        <v>0</v>
      </c>
      <c r="I1714" s="1458">
        <v>0</v>
      </c>
      <c r="J1714" s="1473">
        <v>0</v>
      </c>
      <c r="K1714" s="1462"/>
      <c r="L1714" s="1456">
        <v>13159010100</v>
      </c>
      <c r="M1714" s="1457">
        <v>0</v>
      </c>
      <c r="N1714" s="1457">
        <v>0</v>
      </c>
      <c r="O1714" s="1458">
        <v>0</v>
      </c>
    </row>
    <row r="1715" spans="3:15" ht="13.5">
      <c r="C1715" s="1463" t="s">
        <v>5507</v>
      </c>
      <c r="D1715" s="1460">
        <v>1</v>
      </c>
      <c r="E1715" s="1460">
        <v>1</v>
      </c>
      <c r="F1715" s="1461">
        <v>2</v>
      </c>
      <c r="G1715" s="1472" t="s">
        <v>5507</v>
      </c>
      <c r="H1715" s="1458">
        <v>0</v>
      </c>
      <c r="I1715" s="1458">
        <v>0</v>
      </c>
      <c r="J1715" s="1473">
        <v>0</v>
      </c>
      <c r="K1715" s="1462"/>
      <c r="L1715" s="1456">
        <v>13159010200</v>
      </c>
      <c r="M1715" s="1457">
        <v>1</v>
      </c>
      <c r="N1715" s="1457">
        <v>1</v>
      </c>
      <c r="O1715" s="1458">
        <v>2</v>
      </c>
    </row>
    <row r="1716" spans="3:15" ht="13.5">
      <c r="C1716" s="1463" t="s">
        <v>5508</v>
      </c>
      <c r="D1716" s="1460">
        <v>0</v>
      </c>
      <c r="E1716" s="1460">
        <v>0</v>
      </c>
      <c r="F1716" s="1461">
        <v>0</v>
      </c>
      <c r="G1716" s="1472" t="s">
        <v>5508</v>
      </c>
      <c r="H1716" s="1458">
        <v>0</v>
      </c>
      <c r="I1716" s="1458">
        <v>0</v>
      </c>
      <c r="J1716" s="1473">
        <v>0</v>
      </c>
      <c r="K1716" s="1462"/>
      <c r="L1716" s="1456">
        <v>13159010500</v>
      </c>
      <c r="M1716" s="1457">
        <v>0</v>
      </c>
      <c r="N1716" s="1457">
        <v>0</v>
      </c>
      <c r="O1716" s="1458">
        <v>0</v>
      </c>
    </row>
    <row r="1717" spans="3:15" ht="13.5">
      <c r="C1717" s="1463" t="s">
        <v>5509</v>
      </c>
      <c r="D1717" s="1460">
        <v>0</v>
      </c>
      <c r="E1717" s="1460">
        <v>0</v>
      </c>
      <c r="F1717" s="1461">
        <v>0</v>
      </c>
      <c r="G1717" s="1472" t="s">
        <v>5509</v>
      </c>
      <c r="H1717" s="1458">
        <v>0</v>
      </c>
      <c r="I1717" s="1458">
        <v>0</v>
      </c>
      <c r="J1717" s="1473">
        <v>0</v>
      </c>
      <c r="K1717" s="1462"/>
      <c r="L1717" s="1456">
        <v>13161960100</v>
      </c>
      <c r="M1717" s="1457">
        <v>0</v>
      </c>
      <c r="N1717" s="1457">
        <v>0</v>
      </c>
      <c r="O1717" s="1458">
        <v>0</v>
      </c>
    </row>
    <row r="1718" spans="3:15" ht="13.5">
      <c r="C1718" s="1463" t="s">
        <v>5510</v>
      </c>
      <c r="D1718" s="1460">
        <v>0</v>
      </c>
      <c r="E1718" s="1460">
        <v>0</v>
      </c>
      <c r="F1718" s="1461">
        <v>0</v>
      </c>
      <c r="G1718" s="1472" t="s">
        <v>5510</v>
      </c>
      <c r="H1718" s="1458">
        <v>0</v>
      </c>
      <c r="I1718" s="1458">
        <v>0</v>
      </c>
      <c r="J1718" s="1473">
        <v>0</v>
      </c>
      <c r="K1718" s="1462"/>
      <c r="L1718" s="1456">
        <v>13161960200</v>
      </c>
      <c r="M1718" s="1457">
        <v>0</v>
      </c>
      <c r="N1718" s="1457">
        <v>0</v>
      </c>
      <c r="O1718" s="1458">
        <v>0</v>
      </c>
    </row>
    <row r="1719" spans="3:15" ht="13.5">
      <c r="C1719" s="1463" t="s">
        <v>5511</v>
      </c>
      <c r="D1719" s="1460">
        <v>0</v>
      </c>
      <c r="E1719" s="1460">
        <v>0</v>
      </c>
      <c r="F1719" s="1461">
        <v>0</v>
      </c>
      <c r="G1719" s="1472" t="s">
        <v>5511</v>
      </c>
      <c r="H1719" s="1458">
        <v>0</v>
      </c>
      <c r="I1719" s="1458">
        <v>0</v>
      </c>
      <c r="J1719" s="1473">
        <v>0</v>
      </c>
      <c r="K1719" s="1462"/>
      <c r="L1719" s="1456">
        <v>13161960300</v>
      </c>
      <c r="M1719" s="1457">
        <v>0</v>
      </c>
      <c r="N1719" s="1457">
        <v>0</v>
      </c>
      <c r="O1719" s="1458">
        <v>0</v>
      </c>
    </row>
    <row r="1720" spans="3:15" ht="13.5">
      <c r="C1720" s="1463" t="s">
        <v>5512</v>
      </c>
      <c r="D1720" s="1460">
        <v>0</v>
      </c>
      <c r="E1720" s="1460">
        <v>0</v>
      </c>
      <c r="F1720" s="1461">
        <v>0</v>
      </c>
      <c r="G1720" s="1472" t="s">
        <v>5512</v>
      </c>
      <c r="H1720" s="1458">
        <v>0</v>
      </c>
      <c r="I1720" s="1458">
        <v>0</v>
      </c>
      <c r="J1720" s="1473">
        <v>0</v>
      </c>
      <c r="K1720" s="1462"/>
      <c r="L1720" s="1456">
        <v>13163960100</v>
      </c>
      <c r="M1720" s="1457">
        <v>0</v>
      </c>
      <c r="N1720" s="1457">
        <v>0</v>
      </c>
      <c r="O1720" s="1458">
        <v>0</v>
      </c>
    </row>
    <row r="1721" spans="3:15" ht="13.5">
      <c r="C1721" s="1463" t="s">
        <v>5513</v>
      </c>
      <c r="D1721" s="1460">
        <v>0</v>
      </c>
      <c r="E1721" s="1460">
        <v>0</v>
      </c>
      <c r="F1721" s="1461">
        <v>0</v>
      </c>
      <c r="G1721" s="1472" t="s">
        <v>5513</v>
      </c>
      <c r="H1721" s="1458">
        <v>0</v>
      </c>
      <c r="I1721" s="1458">
        <v>0</v>
      </c>
      <c r="J1721" s="1473">
        <v>0</v>
      </c>
      <c r="K1721" s="1462"/>
      <c r="L1721" s="1456">
        <v>13163960200</v>
      </c>
      <c r="M1721" s="1457">
        <v>0</v>
      </c>
      <c r="N1721" s="1457">
        <v>0</v>
      </c>
      <c r="O1721" s="1458">
        <v>0</v>
      </c>
    </row>
    <row r="1722" spans="3:15" ht="13.5">
      <c r="C1722" s="1463" t="s">
        <v>5514</v>
      </c>
      <c r="D1722" s="1460">
        <v>0</v>
      </c>
      <c r="E1722" s="1460">
        <v>0</v>
      </c>
      <c r="F1722" s="1461">
        <v>0</v>
      </c>
      <c r="G1722" s="1472" t="s">
        <v>5514</v>
      </c>
      <c r="H1722" s="1458">
        <v>0</v>
      </c>
      <c r="I1722" s="1458">
        <v>0</v>
      </c>
      <c r="J1722" s="1473">
        <v>0</v>
      </c>
      <c r="K1722" s="1462"/>
      <c r="L1722" s="1456">
        <v>13163960300</v>
      </c>
      <c r="M1722" s="1457">
        <v>0</v>
      </c>
      <c r="N1722" s="1457">
        <v>0</v>
      </c>
      <c r="O1722" s="1458">
        <v>0</v>
      </c>
    </row>
    <row r="1723" spans="3:15" ht="13.5">
      <c r="C1723" s="1463" t="s">
        <v>5515</v>
      </c>
      <c r="D1723" s="1460">
        <v>0</v>
      </c>
      <c r="E1723" s="1460">
        <v>0</v>
      </c>
      <c r="F1723" s="1461">
        <v>0</v>
      </c>
      <c r="G1723" s="1472" t="s">
        <v>5515</v>
      </c>
      <c r="H1723" s="1458">
        <v>0</v>
      </c>
      <c r="I1723" s="1458" t="s">
        <v>3911</v>
      </c>
      <c r="J1723" s="1473">
        <v>0</v>
      </c>
      <c r="K1723" s="1462"/>
      <c r="L1723" s="1456">
        <v>13163960400</v>
      </c>
      <c r="M1723" s="1457">
        <v>0</v>
      </c>
      <c r="N1723" s="1457">
        <v>0</v>
      </c>
      <c r="O1723" s="1458">
        <v>0</v>
      </c>
    </row>
    <row r="1724" spans="3:15" ht="13.5">
      <c r="C1724" s="1463" t="s">
        <v>5516</v>
      </c>
      <c r="D1724" s="1460">
        <v>0</v>
      </c>
      <c r="E1724" s="1460">
        <v>0</v>
      </c>
      <c r="F1724" s="1461">
        <v>0</v>
      </c>
      <c r="G1724" s="1472" t="s">
        <v>5516</v>
      </c>
      <c r="H1724" s="1458">
        <v>0</v>
      </c>
      <c r="I1724" s="1458">
        <v>0</v>
      </c>
      <c r="J1724" s="1473">
        <v>0</v>
      </c>
      <c r="K1724" s="1462"/>
      <c r="L1724" s="1456">
        <v>13165960100</v>
      </c>
      <c r="M1724" s="1457">
        <v>0</v>
      </c>
      <c r="N1724" s="1457">
        <v>0</v>
      </c>
      <c r="O1724" s="1458">
        <v>0</v>
      </c>
    </row>
    <row r="1725" spans="3:15" ht="13.5">
      <c r="C1725" s="1463" t="s">
        <v>5517</v>
      </c>
      <c r="D1725" s="1460">
        <v>0</v>
      </c>
      <c r="E1725" s="1460">
        <v>0</v>
      </c>
      <c r="F1725" s="1461">
        <v>0</v>
      </c>
      <c r="G1725" s="1472" t="s">
        <v>5517</v>
      </c>
      <c r="H1725" s="1458">
        <v>0</v>
      </c>
      <c r="I1725" s="1458">
        <v>0</v>
      </c>
      <c r="J1725" s="1473">
        <v>0</v>
      </c>
      <c r="K1725" s="1462"/>
      <c r="L1725" s="1456">
        <v>13165960200</v>
      </c>
      <c r="M1725" s="1457">
        <v>0</v>
      </c>
      <c r="N1725" s="1457">
        <v>0</v>
      </c>
      <c r="O1725" s="1458">
        <v>0</v>
      </c>
    </row>
    <row r="1726" spans="3:15" ht="13.5">
      <c r="C1726" s="1463" t="s">
        <v>5518</v>
      </c>
      <c r="D1726" s="1460">
        <v>0</v>
      </c>
      <c r="E1726" s="1460">
        <v>0</v>
      </c>
      <c r="F1726" s="1461">
        <v>0</v>
      </c>
      <c r="G1726" s="1472" t="s">
        <v>5518</v>
      </c>
      <c r="H1726" s="1458">
        <v>0</v>
      </c>
      <c r="I1726" s="1458">
        <v>1</v>
      </c>
      <c r="J1726" s="1473">
        <v>0</v>
      </c>
      <c r="K1726" s="1462"/>
      <c r="L1726" s="1456">
        <v>13167960100</v>
      </c>
      <c r="M1726" s="1457">
        <v>0</v>
      </c>
      <c r="N1726" s="1457">
        <v>1</v>
      </c>
      <c r="O1726" s="1458">
        <v>0</v>
      </c>
    </row>
    <row r="1727" spans="3:15" ht="13.5">
      <c r="C1727" s="1463" t="s">
        <v>5519</v>
      </c>
      <c r="D1727" s="1460">
        <v>0</v>
      </c>
      <c r="E1727" s="1460">
        <v>0</v>
      </c>
      <c r="F1727" s="1461">
        <v>0</v>
      </c>
      <c r="G1727" s="1472" t="s">
        <v>5519</v>
      </c>
      <c r="H1727" s="1458">
        <v>0</v>
      </c>
      <c r="I1727" s="1458">
        <v>0</v>
      </c>
      <c r="J1727" s="1473">
        <v>0</v>
      </c>
      <c r="K1727" s="1462"/>
      <c r="L1727" s="1456">
        <v>13167960200</v>
      </c>
      <c r="M1727" s="1457">
        <v>0</v>
      </c>
      <c r="N1727" s="1457">
        <v>0</v>
      </c>
      <c r="O1727" s="1458">
        <v>0</v>
      </c>
    </row>
    <row r="1728" spans="3:15" ht="13.5">
      <c r="C1728" s="1463" t="s">
        <v>5520</v>
      </c>
      <c r="D1728" s="1460">
        <v>0</v>
      </c>
      <c r="E1728" s="1460">
        <v>0</v>
      </c>
      <c r="F1728" s="1461">
        <v>0</v>
      </c>
      <c r="G1728" s="1472" t="s">
        <v>5520</v>
      </c>
      <c r="H1728" s="1458">
        <v>1</v>
      </c>
      <c r="I1728" s="1458">
        <v>1</v>
      </c>
      <c r="J1728" s="1473">
        <v>2</v>
      </c>
      <c r="K1728" s="1462"/>
      <c r="L1728" s="1456">
        <v>13167960300</v>
      </c>
      <c r="M1728" s="1457">
        <v>1</v>
      </c>
      <c r="N1728" s="1457">
        <v>1</v>
      </c>
      <c r="O1728" s="1458">
        <v>2</v>
      </c>
    </row>
    <row r="1729" spans="3:15" ht="13.5">
      <c r="C1729" s="1463" t="s">
        <v>5521</v>
      </c>
      <c r="D1729" s="1460">
        <v>1</v>
      </c>
      <c r="E1729" s="1460">
        <v>1</v>
      </c>
      <c r="F1729" s="1461">
        <v>2</v>
      </c>
      <c r="G1729" s="1472" t="s">
        <v>5521</v>
      </c>
      <c r="H1729" s="1458">
        <v>1</v>
      </c>
      <c r="I1729" s="1458">
        <v>1</v>
      </c>
      <c r="J1729" s="1473">
        <v>2</v>
      </c>
      <c r="K1729" s="1462"/>
      <c r="L1729" s="1456">
        <v>13169030101</v>
      </c>
      <c r="M1729" s="1457">
        <v>1</v>
      </c>
      <c r="N1729" s="1457">
        <v>1</v>
      </c>
      <c r="O1729" s="1458">
        <v>2</v>
      </c>
    </row>
    <row r="1730" spans="3:15" ht="13.5">
      <c r="C1730" s="1463" t="s">
        <v>5522</v>
      </c>
      <c r="D1730" s="1460">
        <v>1</v>
      </c>
      <c r="E1730" s="1460">
        <v>1</v>
      </c>
      <c r="F1730" s="1461">
        <v>2</v>
      </c>
      <c r="G1730" s="1472" t="s">
        <v>5522</v>
      </c>
      <c r="H1730" s="1458">
        <v>1</v>
      </c>
      <c r="I1730" s="1458">
        <v>0</v>
      </c>
      <c r="J1730" s="1473">
        <v>1</v>
      </c>
      <c r="K1730" s="1462"/>
      <c r="L1730" s="1456">
        <v>13169030103</v>
      </c>
      <c r="M1730" s="1457">
        <v>1</v>
      </c>
      <c r="N1730" s="1457">
        <v>1</v>
      </c>
      <c r="O1730" s="1458">
        <v>2</v>
      </c>
    </row>
    <row r="1731" spans="3:15" ht="13.5">
      <c r="C1731" s="1463" t="s">
        <v>5523</v>
      </c>
      <c r="D1731" s="1460">
        <v>0</v>
      </c>
      <c r="E1731" s="1460">
        <v>0</v>
      </c>
      <c r="F1731" s="1461">
        <v>0</v>
      </c>
      <c r="G1731" s="1472" t="s">
        <v>5523</v>
      </c>
      <c r="H1731" s="1458">
        <v>0</v>
      </c>
      <c r="I1731" s="1458">
        <v>0</v>
      </c>
      <c r="J1731" s="1473">
        <v>0</v>
      </c>
      <c r="K1731" s="1462"/>
      <c r="L1731" s="1456">
        <v>13169030104</v>
      </c>
      <c r="M1731" s="1457">
        <v>0</v>
      </c>
      <c r="N1731" s="1457">
        <v>0</v>
      </c>
      <c r="O1731" s="1458">
        <v>0</v>
      </c>
    </row>
    <row r="1732" spans="3:15" ht="13.5">
      <c r="C1732" s="1463" t="s">
        <v>5524</v>
      </c>
      <c r="D1732" s="1460">
        <v>0</v>
      </c>
      <c r="E1732" s="1460">
        <v>0</v>
      </c>
      <c r="F1732" s="1461">
        <v>0</v>
      </c>
      <c r="G1732" s="1472" t="s">
        <v>5524</v>
      </c>
      <c r="H1732" s="1458">
        <v>0</v>
      </c>
      <c r="I1732" s="1458">
        <v>0</v>
      </c>
      <c r="J1732" s="1473">
        <v>0</v>
      </c>
      <c r="K1732" s="1462"/>
      <c r="L1732" s="1456">
        <v>13169030200</v>
      </c>
      <c r="M1732" s="1457">
        <v>0</v>
      </c>
      <c r="N1732" s="1457">
        <v>0</v>
      </c>
      <c r="O1732" s="1458">
        <v>0</v>
      </c>
    </row>
    <row r="1733" spans="3:15" ht="13.5">
      <c r="C1733" s="1463" t="s">
        <v>5525</v>
      </c>
      <c r="D1733" s="1460">
        <v>1</v>
      </c>
      <c r="E1733" s="1460">
        <v>1</v>
      </c>
      <c r="F1733" s="1461">
        <v>2</v>
      </c>
      <c r="G1733" s="1472" t="s">
        <v>5525</v>
      </c>
      <c r="H1733" s="1458">
        <v>1</v>
      </c>
      <c r="I1733" s="1458">
        <v>1</v>
      </c>
      <c r="J1733" s="1473">
        <v>2</v>
      </c>
      <c r="K1733" s="1462"/>
      <c r="L1733" s="1456">
        <v>13169030301</v>
      </c>
      <c r="M1733" s="1457">
        <v>1</v>
      </c>
      <c r="N1733" s="1457">
        <v>1</v>
      </c>
      <c r="O1733" s="1458">
        <v>2</v>
      </c>
    </row>
    <row r="1734" spans="3:15" ht="13.5">
      <c r="C1734" s="1463" t="s">
        <v>5526</v>
      </c>
      <c r="D1734" s="1460">
        <v>0</v>
      </c>
      <c r="E1734" s="1460">
        <v>1</v>
      </c>
      <c r="F1734" s="1461">
        <v>1</v>
      </c>
      <c r="G1734" s="1472" t="s">
        <v>5526</v>
      </c>
      <c r="H1734" s="1458">
        <v>0</v>
      </c>
      <c r="I1734" s="1458">
        <v>0</v>
      </c>
      <c r="J1734" s="1473">
        <v>0</v>
      </c>
      <c r="K1734" s="1462"/>
      <c r="L1734" s="1456">
        <v>13169030302</v>
      </c>
      <c r="M1734" s="1457">
        <v>0</v>
      </c>
      <c r="N1734" s="1457">
        <v>1</v>
      </c>
      <c r="O1734" s="1458">
        <v>1</v>
      </c>
    </row>
    <row r="1735" spans="3:15" ht="13.5">
      <c r="C1735" s="1463" t="s">
        <v>5527</v>
      </c>
      <c r="D1735" s="1460">
        <v>0</v>
      </c>
      <c r="E1735" s="1460">
        <v>0</v>
      </c>
      <c r="F1735" s="1461">
        <v>0</v>
      </c>
      <c r="G1735" s="1472" t="s">
        <v>5527</v>
      </c>
      <c r="H1735" s="1458">
        <v>0</v>
      </c>
      <c r="I1735" s="1458">
        <v>0</v>
      </c>
      <c r="J1735" s="1473">
        <v>0</v>
      </c>
      <c r="K1735" s="1462"/>
      <c r="L1735" s="1456">
        <v>13171970100</v>
      </c>
      <c r="M1735" s="1457">
        <v>0</v>
      </c>
      <c r="N1735" s="1457">
        <v>0</v>
      </c>
      <c r="O1735" s="1458">
        <v>0</v>
      </c>
    </row>
    <row r="1736" spans="3:15" ht="13.5">
      <c r="C1736" s="1463" t="s">
        <v>5528</v>
      </c>
      <c r="D1736" s="1460">
        <v>0</v>
      </c>
      <c r="E1736" s="1460">
        <v>0</v>
      </c>
      <c r="F1736" s="1461">
        <v>0</v>
      </c>
      <c r="G1736" s="1472" t="s">
        <v>5528</v>
      </c>
      <c r="H1736" s="1458">
        <v>0</v>
      </c>
      <c r="I1736" s="1458">
        <v>0</v>
      </c>
      <c r="J1736" s="1473">
        <v>0</v>
      </c>
      <c r="K1736" s="1462"/>
      <c r="L1736" s="1456">
        <v>13171970200</v>
      </c>
      <c r="M1736" s="1457">
        <v>0</v>
      </c>
      <c r="N1736" s="1457">
        <v>0</v>
      </c>
      <c r="O1736" s="1458">
        <v>0</v>
      </c>
    </row>
    <row r="1737" spans="3:15" ht="13.5">
      <c r="C1737" s="1463" t="s">
        <v>5529</v>
      </c>
      <c r="D1737" s="1460">
        <v>0</v>
      </c>
      <c r="E1737" s="1460">
        <v>0</v>
      </c>
      <c r="F1737" s="1461">
        <v>0</v>
      </c>
      <c r="G1737" s="1472" t="s">
        <v>5529</v>
      </c>
      <c r="H1737" s="1458">
        <v>0</v>
      </c>
      <c r="I1737" s="1458">
        <v>0</v>
      </c>
      <c r="J1737" s="1473">
        <v>0</v>
      </c>
      <c r="K1737" s="1462"/>
      <c r="L1737" s="1456">
        <v>13171970300</v>
      </c>
      <c r="M1737" s="1457">
        <v>0</v>
      </c>
      <c r="N1737" s="1457">
        <v>0</v>
      </c>
      <c r="O1737" s="1458">
        <v>0</v>
      </c>
    </row>
    <row r="1738" spans="3:15" ht="13.5">
      <c r="C1738" s="1463" t="s">
        <v>5530</v>
      </c>
      <c r="D1738" s="1460">
        <v>0</v>
      </c>
      <c r="E1738" s="1460">
        <v>0</v>
      </c>
      <c r="F1738" s="1461">
        <v>0</v>
      </c>
      <c r="G1738" s="1472" t="s">
        <v>5530</v>
      </c>
      <c r="H1738" s="1458">
        <v>0</v>
      </c>
      <c r="I1738" s="1458">
        <v>0</v>
      </c>
      <c r="J1738" s="1473">
        <v>0</v>
      </c>
      <c r="K1738" s="1462"/>
      <c r="L1738" s="1456">
        <v>13173950100</v>
      </c>
      <c r="M1738" s="1457">
        <v>0</v>
      </c>
      <c r="N1738" s="1457">
        <v>0</v>
      </c>
      <c r="O1738" s="1458">
        <v>0</v>
      </c>
    </row>
    <row r="1739" spans="3:15" ht="13.5">
      <c r="C1739" s="1463" t="s">
        <v>5531</v>
      </c>
      <c r="D1739" s="1460">
        <v>0</v>
      </c>
      <c r="E1739" s="1460">
        <v>0</v>
      </c>
      <c r="F1739" s="1461">
        <v>0</v>
      </c>
      <c r="G1739" s="1472" t="s">
        <v>5531</v>
      </c>
      <c r="H1739" s="1458">
        <v>0</v>
      </c>
      <c r="I1739" s="1458">
        <v>0</v>
      </c>
      <c r="J1739" s="1473">
        <v>0</v>
      </c>
      <c r="K1739" s="1462"/>
      <c r="L1739" s="1456">
        <v>13173950200</v>
      </c>
      <c r="M1739" s="1457">
        <v>0</v>
      </c>
      <c r="N1739" s="1457">
        <v>0</v>
      </c>
      <c r="O1739" s="1458">
        <v>0</v>
      </c>
    </row>
    <row r="1740" spans="3:15" ht="13.5">
      <c r="C1740" s="1463" t="s">
        <v>5532</v>
      </c>
      <c r="D1740" s="1460">
        <v>0</v>
      </c>
      <c r="E1740" s="1460">
        <v>0</v>
      </c>
      <c r="F1740" s="1461">
        <v>0</v>
      </c>
      <c r="G1740" s="1472" t="s">
        <v>5532</v>
      </c>
      <c r="H1740" s="1458">
        <v>0</v>
      </c>
      <c r="I1740" s="1458">
        <v>0</v>
      </c>
      <c r="J1740" s="1473">
        <v>0</v>
      </c>
      <c r="K1740" s="1462"/>
      <c r="L1740" s="1456">
        <v>13175950100</v>
      </c>
      <c r="M1740" s="1457">
        <v>0</v>
      </c>
      <c r="N1740" s="1457">
        <v>0</v>
      </c>
      <c r="O1740" s="1458">
        <v>0</v>
      </c>
    </row>
    <row r="1741" spans="3:15" ht="13.5">
      <c r="C1741" s="1463" t="s">
        <v>5533</v>
      </c>
      <c r="D1741" s="1460">
        <v>0</v>
      </c>
      <c r="E1741" s="1460">
        <v>1</v>
      </c>
      <c r="F1741" s="1461">
        <v>1</v>
      </c>
      <c r="G1741" s="1472" t="s">
        <v>5533</v>
      </c>
      <c r="H1741" s="1458">
        <v>1</v>
      </c>
      <c r="I1741" s="1458">
        <v>1</v>
      </c>
      <c r="J1741" s="1473">
        <v>2</v>
      </c>
      <c r="K1741" s="1462"/>
      <c r="L1741" s="1456">
        <v>13175950201</v>
      </c>
      <c r="M1741" s="1457">
        <v>1</v>
      </c>
      <c r="N1741" s="1457">
        <v>1</v>
      </c>
      <c r="O1741" s="1458">
        <v>2</v>
      </c>
    </row>
    <row r="1742" spans="3:15" ht="13.5">
      <c r="C1742" s="1463" t="s">
        <v>5534</v>
      </c>
      <c r="D1742" s="1460">
        <v>1</v>
      </c>
      <c r="E1742" s="1460">
        <v>1</v>
      </c>
      <c r="F1742" s="1461">
        <v>2</v>
      </c>
      <c r="G1742" s="1472" t="s">
        <v>5534</v>
      </c>
      <c r="H1742" s="1458">
        <v>1</v>
      </c>
      <c r="I1742" s="1458">
        <v>1</v>
      </c>
      <c r="J1742" s="1473">
        <v>2</v>
      </c>
      <c r="K1742" s="1462"/>
      <c r="L1742" s="1456">
        <v>13175950202</v>
      </c>
      <c r="M1742" s="1457">
        <v>1</v>
      </c>
      <c r="N1742" s="1457">
        <v>1</v>
      </c>
      <c r="O1742" s="1458">
        <v>2</v>
      </c>
    </row>
    <row r="1743" spans="3:15" ht="13.5">
      <c r="C1743" s="1463" t="s">
        <v>5535</v>
      </c>
      <c r="D1743" s="1460">
        <v>0</v>
      </c>
      <c r="E1743" s="1460">
        <v>0</v>
      </c>
      <c r="F1743" s="1461">
        <v>0</v>
      </c>
      <c r="G1743" s="1472" t="s">
        <v>5535</v>
      </c>
      <c r="H1743" s="1458">
        <v>0</v>
      </c>
      <c r="I1743" s="1458">
        <v>0</v>
      </c>
      <c r="J1743" s="1473">
        <v>0</v>
      </c>
      <c r="K1743" s="1462"/>
      <c r="L1743" s="1456">
        <v>13175950300</v>
      </c>
      <c r="M1743" s="1457">
        <v>0</v>
      </c>
      <c r="N1743" s="1457">
        <v>0</v>
      </c>
      <c r="O1743" s="1458">
        <v>0</v>
      </c>
    </row>
    <row r="1744" spans="3:15" ht="13.5">
      <c r="C1744" s="1463" t="s">
        <v>5536</v>
      </c>
      <c r="D1744" s="1460">
        <v>0</v>
      </c>
      <c r="E1744" s="1460">
        <v>0</v>
      </c>
      <c r="F1744" s="1461">
        <v>0</v>
      </c>
      <c r="G1744" s="1472" t="s">
        <v>5536</v>
      </c>
      <c r="H1744" s="1458">
        <v>0</v>
      </c>
      <c r="I1744" s="1458">
        <v>0</v>
      </c>
      <c r="J1744" s="1473">
        <v>0</v>
      </c>
      <c r="K1744" s="1462"/>
      <c r="L1744" s="1456">
        <v>13175950400</v>
      </c>
      <c r="M1744" s="1457">
        <v>0</v>
      </c>
      <c r="N1744" s="1457">
        <v>0</v>
      </c>
      <c r="O1744" s="1458">
        <v>0</v>
      </c>
    </row>
    <row r="1745" spans="3:15" ht="13.5">
      <c r="C1745" s="1463" t="s">
        <v>5537</v>
      </c>
      <c r="D1745" s="1460">
        <v>0</v>
      </c>
      <c r="E1745" s="1460">
        <v>0</v>
      </c>
      <c r="F1745" s="1461">
        <v>0</v>
      </c>
      <c r="G1745" s="1472" t="s">
        <v>5537</v>
      </c>
      <c r="H1745" s="1458">
        <v>0</v>
      </c>
      <c r="I1745" s="1458">
        <v>0</v>
      </c>
      <c r="J1745" s="1473">
        <v>0</v>
      </c>
      <c r="K1745" s="1462"/>
      <c r="L1745" s="1456">
        <v>13175950500</v>
      </c>
      <c r="M1745" s="1457">
        <v>0</v>
      </c>
      <c r="N1745" s="1457">
        <v>0</v>
      </c>
      <c r="O1745" s="1458">
        <v>0</v>
      </c>
    </row>
    <row r="1746" spans="3:15" ht="13.5">
      <c r="C1746" s="1463" t="s">
        <v>5538</v>
      </c>
      <c r="D1746" s="1460">
        <v>1</v>
      </c>
      <c r="E1746" s="1460">
        <v>0</v>
      </c>
      <c r="F1746" s="1461">
        <v>1</v>
      </c>
      <c r="G1746" s="1472" t="s">
        <v>5538</v>
      </c>
      <c r="H1746" s="1458">
        <v>0</v>
      </c>
      <c r="I1746" s="1458">
        <v>1</v>
      </c>
      <c r="J1746" s="1473">
        <v>1</v>
      </c>
      <c r="K1746" s="1462"/>
      <c r="L1746" s="1456">
        <v>13175950600</v>
      </c>
      <c r="M1746" s="1457">
        <v>1</v>
      </c>
      <c r="N1746" s="1457">
        <v>1</v>
      </c>
      <c r="O1746" s="1458">
        <v>1</v>
      </c>
    </row>
    <row r="1747" spans="3:15" ht="13.5">
      <c r="C1747" s="1463" t="s">
        <v>5539</v>
      </c>
      <c r="D1747" s="1460">
        <v>0</v>
      </c>
      <c r="E1747" s="1460">
        <v>0</v>
      </c>
      <c r="F1747" s="1461">
        <v>0</v>
      </c>
      <c r="G1747" s="1472" t="s">
        <v>5539</v>
      </c>
      <c r="H1747" s="1458">
        <v>0</v>
      </c>
      <c r="I1747" s="1458">
        <v>1</v>
      </c>
      <c r="J1747" s="1473">
        <v>1</v>
      </c>
      <c r="K1747" s="1462"/>
      <c r="L1747" s="1456">
        <v>13175950700</v>
      </c>
      <c r="M1747" s="1457">
        <v>0</v>
      </c>
      <c r="N1747" s="1457">
        <v>1</v>
      </c>
      <c r="O1747" s="1458">
        <v>1</v>
      </c>
    </row>
    <row r="1748" spans="3:15" ht="13.5">
      <c r="C1748" s="1463" t="s">
        <v>5540</v>
      </c>
      <c r="D1748" s="1460">
        <v>0</v>
      </c>
      <c r="E1748" s="1460">
        <v>0</v>
      </c>
      <c r="F1748" s="1461">
        <v>0</v>
      </c>
      <c r="G1748" s="1472" t="s">
        <v>5540</v>
      </c>
      <c r="H1748" s="1458">
        <v>0</v>
      </c>
      <c r="I1748" s="1458">
        <v>0</v>
      </c>
      <c r="J1748" s="1473">
        <v>0</v>
      </c>
      <c r="K1748" s="1462"/>
      <c r="L1748" s="1456">
        <v>13175950800</v>
      </c>
      <c r="M1748" s="1457">
        <v>0</v>
      </c>
      <c r="N1748" s="1457">
        <v>0</v>
      </c>
      <c r="O1748" s="1458">
        <v>0</v>
      </c>
    </row>
    <row r="1749" spans="3:15" ht="13.5">
      <c r="C1749" s="1463" t="s">
        <v>5541</v>
      </c>
      <c r="D1749" s="1460">
        <v>0</v>
      </c>
      <c r="E1749" s="1460">
        <v>0</v>
      </c>
      <c r="F1749" s="1461">
        <v>0</v>
      </c>
      <c r="G1749" s="1472" t="s">
        <v>5541</v>
      </c>
      <c r="H1749" s="1458">
        <v>0</v>
      </c>
      <c r="I1749" s="1458">
        <v>0</v>
      </c>
      <c r="J1749" s="1473">
        <v>0</v>
      </c>
      <c r="K1749" s="1462"/>
      <c r="L1749" s="1456">
        <v>13175950900</v>
      </c>
      <c r="M1749" s="1457">
        <v>0</v>
      </c>
      <c r="N1749" s="1457">
        <v>0</v>
      </c>
      <c r="O1749" s="1458">
        <v>0</v>
      </c>
    </row>
    <row r="1750" spans="3:15" ht="13.5">
      <c r="C1750" s="1463" t="s">
        <v>5542</v>
      </c>
      <c r="D1750" s="1460">
        <v>0</v>
      </c>
      <c r="E1750" s="1460">
        <v>0</v>
      </c>
      <c r="F1750" s="1461">
        <v>0</v>
      </c>
      <c r="G1750" s="1472" t="s">
        <v>5542</v>
      </c>
      <c r="H1750" s="1458">
        <v>0</v>
      </c>
      <c r="I1750" s="1458">
        <v>0</v>
      </c>
      <c r="J1750" s="1473">
        <v>0</v>
      </c>
      <c r="K1750" s="1462"/>
      <c r="L1750" s="1456">
        <v>13175951000</v>
      </c>
      <c r="M1750" s="1457">
        <v>0</v>
      </c>
      <c r="N1750" s="1457">
        <v>0</v>
      </c>
      <c r="O1750" s="1458">
        <v>0</v>
      </c>
    </row>
    <row r="1751" spans="3:15" ht="13.5">
      <c r="C1751" s="1463" t="s">
        <v>5543</v>
      </c>
      <c r="D1751" s="1460">
        <v>0</v>
      </c>
      <c r="E1751" s="1460">
        <v>0</v>
      </c>
      <c r="F1751" s="1461">
        <v>0</v>
      </c>
      <c r="G1751" s="1472" t="s">
        <v>5543</v>
      </c>
      <c r="H1751" s="1458">
        <v>0</v>
      </c>
      <c r="I1751" s="1458">
        <v>0</v>
      </c>
      <c r="J1751" s="1473">
        <v>0</v>
      </c>
      <c r="K1751" s="1462"/>
      <c r="L1751" s="1456">
        <v>13175951100</v>
      </c>
      <c r="M1751" s="1457">
        <v>0</v>
      </c>
      <c r="N1751" s="1457">
        <v>0</v>
      </c>
      <c r="O1751" s="1458">
        <v>0</v>
      </c>
    </row>
    <row r="1752" spans="3:15" ht="13.5">
      <c r="C1752" s="1463" t="s">
        <v>5544</v>
      </c>
      <c r="D1752" s="1460">
        <v>0</v>
      </c>
      <c r="E1752" s="1460">
        <v>0</v>
      </c>
      <c r="F1752" s="1461">
        <v>0</v>
      </c>
      <c r="G1752" s="1472" t="s">
        <v>5544</v>
      </c>
      <c r="H1752" s="1458">
        <v>0</v>
      </c>
      <c r="I1752" s="1458" t="s">
        <v>3911</v>
      </c>
      <c r="J1752" s="1473">
        <v>0</v>
      </c>
      <c r="K1752" s="1462"/>
      <c r="L1752" s="1456">
        <v>13175951400</v>
      </c>
      <c r="M1752" s="1457">
        <v>0</v>
      </c>
      <c r="N1752" s="1457">
        <v>0</v>
      </c>
      <c r="O1752" s="1458">
        <v>0</v>
      </c>
    </row>
    <row r="1753" spans="3:15" ht="13.5">
      <c r="C1753" s="1463" t="s">
        <v>5545</v>
      </c>
      <c r="D1753" s="1460">
        <v>1</v>
      </c>
      <c r="E1753" s="1460">
        <v>1</v>
      </c>
      <c r="F1753" s="1461">
        <v>2</v>
      </c>
      <c r="G1753" s="1472" t="s">
        <v>5545</v>
      </c>
      <c r="H1753" s="1458">
        <v>0</v>
      </c>
      <c r="I1753" s="1458">
        <v>1</v>
      </c>
      <c r="J1753" s="1473">
        <v>1</v>
      </c>
      <c r="K1753" s="1462"/>
      <c r="L1753" s="1456">
        <v>13177020100</v>
      </c>
      <c r="M1753" s="1457">
        <v>1</v>
      </c>
      <c r="N1753" s="1457">
        <v>1</v>
      </c>
      <c r="O1753" s="1458">
        <v>2</v>
      </c>
    </row>
    <row r="1754" spans="3:15" ht="13.5">
      <c r="C1754" s="1463" t="s">
        <v>5546</v>
      </c>
      <c r="D1754" s="1460">
        <v>0</v>
      </c>
      <c r="E1754" s="1460">
        <v>0</v>
      </c>
      <c r="F1754" s="1461">
        <v>0</v>
      </c>
      <c r="G1754" s="1472" t="s">
        <v>5546</v>
      </c>
      <c r="H1754" s="1458">
        <v>0</v>
      </c>
      <c r="I1754" s="1458" t="s">
        <v>3911</v>
      </c>
      <c r="J1754" s="1473">
        <v>0</v>
      </c>
      <c r="K1754" s="1462"/>
      <c r="L1754" s="1456">
        <v>13177020200</v>
      </c>
      <c r="M1754" s="1457">
        <v>0</v>
      </c>
      <c r="N1754" s="1457">
        <v>0</v>
      </c>
      <c r="O1754" s="1458">
        <v>0</v>
      </c>
    </row>
    <row r="1755" spans="3:15" ht="13.5">
      <c r="C1755" s="1463" t="s">
        <v>5547</v>
      </c>
      <c r="D1755" s="1460">
        <v>0</v>
      </c>
      <c r="E1755" s="1460">
        <v>1</v>
      </c>
      <c r="F1755" s="1461">
        <v>1</v>
      </c>
      <c r="G1755" s="1472" t="s">
        <v>5547</v>
      </c>
      <c r="H1755" s="1458">
        <v>0</v>
      </c>
      <c r="I1755" s="1458">
        <v>0</v>
      </c>
      <c r="J1755" s="1473">
        <v>0</v>
      </c>
      <c r="K1755" s="1462"/>
      <c r="L1755" s="1456">
        <v>13177020300</v>
      </c>
      <c r="M1755" s="1457">
        <v>0</v>
      </c>
      <c r="N1755" s="1457">
        <v>1</v>
      </c>
      <c r="O1755" s="1458">
        <v>1</v>
      </c>
    </row>
    <row r="1756" spans="3:15" ht="13.5">
      <c r="C1756" s="1463" t="s">
        <v>5548</v>
      </c>
      <c r="D1756" s="1460">
        <v>1</v>
      </c>
      <c r="E1756" s="1460">
        <v>1</v>
      </c>
      <c r="F1756" s="1461">
        <v>2</v>
      </c>
      <c r="G1756" s="1472" t="s">
        <v>5548</v>
      </c>
      <c r="H1756" s="1458">
        <v>1</v>
      </c>
      <c r="I1756" s="1458">
        <v>0</v>
      </c>
      <c r="J1756" s="1473">
        <v>1</v>
      </c>
      <c r="K1756" s="1462"/>
      <c r="L1756" s="1456">
        <v>13177020402</v>
      </c>
      <c r="M1756" s="1457">
        <v>1</v>
      </c>
      <c r="N1756" s="1457">
        <v>1</v>
      </c>
      <c r="O1756" s="1458">
        <v>2</v>
      </c>
    </row>
    <row r="1757" spans="3:15" ht="13.5">
      <c r="C1757" s="1463" t="s">
        <v>5549</v>
      </c>
      <c r="D1757" s="1460">
        <v>1</v>
      </c>
      <c r="E1757" s="1460">
        <v>1</v>
      </c>
      <c r="F1757" s="1461">
        <v>2</v>
      </c>
      <c r="G1757" s="1472" t="s">
        <v>5549</v>
      </c>
      <c r="H1757" s="1458">
        <v>1</v>
      </c>
      <c r="I1757" s="1458">
        <v>1</v>
      </c>
      <c r="J1757" s="1473">
        <v>2</v>
      </c>
      <c r="K1757" s="1462"/>
      <c r="L1757" s="1456">
        <v>13177020403</v>
      </c>
      <c r="M1757" s="1457">
        <v>1</v>
      </c>
      <c r="N1757" s="1457">
        <v>1</v>
      </c>
      <c r="O1757" s="1458">
        <v>2</v>
      </c>
    </row>
    <row r="1758" spans="3:15" ht="13.5">
      <c r="C1758" s="1463" t="s">
        <v>5550</v>
      </c>
      <c r="D1758" s="1460">
        <v>0</v>
      </c>
      <c r="E1758" s="1460">
        <v>1</v>
      </c>
      <c r="F1758" s="1461">
        <v>1</v>
      </c>
      <c r="G1758" s="1472" t="s">
        <v>5550</v>
      </c>
      <c r="H1758" s="1458">
        <v>0</v>
      </c>
      <c r="I1758" s="1458" t="s">
        <v>3911</v>
      </c>
      <c r="J1758" s="1473">
        <v>0</v>
      </c>
      <c r="K1758" s="1462"/>
      <c r="L1758" s="1456">
        <v>13179010101</v>
      </c>
      <c r="M1758" s="1457">
        <v>0</v>
      </c>
      <c r="N1758" s="1457">
        <v>1</v>
      </c>
      <c r="O1758" s="1458">
        <v>1</v>
      </c>
    </row>
    <row r="1759" spans="3:15" ht="13.5">
      <c r="C1759" s="1463" t="s">
        <v>5551</v>
      </c>
      <c r="D1759" s="1460">
        <v>1</v>
      </c>
      <c r="E1759" s="1460">
        <v>1</v>
      </c>
      <c r="F1759" s="1461">
        <v>2</v>
      </c>
      <c r="G1759" s="1472" t="s">
        <v>5551</v>
      </c>
      <c r="H1759" s="1458">
        <v>1</v>
      </c>
      <c r="I1759" s="1458" t="s">
        <v>3911</v>
      </c>
      <c r="J1759" s="1473">
        <v>1</v>
      </c>
      <c r="K1759" s="1462"/>
      <c r="L1759" s="1456">
        <v>13179010102</v>
      </c>
      <c r="M1759" s="1457">
        <v>1</v>
      </c>
      <c r="N1759" s="1457">
        <v>1</v>
      </c>
      <c r="O1759" s="1458">
        <v>2</v>
      </c>
    </row>
    <row r="1760" spans="3:15" ht="13.5">
      <c r="C1760" s="1463" t="s">
        <v>5552</v>
      </c>
      <c r="D1760" s="1460">
        <v>0</v>
      </c>
      <c r="E1760" s="1460">
        <v>1</v>
      </c>
      <c r="F1760" s="1461">
        <v>1</v>
      </c>
      <c r="G1760" s="1472" t="s">
        <v>5552</v>
      </c>
      <c r="H1760" s="1458">
        <v>0</v>
      </c>
      <c r="I1760" s="1458" t="s">
        <v>3911</v>
      </c>
      <c r="J1760" s="1473">
        <v>0</v>
      </c>
      <c r="K1760" s="1462"/>
      <c r="L1760" s="1456">
        <v>13179010103</v>
      </c>
      <c r="M1760" s="1457">
        <v>0</v>
      </c>
      <c r="N1760" s="1457">
        <v>1</v>
      </c>
      <c r="O1760" s="1458">
        <v>1</v>
      </c>
    </row>
    <row r="1761" spans="3:15" ht="13.5">
      <c r="C1761" s="1463" t="s">
        <v>5553</v>
      </c>
      <c r="D1761" s="1460">
        <v>0</v>
      </c>
      <c r="E1761" s="1460">
        <v>1</v>
      </c>
      <c r="F1761" s="1461">
        <v>1</v>
      </c>
      <c r="G1761" s="1472" t="s">
        <v>5553</v>
      </c>
      <c r="H1761" s="1458">
        <v>0</v>
      </c>
      <c r="I1761" s="1458">
        <v>1</v>
      </c>
      <c r="J1761" s="1473">
        <v>1</v>
      </c>
      <c r="K1761" s="1462"/>
      <c r="L1761" s="1456">
        <v>13179010202</v>
      </c>
      <c r="M1761" s="1457">
        <v>0</v>
      </c>
      <c r="N1761" s="1457">
        <v>1</v>
      </c>
      <c r="O1761" s="1458">
        <v>1</v>
      </c>
    </row>
    <row r="1762" spans="3:15" ht="13.5">
      <c r="C1762" s="1463" t="s">
        <v>5554</v>
      </c>
      <c r="D1762" s="1460">
        <v>0</v>
      </c>
      <c r="E1762" s="1460">
        <v>0</v>
      </c>
      <c r="F1762" s="1461">
        <v>0</v>
      </c>
      <c r="G1762" s="1472" t="s">
        <v>5554</v>
      </c>
      <c r="H1762" s="1458">
        <v>0</v>
      </c>
      <c r="I1762" s="1458">
        <v>0</v>
      </c>
      <c r="J1762" s="1473">
        <v>0</v>
      </c>
      <c r="K1762" s="1462"/>
      <c r="L1762" s="1456">
        <v>13179010204</v>
      </c>
      <c r="M1762" s="1457">
        <v>0</v>
      </c>
      <c r="N1762" s="1457">
        <v>0</v>
      </c>
      <c r="O1762" s="1458">
        <v>0</v>
      </c>
    </row>
    <row r="1763" spans="3:15" ht="13.5">
      <c r="C1763" s="1463" t="s">
        <v>5555</v>
      </c>
      <c r="D1763" s="1460">
        <v>0</v>
      </c>
      <c r="E1763" s="1460">
        <v>1</v>
      </c>
      <c r="F1763" s="1461">
        <v>1</v>
      </c>
      <c r="G1763" s="1472" t="s">
        <v>5555</v>
      </c>
      <c r="H1763" s="1458">
        <v>0</v>
      </c>
      <c r="I1763" s="1458">
        <v>0</v>
      </c>
      <c r="J1763" s="1473">
        <v>0</v>
      </c>
      <c r="K1763" s="1462"/>
      <c r="L1763" s="1456">
        <v>13179010205</v>
      </c>
      <c r="M1763" s="1457">
        <v>0</v>
      </c>
      <c r="N1763" s="1457">
        <v>1</v>
      </c>
      <c r="O1763" s="1458">
        <v>1</v>
      </c>
    </row>
    <row r="1764" spans="3:15" ht="13.5">
      <c r="C1764" s="1463" t="s">
        <v>5556</v>
      </c>
      <c r="D1764" s="1460">
        <v>0</v>
      </c>
      <c r="E1764" s="1460">
        <v>1</v>
      </c>
      <c r="F1764" s="1461">
        <v>1</v>
      </c>
      <c r="G1764" s="1472" t="s">
        <v>5556</v>
      </c>
      <c r="H1764" s="1458">
        <v>0</v>
      </c>
      <c r="I1764" s="1458">
        <v>1</v>
      </c>
      <c r="J1764" s="1473">
        <v>1</v>
      </c>
      <c r="K1764" s="1462"/>
      <c r="L1764" s="1456">
        <v>13179010206</v>
      </c>
      <c r="M1764" s="1457">
        <v>0</v>
      </c>
      <c r="N1764" s="1457">
        <v>1</v>
      </c>
      <c r="O1764" s="1458">
        <v>1</v>
      </c>
    </row>
    <row r="1765" spans="3:15" ht="13.5">
      <c r="C1765" s="1463" t="s">
        <v>5557</v>
      </c>
      <c r="D1765" s="1460">
        <v>0</v>
      </c>
      <c r="E1765" s="1460">
        <v>0</v>
      </c>
      <c r="F1765" s="1461">
        <v>0</v>
      </c>
      <c r="G1765" s="1472" t="s">
        <v>5557</v>
      </c>
      <c r="H1765" s="1458">
        <v>0</v>
      </c>
      <c r="I1765" s="1458">
        <v>0</v>
      </c>
      <c r="J1765" s="1473">
        <v>0</v>
      </c>
      <c r="K1765" s="1462"/>
      <c r="L1765" s="1456">
        <v>13179010207</v>
      </c>
      <c r="M1765" s="1457">
        <v>0</v>
      </c>
      <c r="N1765" s="1457">
        <v>0</v>
      </c>
      <c r="O1765" s="1458">
        <v>0</v>
      </c>
    </row>
    <row r="1766" spans="3:15" ht="13.5">
      <c r="C1766" s="1463" t="s">
        <v>5558</v>
      </c>
      <c r="D1766" s="1460">
        <v>0</v>
      </c>
      <c r="E1766" s="1460">
        <v>1</v>
      </c>
      <c r="F1766" s="1461">
        <v>1</v>
      </c>
      <c r="G1766" s="1472" t="s">
        <v>5558</v>
      </c>
      <c r="H1766" s="1458">
        <v>0</v>
      </c>
      <c r="I1766" s="1458" t="s">
        <v>3911</v>
      </c>
      <c r="J1766" s="1473">
        <v>0</v>
      </c>
      <c r="K1766" s="1462"/>
      <c r="L1766" s="1456">
        <v>13179010208</v>
      </c>
      <c r="M1766" s="1457">
        <v>0</v>
      </c>
      <c r="N1766" s="1457">
        <v>1</v>
      </c>
      <c r="O1766" s="1458">
        <v>1</v>
      </c>
    </row>
    <row r="1767" spans="3:15" ht="13.5">
      <c r="C1767" s="1463" t="s">
        <v>5559</v>
      </c>
      <c r="D1767" s="1460">
        <v>0</v>
      </c>
      <c r="E1767" s="1460">
        <v>1</v>
      </c>
      <c r="F1767" s="1461">
        <v>1</v>
      </c>
      <c r="G1767" s="1472" t="s">
        <v>5559</v>
      </c>
      <c r="H1767" s="1458">
        <v>0</v>
      </c>
      <c r="I1767" s="1458">
        <v>1</v>
      </c>
      <c r="J1767" s="1473">
        <v>1</v>
      </c>
      <c r="K1767" s="1462"/>
      <c r="L1767" s="1456">
        <v>13179010300</v>
      </c>
      <c r="M1767" s="1457">
        <v>0</v>
      </c>
      <c r="N1767" s="1457">
        <v>1</v>
      </c>
      <c r="O1767" s="1458">
        <v>1</v>
      </c>
    </row>
    <row r="1768" spans="3:15" ht="13.5">
      <c r="C1768" s="1463" t="s">
        <v>5560</v>
      </c>
      <c r="D1768" s="1460">
        <v>0</v>
      </c>
      <c r="E1768" s="1460">
        <v>0</v>
      </c>
      <c r="F1768" s="1461">
        <v>0</v>
      </c>
      <c r="G1768" s="1472" t="s">
        <v>5560</v>
      </c>
      <c r="H1768" s="1458">
        <v>0</v>
      </c>
      <c r="I1768" s="1458">
        <v>0</v>
      </c>
      <c r="J1768" s="1473">
        <v>0</v>
      </c>
      <c r="K1768" s="1462"/>
      <c r="L1768" s="1456">
        <v>13179010400</v>
      </c>
      <c r="M1768" s="1457">
        <v>0</v>
      </c>
      <c r="N1768" s="1457">
        <v>0</v>
      </c>
      <c r="O1768" s="1458">
        <v>0</v>
      </c>
    </row>
    <row r="1769" spans="3:15" ht="13.5">
      <c r="C1769" s="1463" t="s">
        <v>5561</v>
      </c>
      <c r="D1769" s="1460">
        <v>1</v>
      </c>
      <c r="E1769" s="1460">
        <v>1</v>
      </c>
      <c r="F1769" s="1461">
        <v>2</v>
      </c>
      <c r="G1769" s="1472" t="s">
        <v>5561</v>
      </c>
      <c r="H1769" s="1458">
        <v>0</v>
      </c>
      <c r="I1769" s="1458">
        <v>0</v>
      </c>
      <c r="J1769" s="1473">
        <v>0</v>
      </c>
      <c r="K1769" s="1462"/>
      <c r="L1769" s="1456">
        <v>13179010501</v>
      </c>
      <c r="M1769" s="1457">
        <v>1</v>
      </c>
      <c r="N1769" s="1457">
        <v>1</v>
      </c>
      <c r="O1769" s="1458">
        <v>2</v>
      </c>
    </row>
    <row r="1770" spans="3:15" ht="13.5">
      <c r="C1770" s="1463" t="s">
        <v>5562</v>
      </c>
      <c r="D1770" s="1460">
        <v>0</v>
      </c>
      <c r="E1770" s="1460">
        <v>0</v>
      </c>
      <c r="F1770" s="1461">
        <v>0</v>
      </c>
      <c r="G1770" s="1472" t="s">
        <v>5562</v>
      </c>
      <c r="H1770" s="1458">
        <v>0</v>
      </c>
      <c r="I1770" s="1458">
        <v>0</v>
      </c>
      <c r="J1770" s="1473">
        <v>0</v>
      </c>
      <c r="K1770" s="1462"/>
      <c r="L1770" s="1456">
        <v>13179010502</v>
      </c>
      <c r="M1770" s="1457">
        <v>0</v>
      </c>
      <c r="N1770" s="1457">
        <v>0</v>
      </c>
      <c r="O1770" s="1458">
        <v>0</v>
      </c>
    </row>
    <row r="1771" spans="3:15" ht="13.5">
      <c r="C1771" s="1463" t="s">
        <v>5563</v>
      </c>
      <c r="D1771" s="1460">
        <v>0</v>
      </c>
      <c r="E1771" s="1460">
        <v>0</v>
      </c>
      <c r="F1771" s="1461">
        <v>0</v>
      </c>
      <c r="G1771" s="1472" t="s">
        <v>5563</v>
      </c>
      <c r="H1771" s="1458">
        <v>0</v>
      </c>
      <c r="I1771" s="1458">
        <v>0</v>
      </c>
      <c r="J1771" s="1473">
        <v>0</v>
      </c>
      <c r="K1771" s="1462"/>
      <c r="L1771" s="1456">
        <v>13179010600</v>
      </c>
      <c r="M1771" s="1457">
        <v>0</v>
      </c>
      <c r="N1771" s="1457">
        <v>0</v>
      </c>
      <c r="O1771" s="1458">
        <v>0</v>
      </c>
    </row>
    <row r="1772" spans="3:15" ht="13.5">
      <c r="C1772" s="1463" t="s">
        <v>5564</v>
      </c>
      <c r="D1772" s="1460" t="s">
        <v>3911</v>
      </c>
      <c r="E1772" s="1460" t="s">
        <v>3911</v>
      </c>
      <c r="F1772" s="1461">
        <v>0</v>
      </c>
      <c r="G1772" s="1472" t="s">
        <v>5564</v>
      </c>
      <c r="H1772" s="1458" t="s">
        <v>3911</v>
      </c>
      <c r="I1772" s="1458" t="s">
        <v>3911</v>
      </c>
      <c r="J1772" s="1473">
        <v>0</v>
      </c>
      <c r="K1772" s="1462"/>
      <c r="L1772" s="1456">
        <v>13179990000</v>
      </c>
      <c r="M1772" s="1457">
        <v>0</v>
      </c>
      <c r="N1772" s="1457">
        <v>0</v>
      </c>
      <c r="O1772" s="1458">
        <v>0</v>
      </c>
    </row>
    <row r="1773" spans="3:15" ht="13.5">
      <c r="C1773" s="1463" t="s">
        <v>5565</v>
      </c>
      <c r="D1773" s="1460">
        <v>0</v>
      </c>
      <c r="E1773" s="1460">
        <v>0</v>
      </c>
      <c r="F1773" s="1461">
        <v>0</v>
      </c>
      <c r="G1773" s="1472" t="s">
        <v>5565</v>
      </c>
      <c r="H1773" s="1458">
        <v>0</v>
      </c>
      <c r="I1773" s="1458">
        <v>1</v>
      </c>
      <c r="J1773" s="1473">
        <v>1</v>
      </c>
      <c r="K1773" s="1462"/>
      <c r="L1773" s="1456">
        <v>13181970100</v>
      </c>
      <c r="M1773" s="1457">
        <v>0</v>
      </c>
      <c r="N1773" s="1457">
        <v>1</v>
      </c>
      <c r="O1773" s="1458">
        <v>1</v>
      </c>
    </row>
    <row r="1774" spans="3:15" ht="13.5">
      <c r="C1774" s="1463" t="s">
        <v>5566</v>
      </c>
      <c r="D1774" s="1460">
        <v>0</v>
      </c>
      <c r="E1774" s="1460">
        <v>0</v>
      </c>
      <c r="F1774" s="1461">
        <v>0</v>
      </c>
      <c r="G1774" s="1472" t="s">
        <v>5566</v>
      </c>
      <c r="H1774" s="1458">
        <v>0</v>
      </c>
      <c r="I1774" s="1458">
        <v>0</v>
      </c>
      <c r="J1774" s="1473">
        <v>0</v>
      </c>
      <c r="K1774" s="1462"/>
      <c r="L1774" s="1456">
        <v>13181970200</v>
      </c>
      <c r="M1774" s="1457">
        <v>0</v>
      </c>
      <c r="N1774" s="1457">
        <v>0</v>
      </c>
      <c r="O1774" s="1458">
        <v>0</v>
      </c>
    </row>
    <row r="1775" spans="3:15" ht="13.5">
      <c r="C1775" s="1463" t="s">
        <v>5567</v>
      </c>
      <c r="D1775" s="1460">
        <v>0</v>
      </c>
      <c r="E1775" s="1460">
        <v>0</v>
      </c>
      <c r="F1775" s="1461">
        <v>0</v>
      </c>
      <c r="G1775" s="1472" t="s">
        <v>5567</v>
      </c>
      <c r="H1775" s="1458">
        <v>0</v>
      </c>
      <c r="I1775" s="1458">
        <v>0</v>
      </c>
      <c r="J1775" s="1473">
        <v>0</v>
      </c>
      <c r="K1775" s="1462"/>
      <c r="L1775" s="1456">
        <v>13183970100</v>
      </c>
      <c r="M1775" s="1457">
        <v>0</v>
      </c>
      <c r="N1775" s="1457">
        <v>0</v>
      </c>
      <c r="O1775" s="1458">
        <v>0</v>
      </c>
    </row>
    <row r="1776" spans="3:15" ht="13.5">
      <c r="C1776" s="1463" t="s">
        <v>5568</v>
      </c>
      <c r="D1776" s="1460">
        <v>0</v>
      </c>
      <c r="E1776" s="1460">
        <v>0</v>
      </c>
      <c r="F1776" s="1461">
        <v>0</v>
      </c>
      <c r="G1776" s="1472" t="s">
        <v>5568</v>
      </c>
      <c r="H1776" s="1458">
        <v>0</v>
      </c>
      <c r="I1776" s="1458">
        <v>1</v>
      </c>
      <c r="J1776" s="1473">
        <v>1</v>
      </c>
      <c r="K1776" s="1462"/>
      <c r="L1776" s="1456">
        <v>13183970200</v>
      </c>
      <c r="M1776" s="1457">
        <v>0</v>
      </c>
      <c r="N1776" s="1457">
        <v>1</v>
      </c>
      <c r="O1776" s="1458">
        <v>1</v>
      </c>
    </row>
    <row r="1777" spans="3:15" ht="13.5">
      <c r="C1777" s="1463" t="s">
        <v>5569</v>
      </c>
      <c r="D1777" s="1460" t="s">
        <v>3911</v>
      </c>
      <c r="E1777" s="1460" t="s">
        <v>3911</v>
      </c>
      <c r="F1777" s="1461">
        <v>0</v>
      </c>
      <c r="G1777" s="1472" t="s">
        <v>5569</v>
      </c>
      <c r="H1777" s="1458" t="s">
        <v>3911</v>
      </c>
      <c r="I1777" s="1458" t="s">
        <v>3911</v>
      </c>
      <c r="J1777" s="1473">
        <v>0</v>
      </c>
      <c r="K1777" s="1462"/>
      <c r="L1777" s="1456">
        <v>13183980000</v>
      </c>
      <c r="M1777" s="1457">
        <v>0</v>
      </c>
      <c r="N1777" s="1457">
        <v>0</v>
      </c>
      <c r="O1777" s="1458">
        <v>0</v>
      </c>
    </row>
    <row r="1778" spans="3:15" ht="13.5">
      <c r="C1778" s="1463" t="s">
        <v>5570</v>
      </c>
      <c r="D1778" s="1460">
        <v>0</v>
      </c>
      <c r="E1778" s="1460">
        <v>1</v>
      </c>
      <c r="F1778" s="1461">
        <v>1</v>
      </c>
      <c r="G1778" s="1472" t="s">
        <v>5570</v>
      </c>
      <c r="H1778" s="1458">
        <v>0</v>
      </c>
      <c r="I1778" s="1458">
        <v>0</v>
      </c>
      <c r="J1778" s="1473">
        <v>0</v>
      </c>
      <c r="K1778" s="1462"/>
      <c r="L1778" s="1456">
        <v>13185010101</v>
      </c>
      <c r="M1778" s="1457">
        <v>0</v>
      </c>
      <c r="N1778" s="1457">
        <v>1</v>
      </c>
      <c r="O1778" s="1458">
        <v>1</v>
      </c>
    </row>
    <row r="1779" spans="3:15" ht="13.5">
      <c r="C1779" s="1463" t="s">
        <v>5571</v>
      </c>
      <c r="D1779" s="1460">
        <v>0</v>
      </c>
      <c r="E1779" s="1460">
        <v>1</v>
      </c>
      <c r="F1779" s="1461">
        <v>1</v>
      </c>
      <c r="G1779" s="1472" t="s">
        <v>5571</v>
      </c>
      <c r="H1779" s="1458">
        <v>0</v>
      </c>
      <c r="I1779" s="1458">
        <v>1</v>
      </c>
      <c r="J1779" s="1473">
        <v>1</v>
      </c>
      <c r="K1779" s="1462"/>
      <c r="L1779" s="1456">
        <v>13185010102</v>
      </c>
      <c r="M1779" s="1457">
        <v>0</v>
      </c>
      <c r="N1779" s="1457">
        <v>1</v>
      </c>
      <c r="O1779" s="1458">
        <v>1</v>
      </c>
    </row>
    <row r="1780" spans="3:15" ht="13.5">
      <c r="C1780" s="1463" t="s">
        <v>5572</v>
      </c>
      <c r="D1780" s="1460">
        <v>1</v>
      </c>
      <c r="E1780" s="1460">
        <v>1</v>
      </c>
      <c r="F1780" s="1461">
        <v>2</v>
      </c>
      <c r="G1780" s="1472" t="s">
        <v>5572</v>
      </c>
      <c r="H1780" s="1458">
        <v>1</v>
      </c>
      <c r="I1780" s="1458">
        <v>1</v>
      </c>
      <c r="J1780" s="1473">
        <v>2</v>
      </c>
      <c r="K1780" s="1462"/>
      <c r="L1780" s="1456">
        <v>13185010103</v>
      </c>
      <c r="M1780" s="1457">
        <v>1</v>
      </c>
      <c r="N1780" s="1457">
        <v>1</v>
      </c>
      <c r="O1780" s="1458">
        <v>2</v>
      </c>
    </row>
    <row r="1781" spans="3:15" ht="13.5">
      <c r="C1781" s="1463" t="s">
        <v>5573</v>
      </c>
      <c r="D1781" s="1460">
        <v>0</v>
      </c>
      <c r="E1781" s="1460">
        <v>1</v>
      </c>
      <c r="F1781" s="1461">
        <v>1</v>
      </c>
      <c r="G1781" s="1472" t="s">
        <v>5573</v>
      </c>
      <c r="H1781" s="1458">
        <v>0</v>
      </c>
      <c r="I1781" s="1458">
        <v>1</v>
      </c>
      <c r="J1781" s="1473">
        <v>1</v>
      </c>
      <c r="K1781" s="1462"/>
      <c r="L1781" s="1456">
        <v>13185010201</v>
      </c>
      <c r="M1781" s="1457">
        <v>0</v>
      </c>
      <c r="N1781" s="1457">
        <v>1</v>
      </c>
      <c r="O1781" s="1458">
        <v>1</v>
      </c>
    </row>
    <row r="1782" spans="3:15" ht="13.5">
      <c r="C1782" s="1463" t="s">
        <v>5574</v>
      </c>
      <c r="D1782" s="1460">
        <v>1</v>
      </c>
      <c r="E1782" s="1460">
        <v>1</v>
      </c>
      <c r="F1782" s="1461">
        <v>2</v>
      </c>
      <c r="G1782" s="1472" t="s">
        <v>5574</v>
      </c>
      <c r="H1782" s="1458">
        <v>1</v>
      </c>
      <c r="I1782" s="1458">
        <v>1</v>
      </c>
      <c r="J1782" s="1473">
        <v>2</v>
      </c>
      <c r="K1782" s="1462"/>
      <c r="L1782" s="1456">
        <v>13185010202</v>
      </c>
      <c r="M1782" s="1457">
        <v>1</v>
      </c>
      <c r="N1782" s="1457">
        <v>1</v>
      </c>
      <c r="O1782" s="1458">
        <v>2</v>
      </c>
    </row>
    <row r="1783" spans="3:15" ht="13.5">
      <c r="C1783" s="1463" t="s">
        <v>5575</v>
      </c>
      <c r="D1783" s="1460">
        <v>1</v>
      </c>
      <c r="E1783" s="1460">
        <v>1</v>
      </c>
      <c r="F1783" s="1461">
        <v>2</v>
      </c>
      <c r="G1783" s="1472" t="s">
        <v>5575</v>
      </c>
      <c r="H1783" s="1458">
        <v>1</v>
      </c>
      <c r="I1783" s="1458">
        <v>1</v>
      </c>
      <c r="J1783" s="1473">
        <v>2</v>
      </c>
      <c r="K1783" s="1462"/>
      <c r="L1783" s="1456">
        <v>13185010301</v>
      </c>
      <c r="M1783" s="1457">
        <v>1</v>
      </c>
      <c r="N1783" s="1457">
        <v>1</v>
      </c>
      <c r="O1783" s="1458">
        <v>2</v>
      </c>
    </row>
    <row r="1784" spans="3:15" ht="13.5">
      <c r="C1784" s="1463" t="s">
        <v>5576</v>
      </c>
      <c r="D1784" s="1460">
        <v>1</v>
      </c>
      <c r="E1784" s="1460">
        <v>1</v>
      </c>
      <c r="F1784" s="1461">
        <v>2</v>
      </c>
      <c r="G1784" s="1472" t="s">
        <v>5576</v>
      </c>
      <c r="H1784" s="1458">
        <v>1</v>
      </c>
      <c r="I1784" s="1458">
        <v>1</v>
      </c>
      <c r="J1784" s="1473">
        <v>2</v>
      </c>
      <c r="K1784" s="1462"/>
      <c r="L1784" s="1456">
        <v>13185010302</v>
      </c>
      <c r="M1784" s="1457">
        <v>1</v>
      </c>
      <c r="N1784" s="1457">
        <v>1</v>
      </c>
      <c r="O1784" s="1458">
        <v>2</v>
      </c>
    </row>
    <row r="1785" spans="3:15" ht="13.5">
      <c r="C1785" s="1463" t="s">
        <v>5577</v>
      </c>
      <c r="D1785" s="1460">
        <v>1</v>
      </c>
      <c r="E1785" s="1460">
        <v>1</v>
      </c>
      <c r="F1785" s="1461">
        <v>2</v>
      </c>
      <c r="G1785" s="1472" t="s">
        <v>5577</v>
      </c>
      <c r="H1785" s="1458">
        <v>1</v>
      </c>
      <c r="I1785" s="1458">
        <v>1</v>
      </c>
      <c r="J1785" s="1473">
        <v>2</v>
      </c>
      <c r="K1785" s="1462"/>
      <c r="L1785" s="1456">
        <v>13185010401</v>
      </c>
      <c r="M1785" s="1457">
        <v>1</v>
      </c>
      <c r="N1785" s="1457">
        <v>1</v>
      </c>
      <c r="O1785" s="1458">
        <v>2</v>
      </c>
    </row>
    <row r="1786" spans="3:15" ht="13.5">
      <c r="C1786" s="1463" t="s">
        <v>5578</v>
      </c>
      <c r="D1786" s="1460">
        <v>0</v>
      </c>
      <c r="E1786" s="1460">
        <v>0</v>
      </c>
      <c r="F1786" s="1461">
        <v>0</v>
      </c>
      <c r="G1786" s="1472" t="s">
        <v>5578</v>
      </c>
      <c r="H1786" s="1458">
        <v>0</v>
      </c>
      <c r="I1786" s="1458">
        <v>0</v>
      </c>
      <c r="J1786" s="1473">
        <v>0</v>
      </c>
      <c r="K1786" s="1462"/>
      <c r="L1786" s="1456">
        <v>13185010402</v>
      </c>
      <c r="M1786" s="1457">
        <v>0</v>
      </c>
      <c r="N1786" s="1457">
        <v>0</v>
      </c>
      <c r="O1786" s="1458">
        <v>0</v>
      </c>
    </row>
    <row r="1787" spans="3:15" ht="13.5">
      <c r="C1787" s="1463" t="s">
        <v>5579</v>
      </c>
      <c r="D1787" s="1460">
        <v>0</v>
      </c>
      <c r="E1787" s="1460">
        <v>0</v>
      </c>
      <c r="F1787" s="1461">
        <v>0</v>
      </c>
      <c r="G1787" s="1472" t="s">
        <v>5579</v>
      </c>
      <c r="H1787" s="1458">
        <v>0</v>
      </c>
      <c r="I1787" s="1458">
        <v>0</v>
      </c>
      <c r="J1787" s="1473">
        <v>0</v>
      </c>
      <c r="K1787" s="1462"/>
      <c r="L1787" s="1456">
        <v>13185010500</v>
      </c>
      <c r="M1787" s="1457">
        <v>0</v>
      </c>
      <c r="N1787" s="1457">
        <v>0</v>
      </c>
      <c r="O1787" s="1458">
        <v>0</v>
      </c>
    </row>
    <row r="1788" spans="3:15" ht="13.5">
      <c r="C1788" s="1463" t="s">
        <v>5580</v>
      </c>
      <c r="D1788" s="1460">
        <v>0</v>
      </c>
      <c r="E1788" s="1460">
        <v>0</v>
      </c>
      <c r="F1788" s="1461">
        <v>0</v>
      </c>
      <c r="G1788" s="1472" t="s">
        <v>5580</v>
      </c>
      <c r="H1788" s="1458">
        <v>0</v>
      </c>
      <c r="I1788" s="1458">
        <v>1</v>
      </c>
      <c r="J1788" s="1473">
        <v>1</v>
      </c>
      <c r="K1788" s="1462"/>
      <c r="L1788" s="1456">
        <v>13185010601</v>
      </c>
      <c r="M1788" s="1457">
        <v>0</v>
      </c>
      <c r="N1788" s="1457">
        <v>1</v>
      </c>
      <c r="O1788" s="1458">
        <v>1</v>
      </c>
    </row>
    <row r="1789" spans="3:15" ht="13.5">
      <c r="C1789" s="1463" t="s">
        <v>5581</v>
      </c>
      <c r="D1789" s="1460">
        <v>1</v>
      </c>
      <c r="E1789" s="1460">
        <v>1</v>
      </c>
      <c r="F1789" s="1461">
        <v>2</v>
      </c>
      <c r="G1789" s="1472" t="s">
        <v>5581</v>
      </c>
      <c r="H1789" s="1458">
        <v>1</v>
      </c>
      <c r="I1789" s="1458">
        <v>1</v>
      </c>
      <c r="J1789" s="1473">
        <v>2</v>
      </c>
      <c r="K1789" s="1462"/>
      <c r="L1789" s="1456">
        <v>13185010604</v>
      </c>
      <c r="M1789" s="1457">
        <v>1</v>
      </c>
      <c r="N1789" s="1457">
        <v>1</v>
      </c>
      <c r="O1789" s="1458">
        <v>2</v>
      </c>
    </row>
    <row r="1790" spans="3:15" ht="13.5">
      <c r="C1790" s="1463" t="s">
        <v>5582</v>
      </c>
      <c r="D1790" s="1460">
        <v>0</v>
      </c>
      <c r="E1790" s="1460">
        <v>0</v>
      </c>
      <c r="F1790" s="1461">
        <v>0</v>
      </c>
      <c r="G1790" s="1472" t="s">
        <v>5582</v>
      </c>
      <c r="H1790" s="1458">
        <v>0</v>
      </c>
      <c r="I1790" s="1458">
        <v>0</v>
      </c>
      <c r="J1790" s="1473">
        <v>0</v>
      </c>
      <c r="K1790" s="1462"/>
      <c r="L1790" s="1456">
        <v>13185010700</v>
      </c>
      <c r="M1790" s="1457">
        <v>0</v>
      </c>
      <c r="N1790" s="1457">
        <v>0</v>
      </c>
      <c r="O1790" s="1458">
        <v>0</v>
      </c>
    </row>
    <row r="1791" spans="3:15" ht="13.5">
      <c r="C1791" s="1463" t="s">
        <v>5583</v>
      </c>
      <c r="D1791" s="1460">
        <v>0</v>
      </c>
      <c r="E1791" s="1460">
        <v>0</v>
      </c>
      <c r="F1791" s="1461">
        <v>0</v>
      </c>
      <c r="G1791" s="1472" t="s">
        <v>5583</v>
      </c>
      <c r="H1791" s="1458">
        <v>0</v>
      </c>
      <c r="I1791" s="1458">
        <v>0</v>
      </c>
      <c r="J1791" s="1473">
        <v>0</v>
      </c>
      <c r="K1791" s="1462"/>
      <c r="L1791" s="1456">
        <v>13185010800</v>
      </c>
      <c r="M1791" s="1457">
        <v>0</v>
      </c>
      <c r="N1791" s="1457">
        <v>0</v>
      </c>
      <c r="O1791" s="1458">
        <v>0</v>
      </c>
    </row>
    <row r="1792" spans="3:15" ht="13.5">
      <c r="C1792" s="1463" t="s">
        <v>5584</v>
      </c>
      <c r="D1792" s="1460">
        <v>0</v>
      </c>
      <c r="E1792" s="1460">
        <v>0</v>
      </c>
      <c r="F1792" s="1461">
        <v>0</v>
      </c>
      <c r="G1792" s="1472" t="s">
        <v>5584</v>
      </c>
      <c r="H1792" s="1458">
        <v>0</v>
      </c>
      <c r="I1792" s="1458">
        <v>0</v>
      </c>
      <c r="J1792" s="1473">
        <v>0</v>
      </c>
      <c r="K1792" s="1462"/>
      <c r="L1792" s="1456">
        <v>13185010900</v>
      </c>
      <c r="M1792" s="1457">
        <v>0</v>
      </c>
      <c r="N1792" s="1457">
        <v>0</v>
      </c>
      <c r="O1792" s="1458">
        <v>0</v>
      </c>
    </row>
    <row r="1793" spans="3:15" ht="13.5">
      <c r="C1793" s="1463" t="s">
        <v>5585</v>
      </c>
      <c r="D1793" s="1460">
        <v>0</v>
      </c>
      <c r="E1793" s="1460">
        <v>0</v>
      </c>
      <c r="F1793" s="1461">
        <v>0</v>
      </c>
      <c r="G1793" s="1472" t="s">
        <v>5585</v>
      </c>
      <c r="H1793" s="1458">
        <v>0</v>
      </c>
      <c r="I1793" s="1458">
        <v>0</v>
      </c>
      <c r="J1793" s="1473">
        <v>0</v>
      </c>
      <c r="K1793" s="1462"/>
      <c r="L1793" s="1456">
        <v>13185011000</v>
      </c>
      <c r="M1793" s="1457">
        <v>0</v>
      </c>
      <c r="N1793" s="1457">
        <v>0</v>
      </c>
      <c r="O1793" s="1458">
        <v>0</v>
      </c>
    </row>
    <row r="1794" spans="3:15" ht="13.5">
      <c r="C1794" s="1463" t="s">
        <v>5586</v>
      </c>
      <c r="D1794" s="1460">
        <v>0</v>
      </c>
      <c r="E1794" s="1460">
        <v>0</v>
      </c>
      <c r="F1794" s="1461">
        <v>0</v>
      </c>
      <c r="G1794" s="1472" t="s">
        <v>5586</v>
      </c>
      <c r="H1794" s="1458">
        <v>0</v>
      </c>
      <c r="I1794" s="1458">
        <v>1</v>
      </c>
      <c r="J1794" s="1473">
        <v>1</v>
      </c>
      <c r="K1794" s="1462"/>
      <c r="L1794" s="1456">
        <v>13185011100</v>
      </c>
      <c r="M1794" s="1457">
        <v>0</v>
      </c>
      <c r="N1794" s="1457">
        <v>1</v>
      </c>
      <c r="O1794" s="1458">
        <v>1</v>
      </c>
    </row>
    <row r="1795" spans="3:15" ht="13.5">
      <c r="C1795" s="1463" t="s">
        <v>5587</v>
      </c>
      <c r="D1795" s="1460">
        <v>0</v>
      </c>
      <c r="E1795" s="1460">
        <v>0</v>
      </c>
      <c r="F1795" s="1461">
        <v>0</v>
      </c>
      <c r="G1795" s="1472" t="s">
        <v>5587</v>
      </c>
      <c r="H1795" s="1458">
        <v>0</v>
      </c>
      <c r="I1795" s="1458">
        <v>0</v>
      </c>
      <c r="J1795" s="1473">
        <v>0</v>
      </c>
      <c r="K1795" s="1462"/>
      <c r="L1795" s="1456">
        <v>13185011200</v>
      </c>
      <c r="M1795" s="1457">
        <v>0</v>
      </c>
      <c r="N1795" s="1457">
        <v>0</v>
      </c>
      <c r="O1795" s="1458">
        <v>0</v>
      </c>
    </row>
    <row r="1796" spans="3:15" ht="13.5">
      <c r="C1796" s="1463" t="s">
        <v>5588</v>
      </c>
      <c r="D1796" s="1460">
        <v>0</v>
      </c>
      <c r="E1796" s="1460">
        <v>0</v>
      </c>
      <c r="F1796" s="1461">
        <v>0</v>
      </c>
      <c r="G1796" s="1472" t="s">
        <v>5588</v>
      </c>
      <c r="H1796" s="1458">
        <v>0</v>
      </c>
      <c r="I1796" s="1458">
        <v>0</v>
      </c>
      <c r="J1796" s="1473">
        <v>0</v>
      </c>
      <c r="K1796" s="1462"/>
      <c r="L1796" s="1456">
        <v>13185011301</v>
      </c>
      <c r="M1796" s="1457">
        <v>0</v>
      </c>
      <c r="N1796" s="1457">
        <v>0</v>
      </c>
      <c r="O1796" s="1458">
        <v>0</v>
      </c>
    </row>
    <row r="1797" spans="3:15" ht="13.5">
      <c r="C1797" s="1463" t="s">
        <v>5589</v>
      </c>
      <c r="D1797" s="1460">
        <v>0</v>
      </c>
      <c r="E1797" s="1460">
        <v>0</v>
      </c>
      <c r="F1797" s="1461">
        <v>0</v>
      </c>
      <c r="G1797" s="1472" t="s">
        <v>5589</v>
      </c>
      <c r="H1797" s="1458">
        <v>0</v>
      </c>
      <c r="I1797" s="1458">
        <v>0</v>
      </c>
      <c r="J1797" s="1473">
        <v>0</v>
      </c>
      <c r="K1797" s="1462"/>
      <c r="L1797" s="1456">
        <v>13185011302</v>
      </c>
      <c r="M1797" s="1457">
        <v>0</v>
      </c>
      <c r="N1797" s="1457">
        <v>0</v>
      </c>
      <c r="O1797" s="1458">
        <v>0</v>
      </c>
    </row>
    <row r="1798" spans="3:15" ht="13.5">
      <c r="C1798" s="1463" t="s">
        <v>5590</v>
      </c>
      <c r="D1798" s="1460">
        <v>0</v>
      </c>
      <c r="E1798" s="1460">
        <v>0</v>
      </c>
      <c r="F1798" s="1461">
        <v>0</v>
      </c>
      <c r="G1798" s="1472" t="s">
        <v>5590</v>
      </c>
      <c r="H1798" s="1458">
        <v>0</v>
      </c>
      <c r="I1798" s="1458">
        <v>1</v>
      </c>
      <c r="J1798" s="1473">
        <v>1</v>
      </c>
      <c r="K1798" s="1462"/>
      <c r="L1798" s="1456">
        <v>13185011401</v>
      </c>
      <c r="M1798" s="1457">
        <v>0</v>
      </c>
      <c r="N1798" s="1457">
        <v>1</v>
      </c>
      <c r="O1798" s="1458">
        <v>1</v>
      </c>
    </row>
    <row r="1799" spans="3:15" ht="13.5">
      <c r="C1799" s="1463" t="s">
        <v>5591</v>
      </c>
      <c r="D1799" s="1460">
        <v>0</v>
      </c>
      <c r="E1799" s="1460">
        <v>0</v>
      </c>
      <c r="F1799" s="1461">
        <v>0</v>
      </c>
      <c r="G1799" s="1472" t="s">
        <v>5591</v>
      </c>
      <c r="H1799" s="1458">
        <v>0</v>
      </c>
      <c r="I1799" s="1458">
        <v>0</v>
      </c>
      <c r="J1799" s="1473">
        <v>0</v>
      </c>
      <c r="K1799" s="1462"/>
      <c r="L1799" s="1456">
        <v>13185011402</v>
      </c>
      <c r="M1799" s="1457">
        <v>0</v>
      </c>
      <c r="N1799" s="1457">
        <v>0</v>
      </c>
      <c r="O1799" s="1458">
        <v>0</v>
      </c>
    </row>
    <row r="1800" spans="3:15" ht="13.5">
      <c r="C1800" s="1463" t="s">
        <v>5592</v>
      </c>
      <c r="D1800" s="1460">
        <v>0</v>
      </c>
      <c r="E1800" s="1460">
        <v>0</v>
      </c>
      <c r="F1800" s="1461">
        <v>0</v>
      </c>
      <c r="G1800" s="1472" t="s">
        <v>5592</v>
      </c>
      <c r="H1800" s="1458">
        <v>0</v>
      </c>
      <c r="I1800" s="1458">
        <v>0</v>
      </c>
      <c r="J1800" s="1473">
        <v>0</v>
      </c>
      <c r="K1800" s="1462"/>
      <c r="L1800" s="1456">
        <v>13185011403</v>
      </c>
      <c r="M1800" s="1457">
        <v>0</v>
      </c>
      <c r="N1800" s="1457">
        <v>0</v>
      </c>
      <c r="O1800" s="1458">
        <v>0</v>
      </c>
    </row>
    <row r="1801" spans="3:15" ht="13.5">
      <c r="C1801" s="1463" t="s">
        <v>5593</v>
      </c>
      <c r="D1801" s="1460">
        <v>0</v>
      </c>
      <c r="E1801" s="1460">
        <v>0</v>
      </c>
      <c r="F1801" s="1461">
        <v>0</v>
      </c>
      <c r="G1801" s="1472" t="s">
        <v>5593</v>
      </c>
      <c r="H1801" s="1458">
        <v>0</v>
      </c>
      <c r="I1801" s="1458">
        <v>0</v>
      </c>
      <c r="J1801" s="1473">
        <v>0</v>
      </c>
      <c r="K1801" s="1462"/>
      <c r="L1801" s="1456">
        <v>13185011500</v>
      </c>
      <c r="M1801" s="1457">
        <v>0</v>
      </c>
      <c r="N1801" s="1457">
        <v>0</v>
      </c>
      <c r="O1801" s="1458">
        <v>0</v>
      </c>
    </row>
    <row r="1802" spans="3:15" ht="13.5">
      <c r="C1802" s="1463" t="s">
        <v>5594</v>
      </c>
      <c r="D1802" s="1460">
        <v>0</v>
      </c>
      <c r="E1802" s="1460">
        <v>1</v>
      </c>
      <c r="F1802" s="1461">
        <v>1</v>
      </c>
      <c r="G1802" s="1472" t="s">
        <v>5594</v>
      </c>
      <c r="H1802" s="1458">
        <v>0</v>
      </c>
      <c r="I1802" s="1458">
        <v>0</v>
      </c>
      <c r="J1802" s="1473">
        <v>0</v>
      </c>
      <c r="K1802" s="1462"/>
      <c r="L1802" s="1456">
        <v>13185011600</v>
      </c>
      <c r="M1802" s="1457">
        <v>0</v>
      </c>
      <c r="N1802" s="1457">
        <v>1</v>
      </c>
      <c r="O1802" s="1458">
        <v>1</v>
      </c>
    </row>
    <row r="1803" spans="3:15" ht="13.5">
      <c r="C1803" s="1463" t="s">
        <v>5595</v>
      </c>
      <c r="D1803" s="1460">
        <v>0</v>
      </c>
      <c r="E1803" s="1460">
        <v>0</v>
      </c>
      <c r="F1803" s="1461">
        <v>0</v>
      </c>
      <c r="G1803" s="1472" t="s">
        <v>5595</v>
      </c>
      <c r="H1803" s="1458">
        <v>1</v>
      </c>
      <c r="I1803" s="1458">
        <v>0</v>
      </c>
      <c r="J1803" s="1473">
        <v>1</v>
      </c>
      <c r="K1803" s="1462"/>
      <c r="L1803" s="1456">
        <v>13187960101</v>
      </c>
      <c r="M1803" s="1457">
        <v>1</v>
      </c>
      <c r="N1803" s="1457">
        <v>0</v>
      </c>
      <c r="O1803" s="1458">
        <v>1</v>
      </c>
    </row>
    <row r="1804" spans="3:15" ht="13.5">
      <c r="C1804" s="1463" t="s">
        <v>5596</v>
      </c>
      <c r="D1804" s="1460">
        <v>1</v>
      </c>
      <c r="E1804" s="1460">
        <v>1</v>
      </c>
      <c r="F1804" s="1461">
        <v>2</v>
      </c>
      <c r="G1804" s="1472" t="s">
        <v>5596</v>
      </c>
      <c r="H1804" s="1458">
        <v>1</v>
      </c>
      <c r="I1804" s="1458">
        <v>1</v>
      </c>
      <c r="J1804" s="1473">
        <v>2</v>
      </c>
      <c r="K1804" s="1462"/>
      <c r="L1804" s="1456">
        <v>13187960102</v>
      </c>
      <c r="M1804" s="1457">
        <v>1</v>
      </c>
      <c r="N1804" s="1457">
        <v>1</v>
      </c>
      <c r="O1804" s="1458">
        <v>2</v>
      </c>
    </row>
    <row r="1805" spans="3:15" ht="13.5">
      <c r="C1805" s="1463" t="s">
        <v>5597</v>
      </c>
      <c r="D1805" s="1460">
        <v>0</v>
      </c>
      <c r="E1805" s="1460">
        <v>1</v>
      </c>
      <c r="F1805" s="1461">
        <v>1</v>
      </c>
      <c r="G1805" s="1472" t="s">
        <v>5597</v>
      </c>
      <c r="H1805" s="1458">
        <v>0</v>
      </c>
      <c r="I1805" s="1458">
        <v>1</v>
      </c>
      <c r="J1805" s="1473">
        <v>1</v>
      </c>
      <c r="K1805" s="1462"/>
      <c r="L1805" s="1456">
        <v>13187960201</v>
      </c>
      <c r="M1805" s="1457">
        <v>0</v>
      </c>
      <c r="N1805" s="1457">
        <v>1</v>
      </c>
      <c r="O1805" s="1458">
        <v>1</v>
      </c>
    </row>
    <row r="1806" spans="3:15" ht="13.5">
      <c r="C1806" s="1463" t="s">
        <v>5598</v>
      </c>
      <c r="D1806" s="1460">
        <v>0</v>
      </c>
      <c r="E1806" s="1460">
        <v>0</v>
      </c>
      <c r="F1806" s="1461">
        <v>0</v>
      </c>
      <c r="G1806" s="1472" t="s">
        <v>5598</v>
      </c>
      <c r="H1806" s="1458">
        <v>0</v>
      </c>
      <c r="I1806" s="1458">
        <v>0</v>
      </c>
      <c r="J1806" s="1473">
        <v>0</v>
      </c>
      <c r="K1806" s="1462"/>
      <c r="L1806" s="1456">
        <v>13187960202</v>
      </c>
      <c r="M1806" s="1457">
        <v>0</v>
      </c>
      <c r="N1806" s="1457">
        <v>0</v>
      </c>
      <c r="O1806" s="1458">
        <v>0</v>
      </c>
    </row>
    <row r="1807" spans="3:15" ht="13.5">
      <c r="C1807" s="1463" t="s">
        <v>5599</v>
      </c>
      <c r="D1807" s="1460">
        <v>1</v>
      </c>
      <c r="E1807" s="1460">
        <v>1</v>
      </c>
      <c r="F1807" s="1461">
        <v>2</v>
      </c>
      <c r="G1807" s="1472" t="s">
        <v>5599</v>
      </c>
      <c r="H1807" s="1458">
        <v>1</v>
      </c>
      <c r="I1807" s="1458">
        <v>0</v>
      </c>
      <c r="J1807" s="1473">
        <v>1</v>
      </c>
      <c r="K1807" s="1462"/>
      <c r="L1807" s="1456">
        <v>13189950100</v>
      </c>
      <c r="M1807" s="1457">
        <v>1</v>
      </c>
      <c r="N1807" s="1457">
        <v>1</v>
      </c>
      <c r="O1807" s="1458">
        <v>2</v>
      </c>
    </row>
    <row r="1808" spans="3:15" ht="13.5">
      <c r="C1808" s="1463" t="s">
        <v>5600</v>
      </c>
      <c r="D1808" s="1460">
        <v>0</v>
      </c>
      <c r="E1808" s="1460">
        <v>0</v>
      </c>
      <c r="F1808" s="1461">
        <v>0</v>
      </c>
      <c r="G1808" s="1472" t="s">
        <v>5600</v>
      </c>
      <c r="H1808" s="1458">
        <v>0</v>
      </c>
      <c r="I1808" s="1458">
        <v>0</v>
      </c>
      <c r="J1808" s="1473">
        <v>0</v>
      </c>
      <c r="K1808" s="1462"/>
      <c r="L1808" s="1456">
        <v>13189950200</v>
      </c>
      <c r="M1808" s="1457">
        <v>0</v>
      </c>
      <c r="N1808" s="1457">
        <v>0</v>
      </c>
      <c r="O1808" s="1458">
        <v>0</v>
      </c>
    </row>
    <row r="1809" spans="3:15" ht="13.5">
      <c r="C1809" s="1463" t="s">
        <v>5601</v>
      </c>
      <c r="D1809" s="1460">
        <v>0</v>
      </c>
      <c r="E1809" s="1460">
        <v>0</v>
      </c>
      <c r="F1809" s="1461">
        <v>0</v>
      </c>
      <c r="G1809" s="1472" t="s">
        <v>5601</v>
      </c>
      <c r="H1809" s="1458">
        <v>0</v>
      </c>
      <c r="I1809" s="1458">
        <v>0</v>
      </c>
      <c r="J1809" s="1473">
        <v>0</v>
      </c>
      <c r="K1809" s="1462"/>
      <c r="L1809" s="1456">
        <v>13189950300</v>
      </c>
      <c r="M1809" s="1457">
        <v>0</v>
      </c>
      <c r="N1809" s="1457">
        <v>0</v>
      </c>
      <c r="O1809" s="1458">
        <v>0</v>
      </c>
    </row>
    <row r="1810" spans="3:15" ht="13.5">
      <c r="C1810" s="1463" t="s">
        <v>5602</v>
      </c>
      <c r="D1810" s="1460">
        <v>0</v>
      </c>
      <c r="E1810" s="1460">
        <v>0</v>
      </c>
      <c r="F1810" s="1461">
        <v>0</v>
      </c>
      <c r="G1810" s="1472" t="s">
        <v>5602</v>
      </c>
      <c r="H1810" s="1458">
        <v>0</v>
      </c>
      <c r="I1810" s="1458">
        <v>0</v>
      </c>
      <c r="J1810" s="1473">
        <v>0</v>
      </c>
      <c r="K1810" s="1462"/>
      <c r="L1810" s="1456">
        <v>13189950400</v>
      </c>
      <c r="M1810" s="1457">
        <v>0</v>
      </c>
      <c r="N1810" s="1457">
        <v>0</v>
      </c>
      <c r="O1810" s="1458">
        <v>0</v>
      </c>
    </row>
    <row r="1811" spans="3:15" ht="13.5">
      <c r="C1811" s="1463" t="s">
        <v>5603</v>
      </c>
      <c r="D1811" s="1460">
        <v>0</v>
      </c>
      <c r="E1811" s="1460">
        <v>0</v>
      </c>
      <c r="F1811" s="1461">
        <v>0</v>
      </c>
      <c r="G1811" s="1472" t="s">
        <v>5603</v>
      </c>
      <c r="H1811" s="1458">
        <v>0</v>
      </c>
      <c r="I1811" s="1458">
        <v>0</v>
      </c>
      <c r="J1811" s="1473">
        <v>0</v>
      </c>
      <c r="K1811" s="1462"/>
      <c r="L1811" s="1456">
        <v>13189950500</v>
      </c>
      <c r="M1811" s="1457">
        <v>0</v>
      </c>
      <c r="N1811" s="1457">
        <v>0</v>
      </c>
      <c r="O1811" s="1458">
        <v>0</v>
      </c>
    </row>
    <row r="1812" spans="3:15" ht="13.5">
      <c r="C1812" s="1463" t="s">
        <v>5604</v>
      </c>
      <c r="D1812" s="1460">
        <v>0</v>
      </c>
      <c r="E1812" s="1460">
        <v>0</v>
      </c>
      <c r="F1812" s="1461">
        <v>0</v>
      </c>
      <c r="G1812" s="1472" t="s">
        <v>5604</v>
      </c>
      <c r="H1812" s="1458">
        <v>0</v>
      </c>
      <c r="I1812" s="1458">
        <v>1</v>
      </c>
      <c r="J1812" s="1473">
        <v>1</v>
      </c>
      <c r="K1812" s="1462"/>
      <c r="L1812" s="1456">
        <v>13191110100</v>
      </c>
      <c r="M1812" s="1457">
        <v>0</v>
      </c>
      <c r="N1812" s="1457">
        <v>1</v>
      </c>
      <c r="O1812" s="1458">
        <v>1</v>
      </c>
    </row>
    <row r="1813" spans="3:15" ht="13.5">
      <c r="C1813" s="1463" t="s">
        <v>5605</v>
      </c>
      <c r="D1813" s="1460">
        <v>0</v>
      </c>
      <c r="E1813" s="1460">
        <v>0</v>
      </c>
      <c r="F1813" s="1461">
        <v>0</v>
      </c>
      <c r="G1813" s="1472" t="s">
        <v>5605</v>
      </c>
      <c r="H1813" s="1458">
        <v>0</v>
      </c>
      <c r="I1813" s="1458">
        <v>0</v>
      </c>
      <c r="J1813" s="1473">
        <v>0</v>
      </c>
      <c r="K1813" s="1462"/>
      <c r="L1813" s="1456">
        <v>13191110200</v>
      </c>
      <c r="M1813" s="1457">
        <v>0</v>
      </c>
      <c r="N1813" s="1457">
        <v>0</v>
      </c>
      <c r="O1813" s="1458">
        <v>0</v>
      </c>
    </row>
    <row r="1814" spans="3:15" ht="13.5">
      <c r="C1814" s="1463" t="s">
        <v>5606</v>
      </c>
      <c r="D1814" s="1460">
        <v>0</v>
      </c>
      <c r="E1814" s="1460">
        <v>0</v>
      </c>
      <c r="F1814" s="1461">
        <v>0</v>
      </c>
      <c r="G1814" s="1472" t="s">
        <v>5606</v>
      </c>
      <c r="H1814" s="1458">
        <v>0</v>
      </c>
      <c r="I1814" s="1458">
        <v>0</v>
      </c>
      <c r="J1814" s="1473">
        <v>0</v>
      </c>
      <c r="K1814" s="1462"/>
      <c r="L1814" s="1456">
        <v>13191110300</v>
      </c>
      <c r="M1814" s="1457">
        <v>0</v>
      </c>
      <c r="N1814" s="1457">
        <v>0</v>
      </c>
      <c r="O1814" s="1458">
        <v>0</v>
      </c>
    </row>
    <row r="1815" spans="3:15" ht="13.5">
      <c r="C1815" s="1463" t="s">
        <v>5607</v>
      </c>
      <c r="D1815" s="1460" t="s">
        <v>3911</v>
      </c>
      <c r="E1815" s="1460" t="s">
        <v>3911</v>
      </c>
      <c r="F1815" s="1461">
        <v>0</v>
      </c>
      <c r="G1815" s="1472" t="s">
        <v>5607</v>
      </c>
      <c r="H1815" s="1458" t="s">
        <v>3911</v>
      </c>
      <c r="I1815" s="1458" t="s">
        <v>3911</v>
      </c>
      <c r="J1815" s="1473">
        <v>0</v>
      </c>
      <c r="K1815" s="1462"/>
      <c r="L1815" s="1456">
        <v>13191980000</v>
      </c>
      <c r="M1815" s="1457">
        <v>0</v>
      </c>
      <c r="N1815" s="1457">
        <v>0</v>
      </c>
      <c r="O1815" s="1458">
        <v>0</v>
      </c>
    </row>
    <row r="1816" spans="3:15" ht="13.5">
      <c r="C1816" s="1463" t="s">
        <v>5608</v>
      </c>
      <c r="D1816" s="1460" t="s">
        <v>3911</v>
      </c>
      <c r="E1816" s="1460" t="s">
        <v>3911</v>
      </c>
      <c r="F1816" s="1461">
        <v>0</v>
      </c>
      <c r="G1816" s="1472" t="s">
        <v>5608</v>
      </c>
      <c r="H1816" s="1458" t="s">
        <v>3911</v>
      </c>
      <c r="I1816" s="1458" t="s">
        <v>3911</v>
      </c>
      <c r="J1816" s="1473">
        <v>0</v>
      </c>
      <c r="K1816" s="1462"/>
      <c r="L1816" s="1456">
        <v>13191990000</v>
      </c>
      <c r="M1816" s="1457">
        <v>0</v>
      </c>
      <c r="N1816" s="1457">
        <v>0</v>
      </c>
      <c r="O1816" s="1458">
        <v>0</v>
      </c>
    </row>
    <row r="1817" spans="3:15" ht="13.5">
      <c r="C1817" s="1463" t="s">
        <v>5609</v>
      </c>
      <c r="D1817" s="1460">
        <v>0</v>
      </c>
      <c r="E1817" s="1460">
        <v>0</v>
      </c>
      <c r="F1817" s="1461">
        <v>0</v>
      </c>
      <c r="G1817" s="1472" t="s">
        <v>5609</v>
      </c>
      <c r="H1817" s="1458">
        <v>0</v>
      </c>
      <c r="I1817" s="1458" t="s">
        <v>3911</v>
      </c>
      <c r="J1817" s="1473">
        <v>0</v>
      </c>
      <c r="K1817" s="1462"/>
      <c r="L1817" s="1456">
        <v>13193000100</v>
      </c>
      <c r="M1817" s="1457">
        <v>0</v>
      </c>
      <c r="N1817" s="1457">
        <v>0</v>
      </c>
      <c r="O1817" s="1458">
        <v>0</v>
      </c>
    </row>
    <row r="1818" spans="3:15" ht="13.5">
      <c r="C1818" s="1463" t="s">
        <v>5610</v>
      </c>
      <c r="D1818" s="1460">
        <v>0</v>
      </c>
      <c r="E1818" s="1460">
        <v>0</v>
      </c>
      <c r="F1818" s="1461">
        <v>0</v>
      </c>
      <c r="G1818" s="1472" t="s">
        <v>5610</v>
      </c>
      <c r="H1818" s="1458">
        <v>0</v>
      </c>
      <c r="I1818" s="1458">
        <v>0</v>
      </c>
      <c r="J1818" s="1473">
        <v>0</v>
      </c>
      <c r="K1818" s="1462"/>
      <c r="L1818" s="1456">
        <v>13193000200</v>
      </c>
      <c r="M1818" s="1457">
        <v>0</v>
      </c>
      <c r="N1818" s="1457">
        <v>0</v>
      </c>
      <c r="O1818" s="1458">
        <v>0</v>
      </c>
    </row>
    <row r="1819" spans="3:15" ht="13.5">
      <c r="C1819" s="1463" t="s">
        <v>5611</v>
      </c>
      <c r="D1819" s="1460">
        <v>0</v>
      </c>
      <c r="E1819" s="1460">
        <v>0</v>
      </c>
      <c r="F1819" s="1461">
        <v>0</v>
      </c>
      <c r="G1819" s="1472" t="s">
        <v>5611</v>
      </c>
      <c r="H1819" s="1458">
        <v>0</v>
      </c>
      <c r="I1819" s="1458">
        <v>1</v>
      </c>
      <c r="J1819" s="1473">
        <v>1</v>
      </c>
      <c r="K1819" s="1462"/>
      <c r="L1819" s="1456">
        <v>13193000300</v>
      </c>
      <c r="M1819" s="1457">
        <v>0</v>
      </c>
      <c r="N1819" s="1457">
        <v>1</v>
      </c>
      <c r="O1819" s="1458">
        <v>1</v>
      </c>
    </row>
    <row r="1820" spans="3:15" ht="13.5">
      <c r="C1820" s="1463" t="s">
        <v>5612</v>
      </c>
      <c r="D1820" s="1460">
        <v>0</v>
      </c>
      <c r="E1820" s="1460">
        <v>0</v>
      </c>
      <c r="F1820" s="1461">
        <v>0</v>
      </c>
      <c r="G1820" s="1472" t="s">
        <v>5612</v>
      </c>
      <c r="H1820" s="1458">
        <v>0</v>
      </c>
      <c r="I1820" s="1458">
        <v>0</v>
      </c>
      <c r="J1820" s="1473">
        <v>0</v>
      </c>
      <c r="K1820" s="1462"/>
      <c r="L1820" s="1456">
        <v>13193000400</v>
      </c>
      <c r="M1820" s="1457">
        <v>0</v>
      </c>
      <c r="N1820" s="1457">
        <v>0</v>
      </c>
      <c r="O1820" s="1458">
        <v>0</v>
      </c>
    </row>
    <row r="1821" spans="3:15" ht="13.5">
      <c r="C1821" s="1463" t="s">
        <v>5613</v>
      </c>
      <c r="D1821" s="1460">
        <v>0</v>
      </c>
      <c r="E1821" s="1460">
        <v>0</v>
      </c>
      <c r="F1821" s="1461">
        <v>0</v>
      </c>
      <c r="G1821" s="1472" t="s">
        <v>5613</v>
      </c>
      <c r="H1821" s="1458">
        <v>0</v>
      </c>
      <c r="I1821" s="1458">
        <v>0</v>
      </c>
      <c r="J1821" s="1473">
        <v>0</v>
      </c>
      <c r="K1821" s="1462"/>
      <c r="L1821" s="1456">
        <v>13195020100</v>
      </c>
      <c r="M1821" s="1457">
        <v>0</v>
      </c>
      <c r="N1821" s="1457">
        <v>0</v>
      </c>
      <c r="O1821" s="1458">
        <v>0</v>
      </c>
    </row>
    <row r="1822" spans="3:15" ht="13.5">
      <c r="C1822" s="1463" t="s">
        <v>5614</v>
      </c>
      <c r="D1822" s="1460">
        <v>0</v>
      </c>
      <c r="E1822" s="1460">
        <v>0</v>
      </c>
      <c r="F1822" s="1461">
        <v>0</v>
      </c>
      <c r="G1822" s="1472" t="s">
        <v>5614</v>
      </c>
      <c r="H1822" s="1458">
        <v>0</v>
      </c>
      <c r="I1822" s="1458">
        <v>0</v>
      </c>
      <c r="J1822" s="1473">
        <v>0</v>
      </c>
      <c r="K1822" s="1462"/>
      <c r="L1822" s="1456">
        <v>13195020200</v>
      </c>
      <c r="M1822" s="1457">
        <v>0</v>
      </c>
      <c r="N1822" s="1457">
        <v>0</v>
      </c>
      <c r="O1822" s="1458">
        <v>0</v>
      </c>
    </row>
    <row r="1823" spans="3:15" ht="13.5">
      <c r="C1823" s="1463" t="s">
        <v>5615</v>
      </c>
      <c r="D1823" s="1460">
        <v>0</v>
      </c>
      <c r="E1823" s="1460">
        <v>0</v>
      </c>
      <c r="F1823" s="1461">
        <v>0</v>
      </c>
      <c r="G1823" s="1472" t="s">
        <v>5615</v>
      </c>
      <c r="H1823" s="1458">
        <v>0</v>
      </c>
      <c r="I1823" s="1458">
        <v>0</v>
      </c>
      <c r="J1823" s="1473">
        <v>0</v>
      </c>
      <c r="K1823" s="1462"/>
      <c r="L1823" s="1456">
        <v>13195020300</v>
      </c>
      <c r="M1823" s="1457">
        <v>0</v>
      </c>
      <c r="N1823" s="1457">
        <v>0</v>
      </c>
      <c r="O1823" s="1458">
        <v>0</v>
      </c>
    </row>
    <row r="1824" spans="3:15" ht="13.5">
      <c r="C1824" s="1463" t="s">
        <v>5616</v>
      </c>
      <c r="D1824" s="1460">
        <v>1</v>
      </c>
      <c r="E1824" s="1460">
        <v>1</v>
      </c>
      <c r="F1824" s="1461">
        <v>2</v>
      </c>
      <c r="G1824" s="1472" t="s">
        <v>5616</v>
      </c>
      <c r="H1824" s="1458">
        <v>0</v>
      </c>
      <c r="I1824" s="1458">
        <v>0</v>
      </c>
      <c r="J1824" s="1473">
        <v>0</v>
      </c>
      <c r="K1824" s="1462"/>
      <c r="L1824" s="1456">
        <v>13195020400</v>
      </c>
      <c r="M1824" s="1457">
        <v>1</v>
      </c>
      <c r="N1824" s="1457">
        <v>1</v>
      </c>
      <c r="O1824" s="1458">
        <v>2</v>
      </c>
    </row>
    <row r="1825" spans="3:15" ht="13.5">
      <c r="C1825" s="1463" t="s">
        <v>5617</v>
      </c>
      <c r="D1825" s="1460">
        <v>0</v>
      </c>
      <c r="E1825" s="1460">
        <v>1</v>
      </c>
      <c r="F1825" s="1461">
        <v>1</v>
      </c>
      <c r="G1825" s="1472" t="s">
        <v>5617</v>
      </c>
      <c r="H1825" s="1458">
        <v>0</v>
      </c>
      <c r="I1825" s="1458">
        <v>0</v>
      </c>
      <c r="J1825" s="1473">
        <v>0</v>
      </c>
      <c r="K1825" s="1462"/>
      <c r="L1825" s="1456">
        <v>13195020500</v>
      </c>
      <c r="M1825" s="1457">
        <v>0</v>
      </c>
      <c r="N1825" s="1457">
        <v>1</v>
      </c>
      <c r="O1825" s="1458">
        <v>1</v>
      </c>
    </row>
    <row r="1826" spans="3:15" ht="13.5">
      <c r="C1826" s="1463" t="s">
        <v>5618</v>
      </c>
      <c r="D1826" s="1460">
        <v>1</v>
      </c>
      <c r="E1826" s="1460">
        <v>0</v>
      </c>
      <c r="F1826" s="1461">
        <v>1</v>
      </c>
      <c r="G1826" s="1472" t="s">
        <v>5618</v>
      </c>
      <c r="H1826" s="1458">
        <v>0</v>
      </c>
      <c r="I1826" s="1458">
        <v>0</v>
      </c>
      <c r="J1826" s="1473">
        <v>0</v>
      </c>
      <c r="K1826" s="1462"/>
      <c r="L1826" s="1456">
        <v>13195020600</v>
      </c>
      <c r="M1826" s="1457">
        <v>1</v>
      </c>
      <c r="N1826" s="1457">
        <v>0</v>
      </c>
      <c r="O1826" s="1458">
        <v>1</v>
      </c>
    </row>
    <row r="1827" spans="3:15" ht="13.5">
      <c r="C1827" s="1463" t="s">
        <v>5619</v>
      </c>
      <c r="D1827" s="1460">
        <v>0</v>
      </c>
      <c r="E1827" s="1460">
        <v>0</v>
      </c>
      <c r="F1827" s="1461">
        <v>0</v>
      </c>
      <c r="G1827" s="1472" t="s">
        <v>5619</v>
      </c>
      <c r="H1827" s="1458">
        <v>0</v>
      </c>
      <c r="I1827" s="1458">
        <v>0</v>
      </c>
      <c r="J1827" s="1473">
        <v>0</v>
      </c>
      <c r="K1827" s="1462"/>
      <c r="L1827" s="1456">
        <v>13197920100</v>
      </c>
      <c r="M1827" s="1457">
        <v>0</v>
      </c>
      <c r="N1827" s="1457">
        <v>0</v>
      </c>
      <c r="O1827" s="1458">
        <v>0</v>
      </c>
    </row>
    <row r="1828" spans="3:15" ht="13.5">
      <c r="C1828" s="1463" t="s">
        <v>5620</v>
      </c>
      <c r="D1828" s="1460">
        <v>0</v>
      </c>
      <c r="E1828" s="1460">
        <v>0</v>
      </c>
      <c r="F1828" s="1461">
        <v>0</v>
      </c>
      <c r="G1828" s="1472" t="s">
        <v>5620</v>
      </c>
      <c r="H1828" s="1458">
        <v>0</v>
      </c>
      <c r="I1828" s="1458">
        <v>0</v>
      </c>
      <c r="J1828" s="1473">
        <v>0</v>
      </c>
      <c r="K1828" s="1462"/>
      <c r="L1828" s="1456">
        <v>13197920200</v>
      </c>
      <c r="M1828" s="1457">
        <v>0</v>
      </c>
      <c r="N1828" s="1457">
        <v>0</v>
      </c>
      <c r="O1828" s="1458">
        <v>0</v>
      </c>
    </row>
    <row r="1829" spans="3:15" ht="13.5">
      <c r="C1829" s="1463" t="s">
        <v>5621</v>
      </c>
      <c r="D1829" s="1460">
        <v>0</v>
      </c>
      <c r="E1829" s="1460">
        <v>0</v>
      </c>
      <c r="F1829" s="1461">
        <v>0</v>
      </c>
      <c r="G1829" s="1472" t="s">
        <v>5621</v>
      </c>
      <c r="H1829" s="1458">
        <v>0</v>
      </c>
      <c r="I1829" s="1458">
        <v>0</v>
      </c>
      <c r="J1829" s="1473">
        <v>0</v>
      </c>
      <c r="K1829" s="1462"/>
      <c r="L1829" s="1456">
        <v>13199970500</v>
      </c>
      <c r="M1829" s="1457">
        <v>0</v>
      </c>
      <c r="N1829" s="1457">
        <v>0</v>
      </c>
      <c r="O1829" s="1458">
        <v>0</v>
      </c>
    </row>
    <row r="1830" spans="3:15" ht="13.5">
      <c r="C1830" s="1463" t="s">
        <v>5622</v>
      </c>
      <c r="D1830" s="1460">
        <v>0</v>
      </c>
      <c r="E1830" s="1460">
        <v>0</v>
      </c>
      <c r="F1830" s="1461">
        <v>0</v>
      </c>
      <c r="G1830" s="1472" t="s">
        <v>5622</v>
      </c>
      <c r="H1830" s="1458">
        <v>0</v>
      </c>
      <c r="I1830" s="1458">
        <v>0</v>
      </c>
      <c r="J1830" s="1473">
        <v>0</v>
      </c>
      <c r="K1830" s="1462"/>
      <c r="L1830" s="1456">
        <v>13199970600</v>
      </c>
      <c r="M1830" s="1457">
        <v>0</v>
      </c>
      <c r="N1830" s="1457">
        <v>0</v>
      </c>
      <c r="O1830" s="1458">
        <v>0</v>
      </c>
    </row>
    <row r="1831" spans="3:15" ht="13.5">
      <c r="C1831" s="1463" t="s">
        <v>5623</v>
      </c>
      <c r="D1831" s="1460">
        <v>0</v>
      </c>
      <c r="E1831" s="1460">
        <v>0</v>
      </c>
      <c r="F1831" s="1461">
        <v>0</v>
      </c>
      <c r="G1831" s="1472" t="s">
        <v>5623</v>
      </c>
      <c r="H1831" s="1458">
        <v>0</v>
      </c>
      <c r="I1831" s="1458">
        <v>0</v>
      </c>
      <c r="J1831" s="1473">
        <v>0</v>
      </c>
      <c r="K1831" s="1462"/>
      <c r="L1831" s="1456">
        <v>13199970700</v>
      </c>
      <c r="M1831" s="1457">
        <v>0</v>
      </c>
      <c r="N1831" s="1457">
        <v>0</v>
      </c>
      <c r="O1831" s="1458">
        <v>0</v>
      </c>
    </row>
    <row r="1832" spans="3:15" ht="13.5">
      <c r="C1832" s="1463" t="s">
        <v>5624</v>
      </c>
      <c r="D1832" s="1460">
        <v>0</v>
      </c>
      <c r="E1832" s="1460">
        <v>0</v>
      </c>
      <c r="F1832" s="1461">
        <v>0</v>
      </c>
      <c r="G1832" s="1472" t="s">
        <v>5624</v>
      </c>
      <c r="H1832" s="1458">
        <v>0</v>
      </c>
      <c r="I1832" s="1458">
        <v>0</v>
      </c>
      <c r="J1832" s="1473">
        <v>0</v>
      </c>
      <c r="K1832" s="1462"/>
      <c r="L1832" s="1456">
        <v>13199970800</v>
      </c>
      <c r="M1832" s="1457">
        <v>0</v>
      </c>
      <c r="N1832" s="1457">
        <v>0</v>
      </c>
      <c r="O1832" s="1458">
        <v>0</v>
      </c>
    </row>
    <row r="1833" spans="3:15" ht="13.5">
      <c r="C1833" s="1463" t="s">
        <v>5625</v>
      </c>
      <c r="D1833" s="1460">
        <v>0</v>
      </c>
      <c r="E1833" s="1460">
        <v>0</v>
      </c>
      <c r="F1833" s="1461">
        <v>0</v>
      </c>
      <c r="G1833" s="1472" t="s">
        <v>5625</v>
      </c>
      <c r="H1833" s="1458">
        <v>0</v>
      </c>
      <c r="I1833" s="1458">
        <v>0</v>
      </c>
      <c r="J1833" s="1473">
        <v>0</v>
      </c>
      <c r="K1833" s="1462"/>
      <c r="L1833" s="1456">
        <v>13201950100</v>
      </c>
      <c r="M1833" s="1457">
        <v>0</v>
      </c>
      <c r="N1833" s="1457">
        <v>0</v>
      </c>
      <c r="O1833" s="1458">
        <v>0</v>
      </c>
    </row>
    <row r="1834" spans="3:15" ht="13.5">
      <c r="C1834" s="1463" t="s">
        <v>5626</v>
      </c>
      <c r="D1834" s="1460">
        <v>0</v>
      </c>
      <c r="E1834" s="1460">
        <v>0</v>
      </c>
      <c r="F1834" s="1461">
        <v>0</v>
      </c>
      <c r="G1834" s="1472" t="s">
        <v>5626</v>
      </c>
      <c r="H1834" s="1458">
        <v>0</v>
      </c>
      <c r="I1834" s="1458">
        <v>0</v>
      </c>
      <c r="J1834" s="1473">
        <v>0</v>
      </c>
      <c r="K1834" s="1462"/>
      <c r="L1834" s="1456">
        <v>13201950200</v>
      </c>
      <c r="M1834" s="1457">
        <v>0</v>
      </c>
      <c r="N1834" s="1457">
        <v>0</v>
      </c>
      <c r="O1834" s="1458">
        <v>0</v>
      </c>
    </row>
    <row r="1835" spans="3:15" ht="13.5">
      <c r="C1835" s="1463" t="s">
        <v>5627</v>
      </c>
      <c r="D1835" s="1460">
        <v>1</v>
      </c>
      <c r="E1835" s="1460">
        <v>0</v>
      </c>
      <c r="F1835" s="1461">
        <v>1</v>
      </c>
      <c r="G1835" s="1472" t="s">
        <v>5627</v>
      </c>
      <c r="H1835" s="1458">
        <v>1</v>
      </c>
      <c r="I1835" s="1458">
        <v>1</v>
      </c>
      <c r="J1835" s="1473">
        <v>2</v>
      </c>
      <c r="K1835" s="1462"/>
      <c r="L1835" s="1456">
        <v>13201950300</v>
      </c>
      <c r="M1835" s="1457">
        <v>1</v>
      </c>
      <c r="N1835" s="1457">
        <v>1</v>
      </c>
      <c r="O1835" s="1458">
        <v>2</v>
      </c>
    </row>
    <row r="1836" spans="3:15" ht="13.5">
      <c r="C1836" s="1463" t="s">
        <v>5628</v>
      </c>
      <c r="D1836" s="1460">
        <v>0</v>
      </c>
      <c r="E1836" s="1460">
        <v>0</v>
      </c>
      <c r="F1836" s="1461">
        <v>0</v>
      </c>
      <c r="G1836" s="1472" t="s">
        <v>5628</v>
      </c>
      <c r="H1836" s="1458">
        <v>0</v>
      </c>
      <c r="I1836" s="1458">
        <v>0</v>
      </c>
      <c r="J1836" s="1473">
        <v>0</v>
      </c>
      <c r="K1836" s="1462"/>
      <c r="L1836" s="1456">
        <v>13205090100</v>
      </c>
      <c r="M1836" s="1457">
        <v>0</v>
      </c>
      <c r="N1836" s="1457">
        <v>0</v>
      </c>
      <c r="O1836" s="1458">
        <v>0</v>
      </c>
    </row>
    <row r="1837" spans="3:15" ht="13.5">
      <c r="C1837" s="1463" t="s">
        <v>5629</v>
      </c>
      <c r="D1837" s="1460">
        <v>0</v>
      </c>
      <c r="E1837" s="1460">
        <v>0</v>
      </c>
      <c r="F1837" s="1461">
        <v>0</v>
      </c>
      <c r="G1837" s="1472" t="s">
        <v>5629</v>
      </c>
      <c r="H1837" s="1458">
        <v>0</v>
      </c>
      <c r="I1837" s="1458">
        <v>0</v>
      </c>
      <c r="J1837" s="1473">
        <v>0</v>
      </c>
      <c r="K1837" s="1462"/>
      <c r="L1837" s="1456">
        <v>13205090200</v>
      </c>
      <c r="M1837" s="1457">
        <v>0</v>
      </c>
      <c r="N1837" s="1457">
        <v>0</v>
      </c>
      <c r="O1837" s="1458">
        <v>0</v>
      </c>
    </row>
    <row r="1838" spans="3:15" ht="13.5">
      <c r="C1838" s="1463" t="s">
        <v>5630</v>
      </c>
      <c r="D1838" s="1460">
        <v>0</v>
      </c>
      <c r="E1838" s="1460">
        <v>0</v>
      </c>
      <c r="F1838" s="1461">
        <v>0</v>
      </c>
      <c r="G1838" s="1472" t="s">
        <v>5630</v>
      </c>
      <c r="H1838" s="1458">
        <v>0</v>
      </c>
      <c r="I1838" s="1458">
        <v>0</v>
      </c>
      <c r="J1838" s="1473">
        <v>0</v>
      </c>
      <c r="K1838" s="1462"/>
      <c r="L1838" s="1456">
        <v>13205090300</v>
      </c>
      <c r="M1838" s="1457">
        <v>0</v>
      </c>
      <c r="N1838" s="1457">
        <v>0</v>
      </c>
      <c r="O1838" s="1458">
        <v>0</v>
      </c>
    </row>
    <row r="1839" spans="3:15" ht="13.5">
      <c r="C1839" s="1463" t="s">
        <v>5631</v>
      </c>
      <c r="D1839" s="1460">
        <v>0</v>
      </c>
      <c r="E1839" s="1460">
        <v>0</v>
      </c>
      <c r="F1839" s="1461">
        <v>0</v>
      </c>
      <c r="G1839" s="1472" t="s">
        <v>5631</v>
      </c>
      <c r="H1839" s="1458">
        <v>0</v>
      </c>
      <c r="I1839" s="1458">
        <v>0</v>
      </c>
      <c r="J1839" s="1473">
        <v>0</v>
      </c>
      <c r="K1839" s="1462"/>
      <c r="L1839" s="1456">
        <v>13205090400</v>
      </c>
      <c r="M1839" s="1457">
        <v>0</v>
      </c>
      <c r="N1839" s="1457">
        <v>0</v>
      </c>
      <c r="O1839" s="1458">
        <v>0</v>
      </c>
    </row>
    <row r="1840" spans="3:15" ht="13.5">
      <c r="C1840" s="1463" t="s">
        <v>5632</v>
      </c>
      <c r="D1840" s="1460">
        <v>0</v>
      </c>
      <c r="E1840" s="1460">
        <v>0</v>
      </c>
      <c r="F1840" s="1461">
        <v>0</v>
      </c>
      <c r="G1840" s="1472" t="s">
        <v>5632</v>
      </c>
      <c r="H1840" s="1458">
        <v>0</v>
      </c>
      <c r="I1840" s="1458">
        <v>0</v>
      </c>
      <c r="J1840" s="1473">
        <v>0</v>
      </c>
      <c r="K1840" s="1462"/>
      <c r="L1840" s="1456">
        <v>13205090500</v>
      </c>
      <c r="M1840" s="1457">
        <v>0</v>
      </c>
      <c r="N1840" s="1457">
        <v>0</v>
      </c>
      <c r="O1840" s="1458">
        <v>0</v>
      </c>
    </row>
    <row r="1841" spans="3:15" ht="13.5">
      <c r="C1841" s="1463" t="s">
        <v>5633</v>
      </c>
      <c r="D1841" s="1460">
        <v>0</v>
      </c>
      <c r="E1841" s="1460">
        <v>0</v>
      </c>
      <c r="F1841" s="1461">
        <v>0</v>
      </c>
      <c r="G1841" s="1472" t="s">
        <v>5633</v>
      </c>
      <c r="H1841" s="1458">
        <v>0</v>
      </c>
      <c r="I1841" s="1458">
        <v>0</v>
      </c>
      <c r="J1841" s="1473">
        <v>0</v>
      </c>
      <c r="K1841" s="1462"/>
      <c r="L1841" s="1456">
        <v>13207050101</v>
      </c>
      <c r="M1841" s="1457">
        <v>0</v>
      </c>
      <c r="N1841" s="1457">
        <v>0</v>
      </c>
      <c r="O1841" s="1458">
        <v>0</v>
      </c>
    </row>
    <row r="1842" spans="3:15" ht="13.5">
      <c r="C1842" s="1463" t="s">
        <v>5634</v>
      </c>
      <c r="D1842" s="1460">
        <v>0</v>
      </c>
      <c r="E1842" s="1460">
        <v>0</v>
      </c>
      <c r="F1842" s="1461">
        <v>0</v>
      </c>
      <c r="G1842" s="1472" t="s">
        <v>5634</v>
      </c>
      <c r="H1842" s="1458">
        <v>0</v>
      </c>
      <c r="I1842" s="1458">
        <v>0</v>
      </c>
      <c r="J1842" s="1473">
        <v>0</v>
      </c>
      <c r="K1842" s="1462"/>
      <c r="L1842" s="1456">
        <v>13207050102</v>
      </c>
      <c r="M1842" s="1457">
        <v>0</v>
      </c>
      <c r="N1842" s="1457">
        <v>0</v>
      </c>
      <c r="O1842" s="1458">
        <v>0</v>
      </c>
    </row>
    <row r="1843" spans="3:15" ht="13.5">
      <c r="C1843" s="1463" t="s">
        <v>5635</v>
      </c>
      <c r="D1843" s="1460">
        <v>0</v>
      </c>
      <c r="E1843" s="1460">
        <v>0</v>
      </c>
      <c r="F1843" s="1461">
        <v>0</v>
      </c>
      <c r="G1843" s="1472" t="s">
        <v>5635</v>
      </c>
      <c r="H1843" s="1458">
        <v>0</v>
      </c>
      <c r="I1843" s="1458">
        <v>0</v>
      </c>
      <c r="J1843" s="1473">
        <v>0</v>
      </c>
      <c r="K1843" s="1462"/>
      <c r="L1843" s="1456">
        <v>13207050200</v>
      </c>
      <c r="M1843" s="1457">
        <v>0</v>
      </c>
      <c r="N1843" s="1457">
        <v>0</v>
      </c>
      <c r="O1843" s="1458">
        <v>0</v>
      </c>
    </row>
    <row r="1844" spans="3:15" ht="13.5">
      <c r="C1844" s="1463" t="s">
        <v>5636</v>
      </c>
      <c r="D1844" s="1460">
        <v>0</v>
      </c>
      <c r="E1844" s="1460">
        <v>1</v>
      </c>
      <c r="F1844" s="1461">
        <v>1</v>
      </c>
      <c r="G1844" s="1472" t="s">
        <v>5636</v>
      </c>
      <c r="H1844" s="1458">
        <v>0</v>
      </c>
      <c r="I1844" s="1458">
        <v>1</v>
      </c>
      <c r="J1844" s="1473">
        <v>1</v>
      </c>
      <c r="K1844" s="1462"/>
      <c r="L1844" s="1456">
        <v>13207050301</v>
      </c>
      <c r="M1844" s="1457">
        <v>0</v>
      </c>
      <c r="N1844" s="1457">
        <v>1</v>
      </c>
      <c r="O1844" s="1458">
        <v>1</v>
      </c>
    </row>
    <row r="1845" spans="3:15" ht="13.5">
      <c r="C1845" s="1463" t="s">
        <v>5637</v>
      </c>
      <c r="D1845" s="1460">
        <v>1</v>
      </c>
      <c r="E1845" s="1460">
        <v>1</v>
      </c>
      <c r="F1845" s="1461">
        <v>2</v>
      </c>
      <c r="G1845" s="1472" t="s">
        <v>5637</v>
      </c>
      <c r="H1845" s="1458">
        <v>1</v>
      </c>
      <c r="I1845" s="1458">
        <v>1</v>
      </c>
      <c r="J1845" s="1473">
        <v>2</v>
      </c>
      <c r="K1845" s="1462"/>
      <c r="L1845" s="1456">
        <v>13207050302</v>
      </c>
      <c r="M1845" s="1457">
        <v>1</v>
      </c>
      <c r="N1845" s="1457">
        <v>1</v>
      </c>
      <c r="O1845" s="1458">
        <v>2</v>
      </c>
    </row>
    <row r="1846" spans="3:15" ht="13.5">
      <c r="C1846" s="1463" t="s">
        <v>5638</v>
      </c>
      <c r="D1846" s="1460">
        <v>0</v>
      </c>
      <c r="E1846" s="1460">
        <v>0</v>
      </c>
      <c r="F1846" s="1461">
        <v>0</v>
      </c>
      <c r="G1846" s="1472" t="s">
        <v>5638</v>
      </c>
      <c r="H1846" s="1458">
        <v>0</v>
      </c>
      <c r="I1846" s="1458">
        <v>0</v>
      </c>
      <c r="J1846" s="1473">
        <v>0</v>
      </c>
      <c r="K1846" s="1462"/>
      <c r="L1846" s="1456">
        <v>13209950100</v>
      </c>
      <c r="M1846" s="1457">
        <v>0</v>
      </c>
      <c r="N1846" s="1457">
        <v>0</v>
      </c>
      <c r="O1846" s="1458">
        <v>0</v>
      </c>
    </row>
    <row r="1847" spans="3:15" ht="13.5">
      <c r="C1847" s="1463" t="s">
        <v>5639</v>
      </c>
      <c r="D1847" s="1460">
        <v>0</v>
      </c>
      <c r="E1847" s="1460">
        <v>0</v>
      </c>
      <c r="F1847" s="1461">
        <v>0</v>
      </c>
      <c r="G1847" s="1472" t="s">
        <v>5639</v>
      </c>
      <c r="H1847" s="1458">
        <v>0</v>
      </c>
      <c r="I1847" s="1458">
        <v>1</v>
      </c>
      <c r="J1847" s="1473">
        <v>1</v>
      </c>
      <c r="K1847" s="1462"/>
      <c r="L1847" s="1456">
        <v>13209950200</v>
      </c>
      <c r="M1847" s="1457">
        <v>0</v>
      </c>
      <c r="N1847" s="1457">
        <v>1</v>
      </c>
      <c r="O1847" s="1458">
        <v>1</v>
      </c>
    </row>
    <row r="1848" spans="3:15" ht="13.5">
      <c r="C1848" s="1463" t="s">
        <v>5640</v>
      </c>
      <c r="D1848" s="1460">
        <v>0</v>
      </c>
      <c r="E1848" s="1460">
        <v>0</v>
      </c>
      <c r="F1848" s="1461">
        <v>0</v>
      </c>
      <c r="G1848" s="1472" t="s">
        <v>5640</v>
      </c>
      <c r="H1848" s="1458">
        <v>0</v>
      </c>
      <c r="I1848" s="1458">
        <v>0</v>
      </c>
      <c r="J1848" s="1473">
        <v>0</v>
      </c>
      <c r="K1848" s="1462"/>
      <c r="L1848" s="1456">
        <v>13209950300</v>
      </c>
      <c r="M1848" s="1457">
        <v>0</v>
      </c>
      <c r="N1848" s="1457">
        <v>0</v>
      </c>
      <c r="O1848" s="1458">
        <v>0</v>
      </c>
    </row>
    <row r="1849" spans="3:15" ht="13.5">
      <c r="C1849" s="1463" t="s">
        <v>5641</v>
      </c>
      <c r="D1849" s="1460">
        <v>1</v>
      </c>
      <c r="E1849" s="1460">
        <v>1</v>
      </c>
      <c r="F1849" s="1461">
        <v>2</v>
      </c>
      <c r="G1849" s="1472" t="s">
        <v>5641</v>
      </c>
      <c r="H1849" s="1458">
        <v>1</v>
      </c>
      <c r="I1849" s="1458">
        <v>1</v>
      </c>
      <c r="J1849" s="1473">
        <v>2</v>
      </c>
      <c r="K1849" s="1462"/>
      <c r="L1849" s="1456">
        <v>13211010100</v>
      </c>
      <c r="M1849" s="1457">
        <v>1</v>
      </c>
      <c r="N1849" s="1457">
        <v>1</v>
      </c>
      <c r="O1849" s="1458">
        <v>2</v>
      </c>
    </row>
    <row r="1850" spans="3:15" ht="13.5">
      <c r="C1850" s="1463" t="s">
        <v>5642</v>
      </c>
      <c r="D1850" s="1460">
        <v>0</v>
      </c>
      <c r="E1850" s="1460">
        <v>0</v>
      </c>
      <c r="F1850" s="1461">
        <v>0</v>
      </c>
      <c r="G1850" s="1472" t="s">
        <v>5642</v>
      </c>
      <c r="H1850" s="1458">
        <v>0</v>
      </c>
      <c r="I1850" s="1458">
        <v>0</v>
      </c>
      <c r="J1850" s="1473">
        <v>0</v>
      </c>
      <c r="K1850" s="1462"/>
      <c r="L1850" s="1456">
        <v>13211010200</v>
      </c>
      <c r="M1850" s="1457">
        <v>0</v>
      </c>
      <c r="N1850" s="1457">
        <v>0</v>
      </c>
      <c r="O1850" s="1458">
        <v>0</v>
      </c>
    </row>
    <row r="1851" spans="3:15" ht="13.5">
      <c r="C1851" s="1463" t="s">
        <v>5643</v>
      </c>
      <c r="D1851" s="1460">
        <v>1</v>
      </c>
      <c r="E1851" s="1460">
        <v>1</v>
      </c>
      <c r="F1851" s="1461">
        <v>2</v>
      </c>
      <c r="G1851" s="1472" t="s">
        <v>5643</v>
      </c>
      <c r="H1851" s="1458">
        <v>0</v>
      </c>
      <c r="I1851" s="1458">
        <v>1</v>
      </c>
      <c r="J1851" s="1473">
        <v>1</v>
      </c>
      <c r="K1851" s="1462"/>
      <c r="L1851" s="1456">
        <v>13211010300</v>
      </c>
      <c r="M1851" s="1457">
        <v>1</v>
      </c>
      <c r="N1851" s="1457">
        <v>1</v>
      </c>
      <c r="O1851" s="1458">
        <v>2</v>
      </c>
    </row>
    <row r="1852" spans="3:15" ht="13.5">
      <c r="C1852" s="1463" t="s">
        <v>5644</v>
      </c>
      <c r="D1852" s="1460">
        <v>1</v>
      </c>
      <c r="E1852" s="1460">
        <v>0</v>
      </c>
      <c r="F1852" s="1461">
        <v>1</v>
      </c>
      <c r="G1852" s="1472" t="s">
        <v>5644</v>
      </c>
      <c r="H1852" s="1458">
        <v>1</v>
      </c>
      <c r="I1852" s="1458">
        <v>0</v>
      </c>
      <c r="J1852" s="1473">
        <v>1</v>
      </c>
      <c r="K1852" s="1462"/>
      <c r="L1852" s="1456">
        <v>13211010400</v>
      </c>
      <c r="M1852" s="1457">
        <v>1</v>
      </c>
      <c r="N1852" s="1457">
        <v>0</v>
      </c>
      <c r="O1852" s="1458">
        <v>1</v>
      </c>
    </row>
    <row r="1853" spans="3:15" ht="13.5">
      <c r="C1853" s="1463" t="s">
        <v>5645</v>
      </c>
      <c r="D1853" s="1460">
        <v>1</v>
      </c>
      <c r="E1853" s="1460">
        <v>1</v>
      </c>
      <c r="F1853" s="1461">
        <v>2</v>
      </c>
      <c r="G1853" s="1472" t="s">
        <v>5645</v>
      </c>
      <c r="H1853" s="1458">
        <v>1</v>
      </c>
      <c r="I1853" s="1458">
        <v>0</v>
      </c>
      <c r="J1853" s="1473">
        <v>1</v>
      </c>
      <c r="K1853" s="1462"/>
      <c r="L1853" s="1456">
        <v>13211010500</v>
      </c>
      <c r="M1853" s="1457">
        <v>1</v>
      </c>
      <c r="N1853" s="1457">
        <v>1</v>
      </c>
      <c r="O1853" s="1458">
        <v>2</v>
      </c>
    </row>
    <row r="1854" spans="3:15" ht="13.5">
      <c r="C1854" s="1463" t="s">
        <v>5646</v>
      </c>
      <c r="D1854" s="1460">
        <v>0</v>
      </c>
      <c r="E1854" s="1460">
        <v>0</v>
      </c>
      <c r="F1854" s="1461">
        <v>0</v>
      </c>
      <c r="G1854" s="1472" t="s">
        <v>5646</v>
      </c>
      <c r="H1854" s="1458">
        <v>0</v>
      </c>
      <c r="I1854" s="1458">
        <v>0</v>
      </c>
      <c r="J1854" s="1473">
        <v>0</v>
      </c>
      <c r="K1854" s="1462"/>
      <c r="L1854" s="1456">
        <v>13213010100</v>
      </c>
      <c r="M1854" s="1457">
        <v>0</v>
      </c>
      <c r="N1854" s="1457">
        <v>0</v>
      </c>
      <c r="O1854" s="1458">
        <v>0</v>
      </c>
    </row>
    <row r="1855" spans="3:15" ht="13.5">
      <c r="C1855" s="1463" t="s">
        <v>5647</v>
      </c>
      <c r="D1855" s="1460">
        <v>0</v>
      </c>
      <c r="E1855" s="1460">
        <v>0</v>
      </c>
      <c r="F1855" s="1461">
        <v>0</v>
      </c>
      <c r="G1855" s="1472" t="s">
        <v>5647</v>
      </c>
      <c r="H1855" s="1458">
        <v>0</v>
      </c>
      <c r="I1855" s="1458">
        <v>0</v>
      </c>
      <c r="J1855" s="1473">
        <v>0</v>
      </c>
      <c r="K1855" s="1462"/>
      <c r="L1855" s="1456">
        <v>13213010201</v>
      </c>
      <c r="M1855" s="1457">
        <v>0</v>
      </c>
      <c r="N1855" s="1457">
        <v>0</v>
      </c>
      <c r="O1855" s="1458">
        <v>0</v>
      </c>
    </row>
    <row r="1856" spans="3:15" ht="13.5">
      <c r="C1856" s="1463" t="s">
        <v>5648</v>
      </c>
      <c r="D1856" s="1460">
        <v>0</v>
      </c>
      <c r="E1856" s="1460">
        <v>0</v>
      </c>
      <c r="F1856" s="1461">
        <v>0</v>
      </c>
      <c r="G1856" s="1472" t="s">
        <v>5648</v>
      </c>
      <c r="H1856" s="1458">
        <v>0</v>
      </c>
      <c r="I1856" s="1458">
        <v>0</v>
      </c>
      <c r="J1856" s="1473">
        <v>0</v>
      </c>
      <c r="K1856" s="1462"/>
      <c r="L1856" s="1456">
        <v>13213010202</v>
      </c>
      <c r="M1856" s="1457">
        <v>0</v>
      </c>
      <c r="N1856" s="1457">
        <v>0</v>
      </c>
      <c r="O1856" s="1458">
        <v>0</v>
      </c>
    </row>
    <row r="1857" spans="3:15" ht="13.5">
      <c r="C1857" s="1463" t="s">
        <v>5649</v>
      </c>
      <c r="D1857" s="1460">
        <v>0</v>
      </c>
      <c r="E1857" s="1460">
        <v>0</v>
      </c>
      <c r="F1857" s="1461">
        <v>0</v>
      </c>
      <c r="G1857" s="1472" t="s">
        <v>5649</v>
      </c>
      <c r="H1857" s="1458">
        <v>0</v>
      </c>
      <c r="I1857" s="1458">
        <v>0</v>
      </c>
      <c r="J1857" s="1473">
        <v>0</v>
      </c>
      <c r="K1857" s="1462"/>
      <c r="L1857" s="1456">
        <v>13213010300</v>
      </c>
      <c r="M1857" s="1457">
        <v>0</v>
      </c>
      <c r="N1857" s="1457">
        <v>0</v>
      </c>
      <c r="O1857" s="1458">
        <v>0</v>
      </c>
    </row>
    <row r="1858" spans="3:15" ht="13.5">
      <c r="C1858" s="1463" t="s">
        <v>5650</v>
      </c>
      <c r="D1858" s="1460">
        <v>0</v>
      </c>
      <c r="E1858" s="1460">
        <v>0</v>
      </c>
      <c r="F1858" s="1461">
        <v>0</v>
      </c>
      <c r="G1858" s="1472" t="s">
        <v>5650</v>
      </c>
      <c r="H1858" s="1458">
        <v>0</v>
      </c>
      <c r="I1858" s="1458">
        <v>0</v>
      </c>
      <c r="J1858" s="1473">
        <v>0</v>
      </c>
      <c r="K1858" s="1462"/>
      <c r="L1858" s="1456">
        <v>13213010400</v>
      </c>
      <c r="M1858" s="1457">
        <v>0</v>
      </c>
      <c r="N1858" s="1457">
        <v>0</v>
      </c>
      <c r="O1858" s="1458">
        <v>0</v>
      </c>
    </row>
    <row r="1859" spans="3:15" ht="13.5">
      <c r="C1859" s="1463" t="s">
        <v>5651</v>
      </c>
      <c r="D1859" s="1460">
        <v>0</v>
      </c>
      <c r="E1859" s="1460">
        <v>0</v>
      </c>
      <c r="F1859" s="1461">
        <v>0</v>
      </c>
      <c r="G1859" s="1472" t="s">
        <v>5651</v>
      </c>
      <c r="H1859" s="1458">
        <v>0</v>
      </c>
      <c r="I1859" s="1458">
        <v>0</v>
      </c>
      <c r="J1859" s="1473">
        <v>0</v>
      </c>
      <c r="K1859" s="1462"/>
      <c r="L1859" s="1456">
        <v>13213010500</v>
      </c>
      <c r="M1859" s="1457">
        <v>0</v>
      </c>
      <c r="N1859" s="1457">
        <v>0</v>
      </c>
      <c r="O1859" s="1458">
        <v>0</v>
      </c>
    </row>
    <row r="1860" spans="3:15" ht="13.5">
      <c r="C1860" s="1463" t="s">
        <v>5652</v>
      </c>
      <c r="D1860" s="1460">
        <v>0</v>
      </c>
      <c r="E1860" s="1460">
        <v>0</v>
      </c>
      <c r="F1860" s="1461">
        <v>0</v>
      </c>
      <c r="G1860" s="1472" t="s">
        <v>5652</v>
      </c>
      <c r="H1860" s="1458">
        <v>0</v>
      </c>
      <c r="I1860" s="1458">
        <v>0</v>
      </c>
      <c r="J1860" s="1473">
        <v>0</v>
      </c>
      <c r="K1860" s="1462"/>
      <c r="L1860" s="1456">
        <v>13213010600</v>
      </c>
      <c r="M1860" s="1457">
        <v>0</v>
      </c>
      <c r="N1860" s="1457">
        <v>0</v>
      </c>
      <c r="O1860" s="1458">
        <v>0</v>
      </c>
    </row>
    <row r="1861" spans="3:15" ht="13.5">
      <c r="C1861" s="1463" t="s">
        <v>5653</v>
      </c>
      <c r="D1861" s="1460">
        <v>0</v>
      </c>
      <c r="E1861" s="1460">
        <v>0</v>
      </c>
      <c r="F1861" s="1461">
        <v>0</v>
      </c>
      <c r="G1861" s="1472" t="s">
        <v>5653</v>
      </c>
      <c r="H1861" s="1458">
        <v>0</v>
      </c>
      <c r="I1861" s="1458">
        <v>0</v>
      </c>
      <c r="J1861" s="1473">
        <v>0</v>
      </c>
      <c r="K1861" s="1462"/>
      <c r="L1861" s="1456">
        <v>13213010700</v>
      </c>
      <c r="M1861" s="1457">
        <v>0</v>
      </c>
      <c r="N1861" s="1457">
        <v>0</v>
      </c>
      <c r="O1861" s="1458">
        <v>0</v>
      </c>
    </row>
    <row r="1862" spans="3:15" ht="13.5">
      <c r="C1862" s="1463" t="s">
        <v>5654</v>
      </c>
      <c r="D1862" s="1460">
        <v>0</v>
      </c>
      <c r="E1862" s="1460">
        <v>1</v>
      </c>
      <c r="F1862" s="1461">
        <v>1</v>
      </c>
      <c r="G1862" s="1472" t="s">
        <v>5654</v>
      </c>
      <c r="H1862" s="1458">
        <v>0</v>
      </c>
      <c r="I1862" s="1458">
        <v>1</v>
      </c>
      <c r="J1862" s="1473">
        <v>1</v>
      </c>
      <c r="K1862" s="1462"/>
      <c r="L1862" s="1456">
        <v>13215000200</v>
      </c>
      <c r="M1862" s="1457">
        <v>0</v>
      </c>
      <c r="N1862" s="1457">
        <v>1</v>
      </c>
      <c r="O1862" s="1458">
        <v>1</v>
      </c>
    </row>
    <row r="1863" spans="3:15" ht="13.5">
      <c r="C1863" s="1463" t="s">
        <v>5655</v>
      </c>
      <c r="D1863" s="1460">
        <v>0</v>
      </c>
      <c r="E1863" s="1460">
        <v>0</v>
      </c>
      <c r="F1863" s="1461">
        <v>0</v>
      </c>
      <c r="G1863" s="1472" t="s">
        <v>5655</v>
      </c>
      <c r="H1863" s="1458">
        <v>0</v>
      </c>
      <c r="I1863" s="1458">
        <v>0</v>
      </c>
      <c r="J1863" s="1473">
        <v>0</v>
      </c>
      <c r="K1863" s="1462"/>
      <c r="L1863" s="1456">
        <v>13215000300</v>
      </c>
      <c r="M1863" s="1457">
        <v>0</v>
      </c>
      <c r="N1863" s="1457">
        <v>0</v>
      </c>
      <c r="O1863" s="1458">
        <v>0</v>
      </c>
    </row>
    <row r="1864" spans="3:15" ht="13.5">
      <c r="C1864" s="1463" t="s">
        <v>5656</v>
      </c>
      <c r="D1864" s="1460">
        <v>0</v>
      </c>
      <c r="E1864" s="1460">
        <v>0</v>
      </c>
      <c r="F1864" s="1461">
        <v>0</v>
      </c>
      <c r="G1864" s="1472" t="s">
        <v>5656</v>
      </c>
      <c r="H1864" s="1458">
        <v>0</v>
      </c>
      <c r="I1864" s="1458">
        <v>0</v>
      </c>
      <c r="J1864" s="1473">
        <v>0</v>
      </c>
      <c r="K1864" s="1462"/>
      <c r="L1864" s="1456">
        <v>13215000400</v>
      </c>
      <c r="M1864" s="1457">
        <v>0</v>
      </c>
      <c r="N1864" s="1457">
        <v>0</v>
      </c>
      <c r="O1864" s="1458">
        <v>0</v>
      </c>
    </row>
    <row r="1865" spans="3:15" ht="13.5">
      <c r="C1865" s="1463" t="s">
        <v>5657</v>
      </c>
      <c r="D1865" s="1460">
        <v>0</v>
      </c>
      <c r="E1865" s="1460">
        <v>0</v>
      </c>
      <c r="F1865" s="1461">
        <v>0</v>
      </c>
      <c r="G1865" s="1472" t="s">
        <v>5657</v>
      </c>
      <c r="H1865" s="1458">
        <v>0</v>
      </c>
      <c r="I1865" s="1458">
        <v>0</v>
      </c>
      <c r="J1865" s="1473">
        <v>0</v>
      </c>
      <c r="K1865" s="1462"/>
      <c r="L1865" s="1456">
        <v>13215000800</v>
      </c>
      <c r="M1865" s="1457">
        <v>0</v>
      </c>
      <c r="N1865" s="1457">
        <v>0</v>
      </c>
      <c r="O1865" s="1458">
        <v>0</v>
      </c>
    </row>
    <row r="1866" spans="3:15" ht="13.5">
      <c r="C1866" s="1463" t="s">
        <v>5658</v>
      </c>
      <c r="D1866" s="1460">
        <v>0</v>
      </c>
      <c r="E1866" s="1460">
        <v>0</v>
      </c>
      <c r="F1866" s="1461">
        <v>0</v>
      </c>
      <c r="G1866" s="1472" t="s">
        <v>5658</v>
      </c>
      <c r="H1866" s="1458">
        <v>0</v>
      </c>
      <c r="I1866" s="1458">
        <v>0</v>
      </c>
      <c r="J1866" s="1473">
        <v>0</v>
      </c>
      <c r="K1866" s="1462"/>
      <c r="L1866" s="1456">
        <v>13215000900</v>
      </c>
      <c r="M1866" s="1457">
        <v>0</v>
      </c>
      <c r="N1866" s="1457">
        <v>0</v>
      </c>
      <c r="O1866" s="1458">
        <v>0</v>
      </c>
    </row>
    <row r="1867" spans="3:15" ht="13.5">
      <c r="C1867" s="1463" t="s">
        <v>5659</v>
      </c>
      <c r="D1867" s="1460">
        <v>0</v>
      </c>
      <c r="E1867" s="1460">
        <v>0</v>
      </c>
      <c r="F1867" s="1461">
        <v>0</v>
      </c>
      <c r="G1867" s="1472" t="s">
        <v>5659</v>
      </c>
      <c r="H1867" s="1458">
        <v>0</v>
      </c>
      <c r="I1867" s="1458">
        <v>0</v>
      </c>
      <c r="J1867" s="1473">
        <v>0</v>
      </c>
      <c r="K1867" s="1462"/>
      <c r="L1867" s="1456">
        <v>13215001000</v>
      </c>
      <c r="M1867" s="1457">
        <v>0</v>
      </c>
      <c r="N1867" s="1457">
        <v>0</v>
      </c>
      <c r="O1867" s="1458">
        <v>0</v>
      </c>
    </row>
    <row r="1868" spans="3:15" ht="13.5">
      <c r="C1868" s="1463" t="s">
        <v>5660</v>
      </c>
      <c r="D1868" s="1460">
        <v>1</v>
      </c>
      <c r="E1868" s="1460">
        <v>1</v>
      </c>
      <c r="F1868" s="1461">
        <v>2</v>
      </c>
      <c r="G1868" s="1472" t="s">
        <v>5660</v>
      </c>
      <c r="H1868" s="1458">
        <v>1</v>
      </c>
      <c r="I1868" s="1458">
        <v>1</v>
      </c>
      <c r="J1868" s="1473">
        <v>2</v>
      </c>
      <c r="K1868" s="1462"/>
      <c r="L1868" s="1456">
        <v>13215001100</v>
      </c>
      <c r="M1868" s="1457">
        <v>1</v>
      </c>
      <c r="N1868" s="1457">
        <v>1</v>
      </c>
      <c r="O1868" s="1458">
        <v>2</v>
      </c>
    </row>
    <row r="1869" spans="3:15" ht="13.5">
      <c r="C1869" s="1463" t="s">
        <v>5661</v>
      </c>
      <c r="D1869" s="1460">
        <v>1</v>
      </c>
      <c r="E1869" s="1460">
        <v>1</v>
      </c>
      <c r="F1869" s="1461">
        <v>2</v>
      </c>
      <c r="G1869" s="1472" t="s">
        <v>5661</v>
      </c>
      <c r="H1869" s="1458">
        <v>1</v>
      </c>
      <c r="I1869" s="1458">
        <v>1</v>
      </c>
      <c r="J1869" s="1473">
        <v>2</v>
      </c>
      <c r="K1869" s="1462"/>
      <c r="L1869" s="1456">
        <v>13215001200</v>
      </c>
      <c r="M1869" s="1457">
        <v>1</v>
      </c>
      <c r="N1869" s="1457">
        <v>1</v>
      </c>
      <c r="O1869" s="1458">
        <v>2</v>
      </c>
    </row>
    <row r="1870" spans="3:15" ht="13.5">
      <c r="C1870" s="1463" t="s">
        <v>5662</v>
      </c>
      <c r="D1870" s="1460">
        <v>0</v>
      </c>
      <c r="E1870" s="1460">
        <v>0</v>
      </c>
      <c r="F1870" s="1461">
        <v>0</v>
      </c>
      <c r="G1870" s="1472" t="s">
        <v>5662</v>
      </c>
      <c r="H1870" s="1458">
        <v>0</v>
      </c>
      <c r="I1870" s="1458">
        <v>0</v>
      </c>
      <c r="J1870" s="1473">
        <v>0</v>
      </c>
      <c r="K1870" s="1462"/>
      <c r="L1870" s="1456">
        <v>13215001400</v>
      </c>
      <c r="M1870" s="1457">
        <v>0</v>
      </c>
      <c r="N1870" s="1457">
        <v>0</v>
      </c>
      <c r="O1870" s="1458">
        <v>0</v>
      </c>
    </row>
    <row r="1871" spans="3:15" ht="13.5">
      <c r="C1871" s="1463" t="s">
        <v>5663</v>
      </c>
      <c r="D1871" s="1460">
        <v>0</v>
      </c>
      <c r="E1871" s="1460">
        <v>0</v>
      </c>
      <c r="F1871" s="1461">
        <v>0</v>
      </c>
      <c r="G1871" s="1472" t="s">
        <v>5663</v>
      </c>
      <c r="H1871" s="1458">
        <v>0</v>
      </c>
      <c r="I1871" s="1458" t="s">
        <v>3911</v>
      </c>
      <c r="J1871" s="1473">
        <v>0</v>
      </c>
      <c r="K1871" s="1462"/>
      <c r="L1871" s="1456">
        <v>13215001600</v>
      </c>
      <c r="M1871" s="1457">
        <v>0</v>
      </c>
      <c r="N1871" s="1457">
        <v>0</v>
      </c>
      <c r="O1871" s="1458">
        <v>0</v>
      </c>
    </row>
    <row r="1872" spans="3:15" ht="13.5">
      <c r="C1872" s="1463" t="s">
        <v>5664</v>
      </c>
      <c r="D1872" s="1460">
        <v>0</v>
      </c>
      <c r="E1872" s="1460">
        <v>0</v>
      </c>
      <c r="F1872" s="1461">
        <v>0</v>
      </c>
      <c r="G1872" s="1472" t="s">
        <v>5664</v>
      </c>
      <c r="H1872" s="1458">
        <v>0</v>
      </c>
      <c r="I1872" s="1458">
        <v>0</v>
      </c>
      <c r="J1872" s="1473">
        <v>0</v>
      </c>
      <c r="K1872" s="1462"/>
      <c r="L1872" s="1456">
        <v>13215001800</v>
      </c>
      <c r="M1872" s="1457">
        <v>0</v>
      </c>
      <c r="N1872" s="1457">
        <v>0</v>
      </c>
      <c r="O1872" s="1458">
        <v>0</v>
      </c>
    </row>
    <row r="1873" spans="3:15" ht="13.5">
      <c r="C1873" s="1463" t="s">
        <v>5665</v>
      </c>
      <c r="D1873" s="1460">
        <v>0</v>
      </c>
      <c r="E1873" s="1460">
        <v>0</v>
      </c>
      <c r="F1873" s="1461">
        <v>0</v>
      </c>
      <c r="G1873" s="1472" t="s">
        <v>5665</v>
      </c>
      <c r="H1873" s="1458">
        <v>0</v>
      </c>
      <c r="I1873" s="1458">
        <v>0</v>
      </c>
      <c r="J1873" s="1473">
        <v>0</v>
      </c>
      <c r="K1873" s="1462"/>
      <c r="L1873" s="1456">
        <v>13215002000</v>
      </c>
      <c r="M1873" s="1457">
        <v>0</v>
      </c>
      <c r="N1873" s="1457">
        <v>0</v>
      </c>
      <c r="O1873" s="1458">
        <v>0</v>
      </c>
    </row>
    <row r="1874" spans="3:15" ht="13.5">
      <c r="C1874" s="1463" t="s">
        <v>5666</v>
      </c>
      <c r="D1874" s="1460">
        <v>0</v>
      </c>
      <c r="E1874" s="1460">
        <v>0</v>
      </c>
      <c r="F1874" s="1461">
        <v>0</v>
      </c>
      <c r="G1874" s="1472" t="s">
        <v>5666</v>
      </c>
      <c r="H1874" s="1458">
        <v>0</v>
      </c>
      <c r="I1874" s="1458">
        <v>0</v>
      </c>
      <c r="J1874" s="1473">
        <v>0</v>
      </c>
      <c r="K1874" s="1462"/>
      <c r="L1874" s="1456">
        <v>13215002100</v>
      </c>
      <c r="M1874" s="1457">
        <v>0</v>
      </c>
      <c r="N1874" s="1457">
        <v>0</v>
      </c>
      <c r="O1874" s="1458">
        <v>0</v>
      </c>
    </row>
    <row r="1875" spans="3:15" ht="13.5">
      <c r="C1875" s="1463" t="s">
        <v>5667</v>
      </c>
      <c r="D1875" s="1460">
        <v>0</v>
      </c>
      <c r="E1875" s="1460">
        <v>0</v>
      </c>
      <c r="F1875" s="1461">
        <v>0</v>
      </c>
      <c r="G1875" s="1472" t="s">
        <v>5667</v>
      </c>
      <c r="H1875" s="1458">
        <v>0</v>
      </c>
      <c r="I1875" s="1458">
        <v>0</v>
      </c>
      <c r="J1875" s="1473">
        <v>0</v>
      </c>
      <c r="K1875" s="1462"/>
      <c r="L1875" s="1456">
        <v>13215002200</v>
      </c>
      <c r="M1875" s="1457">
        <v>0</v>
      </c>
      <c r="N1875" s="1457">
        <v>0</v>
      </c>
      <c r="O1875" s="1458">
        <v>0</v>
      </c>
    </row>
    <row r="1876" spans="3:15" ht="13.5">
      <c r="C1876" s="1463" t="s">
        <v>5668</v>
      </c>
      <c r="D1876" s="1460">
        <v>0</v>
      </c>
      <c r="E1876" s="1460">
        <v>0</v>
      </c>
      <c r="F1876" s="1461">
        <v>0</v>
      </c>
      <c r="G1876" s="1472" t="s">
        <v>5668</v>
      </c>
      <c r="H1876" s="1458">
        <v>0</v>
      </c>
      <c r="I1876" s="1458">
        <v>0</v>
      </c>
      <c r="J1876" s="1473">
        <v>0</v>
      </c>
      <c r="K1876" s="1462"/>
      <c r="L1876" s="1456">
        <v>13215002300</v>
      </c>
      <c r="M1876" s="1457">
        <v>0</v>
      </c>
      <c r="N1876" s="1457">
        <v>0</v>
      </c>
      <c r="O1876" s="1458">
        <v>0</v>
      </c>
    </row>
    <row r="1877" spans="3:15" ht="13.5">
      <c r="C1877" s="1463" t="s">
        <v>5669</v>
      </c>
      <c r="D1877" s="1460">
        <v>0</v>
      </c>
      <c r="E1877" s="1460">
        <v>0</v>
      </c>
      <c r="F1877" s="1461">
        <v>0</v>
      </c>
      <c r="G1877" s="1472" t="s">
        <v>5669</v>
      </c>
      <c r="H1877" s="1458">
        <v>0</v>
      </c>
      <c r="I1877" s="1458">
        <v>0</v>
      </c>
      <c r="J1877" s="1473">
        <v>0</v>
      </c>
      <c r="K1877" s="1462"/>
      <c r="L1877" s="1456">
        <v>13215002400</v>
      </c>
      <c r="M1877" s="1457">
        <v>0</v>
      </c>
      <c r="N1877" s="1457">
        <v>0</v>
      </c>
      <c r="O1877" s="1458">
        <v>0</v>
      </c>
    </row>
    <row r="1878" spans="3:15" ht="13.5">
      <c r="C1878" s="1463" t="s">
        <v>5670</v>
      </c>
      <c r="D1878" s="1460">
        <v>0</v>
      </c>
      <c r="E1878" s="1460">
        <v>0</v>
      </c>
      <c r="F1878" s="1461">
        <v>0</v>
      </c>
      <c r="G1878" s="1472" t="s">
        <v>5670</v>
      </c>
      <c r="H1878" s="1458">
        <v>0</v>
      </c>
      <c r="I1878" s="1458">
        <v>0</v>
      </c>
      <c r="J1878" s="1473">
        <v>0</v>
      </c>
      <c r="K1878" s="1462"/>
      <c r="L1878" s="1456">
        <v>13215002500</v>
      </c>
      <c r="M1878" s="1457">
        <v>0</v>
      </c>
      <c r="N1878" s="1457">
        <v>0</v>
      </c>
      <c r="O1878" s="1458">
        <v>0</v>
      </c>
    </row>
    <row r="1879" spans="3:15" ht="13.5">
      <c r="C1879" s="1463" t="s">
        <v>5671</v>
      </c>
      <c r="D1879" s="1460">
        <v>0</v>
      </c>
      <c r="E1879" s="1460">
        <v>0</v>
      </c>
      <c r="F1879" s="1461">
        <v>0</v>
      </c>
      <c r="G1879" s="1472" t="s">
        <v>5671</v>
      </c>
      <c r="H1879" s="1458">
        <v>0</v>
      </c>
      <c r="I1879" s="1458">
        <v>0</v>
      </c>
      <c r="J1879" s="1473">
        <v>0</v>
      </c>
      <c r="K1879" s="1462"/>
      <c r="L1879" s="1456">
        <v>13215002700</v>
      </c>
      <c r="M1879" s="1457">
        <v>0</v>
      </c>
      <c r="N1879" s="1457">
        <v>0</v>
      </c>
      <c r="O1879" s="1458">
        <v>0</v>
      </c>
    </row>
    <row r="1880" spans="3:15" ht="13.5">
      <c r="C1880" s="1463" t="s">
        <v>5672</v>
      </c>
      <c r="D1880" s="1460">
        <v>0</v>
      </c>
      <c r="E1880" s="1460">
        <v>0</v>
      </c>
      <c r="F1880" s="1461">
        <v>0</v>
      </c>
      <c r="G1880" s="1472" t="s">
        <v>5672</v>
      </c>
      <c r="H1880" s="1458">
        <v>0</v>
      </c>
      <c r="I1880" s="1458">
        <v>0</v>
      </c>
      <c r="J1880" s="1473">
        <v>0</v>
      </c>
      <c r="K1880" s="1462"/>
      <c r="L1880" s="1456">
        <v>13215002800</v>
      </c>
      <c r="M1880" s="1457">
        <v>0</v>
      </c>
      <c r="N1880" s="1457">
        <v>0</v>
      </c>
      <c r="O1880" s="1458">
        <v>0</v>
      </c>
    </row>
    <row r="1881" spans="3:15" ht="13.5">
      <c r="C1881" s="1463" t="s">
        <v>5673</v>
      </c>
      <c r="D1881" s="1460">
        <v>0</v>
      </c>
      <c r="E1881" s="1460">
        <v>0</v>
      </c>
      <c r="F1881" s="1461">
        <v>0</v>
      </c>
      <c r="G1881" s="1472" t="s">
        <v>5673</v>
      </c>
      <c r="H1881" s="1458">
        <v>0</v>
      </c>
      <c r="I1881" s="1458">
        <v>0</v>
      </c>
      <c r="J1881" s="1473">
        <v>0</v>
      </c>
      <c r="K1881" s="1462"/>
      <c r="L1881" s="1456">
        <v>13215002901</v>
      </c>
      <c r="M1881" s="1457">
        <v>0</v>
      </c>
      <c r="N1881" s="1457">
        <v>0</v>
      </c>
      <c r="O1881" s="1458">
        <v>0</v>
      </c>
    </row>
    <row r="1882" spans="3:15" ht="13.5">
      <c r="C1882" s="1463" t="s">
        <v>5674</v>
      </c>
      <c r="D1882" s="1460">
        <v>0</v>
      </c>
      <c r="E1882" s="1460">
        <v>0</v>
      </c>
      <c r="F1882" s="1461">
        <v>0</v>
      </c>
      <c r="G1882" s="1472" t="s">
        <v>5674</v>
      </c>
      <c r="H1882" s="1458">
        <v>0</v>
      </c>
      <c r="I1882" s="1458">
        <v>0</v>
      </c>
      <c r="J1882" s="1473">
        <v>0</v>
      </c>
      <c r="K1882" s="1462"/>
      <c r="L1882" s="1456">
        <v>13215002902</v>
      </c>
      <c r="M1882" s="1457">
        <v>0</v>
      </c>
      <c r="N1882" s="1457">
        <v>0</v>
      </c>
      <c r="O1882" s="1458">
        <v>0</v>
      </c>
    </row>
    <row r="1883" spans="3:15" ht="13.5">
      <c r="C1883" s="1463" t="s">
        <v>5675</v>
      </c>
      <c r="D1883" s="1460">
        <v>0</v>
      </c>
      <c r="E1883" s="1460">
        <v>0</v>
      </c>
      <c r="F1883" s="1461">
        <v>0</v>
      </c>
      <c r="G1883" s="1472" t="s">
        <v>5675</v>
      </c>
      <c r="H1883" s="1458">
        <v>0</v>
      </c>
      <c r="I1883" s="1458" t="s">
        <v>3911</v>
      </c>
      <c r="J1883" s="1473">
        <v>0</v>
      </c>
      <c r="K1883" s="1462"/>
      <c r="L1883" s="1456">
        <v>13215003000</v>
      </c>
      <c r="M1883" s="1457">
        <v>0</v>
      </c>
      <c r="N1883" s="1457">
        <v>0</v>
      </c>
      <c r="O1883" s="1458">
        <v>0</v>
      </c>
    </row>
    <row r="1884" spans="3:15" ht="13.5">
      <c r="C1884" s="1463" t="s">
        <v>5676</v>
      </c>
      <c r="D1884" s="1460">
        <v>0</v>
      </c>
      <c r="E1884" s="1460">
        <v>0</v>
      </c>
      <c r="F1884" s="1461">
        <v>0</v>
      </c>
      <c r="G1884" s="1472" t="s">
        <v>5676</v>
      </c>
      <c r="H1884" s="1458">
        <v>0</v>
      </c>
      <c r="I1884" s="1458">
        <v>0</v>
      </c>
      <c r="J1884" s="1473">
        <v>0</v>
      </c>
      <c r="K1884" s="1462"/>
      <c r="L1884" s="1456">
        <v>13215003200</v>
      </c>
      <c r="M1884" s="1457">
        <v>0</v>
      </c>
      <c r="N1884" s="1457">
        <v>0</v>
      </c>
      <c r="O1884" s="1458">
        <v>0</v>
      </c>
    </row>
    <row r="1885" spans="3:15" ht="13.5">
      <c r="C1885" s="1463" t="s">
        <v>5677</v>
      </c>
      <c r="D1885" s="1460">
        <v>0</v>
      </c>
      <c r="E1885" s="1460">
        <v>0</v>
      </c>
      <c r="F1885" s="1461">
        <v>0</v>
      </c>
      <c r="G1885" s="1472" t="s">
        <v>5677</v>
      </c>
      <c r="H1885" s="1458">
        <v>0</v>
      </c>
      <c r="I1885" s="1458">
        <v>0</v>
      </c>
      <c r="J1885" s="1473">
        <v>0</v>
      </c>
      <c r="K1885" s="1462"/>
      <c r="L1885" s="1456">
        <v>13215003301</v>
      </c>
      <c r="M1885" s="1457">
        <v>0</v>
      </c>
      <c r="N1885" s="1457">
        <v>0</v>
      </c>
      <c r="O1885" s="1458">
        <v>0</v>
      </c>
    </row>
    <row r="1886" spans="3:15" ht="13.5">
      <c r="C1886" s="1463" t="s">
        <v>5678</v>
      </c>
      <c r="D1886" s="1460">
        <v>0</v>
      </c>
      <c r="E1886" s="1460">
        <v>0</v>
      </c>
      <c r="F1886" s="1461">
        <v>0</v>
      </c>
      <c r="G1886" s="1472" t="s">
        <v>5678</v>
      </c>
      <c r="H1886" s="1458">
        <v>0</v>
      </c>
      <c r="I1886" s="1458">
        <v>0</v>
      </c>
      <c r="J1886" s="1473">
        <v>0</v>
      </c>
      <c r="K1886" s="1462"/>
      <c r="L1886" s="1456">
        <v>13215003302</v>
      </c>
      <c r="M1886" s="1457">
        <v>0</v>
      </c>
      <c r="N1886" s="1457">
        <v>0</v>
      </c>
      <c r="O1886" s="1458">
        <v>0</v>
      </c>
    </row>
    <row r="1887" spans="3:15" ht="13.5">
      <c r="C1887" s="1463" t="s">
        <v>5679</v>
      </c>
      <c r="D1887" s="1460">
        <v>0</v>
      </c>
      <c r="E1887" s="1460">
        <v>0</v>
      </c>
      <c r="F1887" s="1461">
        <v>0</v>
      </c>
      <c r="G1887" s="1472" t="s">
        <v>5679</v>
      </c>
      <c r="H1887" s="1458">
        <v>0</v>
      </c>
      <c r="I1887" s="1458">
        <v>0</v>
      </c>
      <c r="J1887" s="1473">
        <v>0</v>
      </c>
      <c r="K1887" s="1462"/>
      <c r="L1887" s="1456">
        <v>13215003400</v>
      </c>
      <c r="M1887" s="1457">
        <v>0</v>
      </c>
      <c r="N1887" s="1457">
        <v>0</v>
      </c>
      <c r="O1887" s="1458">
        <v>0</v>
      </c>
    </row>
    <row r="1888" spans="3:15" ht="13.5">
      <c r="C1888" s="1463" t="s">
        <v>5680</v>
      </c>
      <c r="D1888" s="1460">
        <v>1</v>
      </c>
      <c r="E1888" s="1460">
        <v>1</v>
      </c>
      <c r="F1888" s="1461">
        <v>2</v>
      </c>
      <c r="G1888" s="1472" t="s">
        <v>5680</v>
      </c>
      <c r="H1888" s="1458">
        <v>1</v>
      </c>
      <c r="I1888" s="1458">
        <v>1</v>
      </c>
      <c r="J1888" s="1473">
        <v>2</v>
      </c>
      <c r="K1888" s="1462"/>
      <c r="L1888" s="1456">
        <v>13215010104</v>
      </c>
      <c r="M1888" s="1457">
        <v>1</v>
      </c>
      <c r="N1888" s="1457">
        <v>1</v>
      </c>
      <c r="O1888" s="1458">
        <v>2</v>
      </c>
    </row>
    <row r="1889" spans="3:15" ht="13.5">
      <c r="C1889" s="1463" t="s">
        <v>5681</v>
      </c>
      <c r="D1889" s="1460">
        <v>0</v>
      </c>
      <c r="E1889" s="1460">
        <v>1</v>
      </c>
      <c r="F1889" s="1461">
        <v>1</v>
      </c>
      <c r="G1889" s="1472" t="s">
        <v>5681</v>
      </c>
      <c r="H1889" s="1458">
        <v>0</v>
      </c>
      <c r="I1889" s="1458">
        <v>1</v>
      </c>
      <c r="J1889" s="1473">
        <v>1</v>
      </c>
      <c r="K1889" s="1462"/>
      <c r="L1889" s="1456">
        <v>13215010106</v>
      </c>
      <c r="M1889" s="1457">
        <v>0</v>
      </c>
      <c r="N1889" s="1457">
        <v>1</v>
      </c>
      <c r="O1889" s="1458">
        <v>1</v>
      </c>
    </row>
    <row r="1890" spans="3:15" ht="13.5">
      <c r="C1890" s="1463" t="s">
        <v>5682</v>
      </c>
      <c r="D1890" s="1460">
        <v>1</v>
      </c>
      <c r="E1890" s="1460">
        <v>1</v>
      </c>
      <c r="F1890" s="1461">
        <v>2</v>
      </c>
      <c r="G1890" s="1472" t="s">
        <v>5682</v>
      </c>
      <c r="H1890" s="1458">
        <v>1</v>
      </c>
      <c r="I1890" s="1458">
        <v>1</v>
      </c>
      <c r="J1890" s="1473">
        <v>2</v>
      </c>
      <c r="K1890" s="1462"/>
      <c r="L1890" s="1456">
        <v>13215010107</v>
      </c>
      <c r="M1890" s="1457">
        <v>1</v>
      </c>
      <c r="N1890" s="1457">
        <v>1</v>
      </c>
      <c r="O1890" s="1458">
        <v>2</v>
      </c>
    </row>
    <row r="1891" spans="3:15" ht="13.5">
      <c r="C1891" s="1463" t="s">
        <v>5683</v>
      </c>
      <c r="D1891" s="1460">
        <v>1</v>
      </c>
      <c r="E1891" s="1460">
        <v>1</v>
      </c>
      <c r="F1891" s="1461">
        <v>2</v>
      </c>
      <c r="G1891" s="1472" t="s">
        <v>5683</v>
      </c>
      <c r="H1891" s="1458">
        <v>1</v>
      </c>
      <c r="I1891" s="1458">
        <v>1</v>
      </c>
      <c r="J1891" s="1473">
        <v>2</v>
      </c>
      <c r="K1891" s="1462"/>
      <c r="L1891" s="1456">
        <v>13215010201</v>
      </c>
      <c r="M1891" s="1457">
        <v>1</v>
      </c>
      <c r="N1891" s="1457">
        <v>1</v>
      </c>
      <c r="O1891" s="1458">
        <v>2</v>
      </c>
    </row>
    <row r="1892" spans="3:15" ht="13.5">
      <c r="C1892" s="1463" t="s">
        <v>5684</v>
      </c>
      <c r="D1892" s="1460">
        <v>1</v>
      </c>
      <c r="E1892" s="1460">
        <v>1</v>
      </c>
      <c r="F1892" s="1461">
        <v>2</v>
      </c>
      <c r="G1892" s="1472" t="s">
        <v>5684</v>
      </c>
      <c r="H1892" s="1458">
        <v>1</v>
      </c>
      <c r="I1892" s="1458">
        <v>1</v>
      </c>
      <c r="J1892" s="1473">
        <v>2</v>
      </c>
      <c r="K1892" s="1462"/>
      <c r="L1892" s="1456">
        <v>13215010203</v>
      </c>
      <c r="M1892" s="1457">
        <v>1</v>
      </c>
      <c r="N1892" s="1457">
        <v>1</v>
      </c>
      <c r="O1892" s="1458">
        <v>2</v>
      </c>
    </row>
    <row r="1893" spans="3:15" ht="13.5">
      <c r="C1893" s="1463" t="s">
        <v>5685</v>
      </c>
      <c r="D1893" s="1460">
        <v>1</v>
      </c>
      <c r="E1893" s="1460">
        <v>1</v>
      </c>
      <c r="F1893" s="1461">
        <v>2</v>
      </c>
      <c r="G1893" s="1472" t="s">
        <v>5685</v>
      </c>
      <c r="H1893" s="1458">
        <v>1</v>
      </c>
      <c r="I1893" s="1458">
        <v>1</v>
      </c>
      <c r="J1893" s="1473">
        <v>2</v>
      </c>
      <c r="K1893" s="1462"/>
      <c r="L1893" s="1456">
        <v>13215010204</v>
      </c>
      <c r="M1893" s="1457">
        <v>1</v>
      </c>
      <c r="N1893" s="1457">
        <v>1</v>
      </c>
      <c r="O1893" s="1458">
        <v>2</v>
      </c>
    </row>
    <row r="1894" spans="3:15" ht="13.5">
      <c r="C1894" s="1463" t="s">
        <v>5686</v>
      </c>
      <c r="D1894" s="1460">
        <v>1</v>
      </c>
      <c r="E1894" s="1460">
        <v>1</v>
      </c>
      <c r="F1894" s="1461">
        <v>2</v>
      </c>
      <c r="G1894" s="1472" t="s">
        <v>5686</v>
      </c>
      <c r="H1894" s="1458">
        <v>1</v>
      </c>
      <c r="I1894" s="1458">
        <v>1</v>
      </c>
      <c r="J1894" s="1473">
        <v>2</v>
      </c>
      <c r="K1894" s="1462"/>
      <c r="L1894" s="1456">
        <v>13215010205</v>
      </c>
      <c r="M1894" s="1457">
        <v>1</v>
      </c>
      <c r="N1894" s="1457">
        <v>1</v>
      </c>
      <c r="O1894" s="1458">
        <v>2</v>
      </c>
    </row>
    <row r="1895" spans="3:15" ht="13.5">
      <c r="C1895" s="1463" t="s">
        <v>5687</v>
      </c>
      <c r="D1895" s="1460">
        <v>1</v>
      </c>
      <c r="E1895" s="1460">
        <v>1</v>
      </c>
      <c r="F1895" s="1461">
        <v>2</v>
      </c>
      <c r="G1895" s="1472" t="s">
        <v>5687</v>
      </c>
      <c r="H1895" s="1458">
        <v>1</v>
      </c>
      <c r="I1895" s="1458">
        <v>1</v>
      </c>
      <c r="J1895" s="1473">
        <v>2</v>
      </c>
      <c r="K1895" s="1462"/>
      <c r="L1895" s="1456">
        <v>13215010301</v>
      </c>
      <c r="M1895" s="1457">
        <v>1</v>
      </c>
      <c r="N1895" s="1457">
        <v>1</v>
      </c>
      <c r="O1895" s="1458">
        <v>2</v>
      </c>
    </row>
    <row r="1896" spans="3:15" ht="13.5">
      <c r="C1896" s="1463" t="s">
        <v>5688</v>
      </c>
      <c r="D1896" s="1460">
        <v>1</v>
      </c>
      <c r="E1896" s="1460">
        <v>1</v>
      </c>
      <c r="F1896" s="1461">
        <v>2</v>
      </c>
      <c r="G1896" s="1472" t="s">
        <v>5688</v>
      </c>
      <c r="H1896" s="1458">
        <v>1</v>
      </c>
      <c r="I1896" s="1458">
        <v>1</v>
      </c>
      <c r="J1896" s="1473">
        <v>2</v>
      </c>
      <c r="K1896" s="1462"/>
      <c r="L1896" s="1456">
        <v>13215010302</v>
      </c>
      <c r="M1896" s="1457">
        <v>1</v>
      </c>
      <c r="N1896" s="1457">
        <v>1</v>
      </c>
      <c r="O1896" s="1458">
        <v>2</v>
      </c>
    </row>
    <row r="1897" spans="3:15" ht="13.5">
      <c r="C1897" s="1463" t="s">
        <v>5689</v>
      </c>
      <c r="D1897" s="1460">
        <v>1</v>
      </c>
      <c r="E1897" s="1460">
        <v>1</v>
      </c>
      <c r="F1897" s="1461">
        <v>2</v>
      </c>
      <c r="G1897" s="1472" t="s">
        <v>5689</v>
      </c>
      <c r="H1897" s="1458">
        <v>1</v>
      </c>
      <c r="I1897" s="1458">
        <v>1</v>
      </c>
      <c r="J1897" s="1473">
        <v>2</v>
      </c>
      <c r="K1897" s="1462"/>
      <c r="L1897" s="1456">
        <v>13215010401</v>
      </c>
      <c r="M1897" s="1457">
        <v>1</v>
      </c>
      <c r="N1897" s="1457">
        <v>1</v>
      </c>
      <c r="O1897" s="1458">
        <v>2</v>
      </c>
    </row>
    <row r="1898" spans="3:15" ht="13.5">
      <c r="C1898" s="1463" t="s">
        <v>5690</v>
      </c>
      <c r="D1898" s="1460">
        <v>1</v>
      </c>
      <c r="E1898" s="1460">
        <v>0</v>
      </c>
      <c r="F1898" s="1461">
        <v>1</v>
      </c>
      <c r="G1898" s="1472" t="s">
        <v>5690</v>
      </c>
      <c r="H1898" s="1458">
        <v>1</v>
      </c>
      <c r="I1898" s="1458">
        <v>0</v>
      </c>
      <c r="J1898" s="1473">
        <v>0</v>
      </c>
      <c r="K1898" s="1462"/>
      <c r="L1898" s="1456">
        <v>13215010402</v>
      </c>
      <c r="M1898" s="1457">
        <v>1</v>
      </c>
      <c r="N1898" s="1457">
        <v>0</v>
      </c>
      <c r="O1898" s="1458">
        <v>1</v>
      </c>
    </row>
    <row r="1899" spans="3:15" ht="13.5">
      <c r="C1899" s="1463" t="s">
        <v>5691</v>
      </c>
      <c r="D1899" s="1460">
        <v>1</v>
      </c>
      <c r="E1899" s="1460">
        <v>0</v>
      </c>
      <c r="F1899" s="1461">
        <v>1</v>
      </c>
      <c r="G1899" s="1472" t="s">
        <v>5691</v>
      </c>
      <c r="H1899" s="1458">
        <v>0</v>
      </c>
      <c r="I1899" s="1458">
        <v>1</v>
      </c>
      <c r="J1899" s="1473">
        <v>1</v>
      </c>
      <c r="K1899" s="1462"/>
      <c r="L1899" s="1456">
        <v>13215010501</v>
      </c>
      <c r="M1899" s="1457">
        <v>1</v>
      </c>
      <c r="N1899" s="1457">
        <v>1</v>
      </c>
      <c r="O1899" s="1458">
        <v>1</v>
      </c>
    </row>
    <row r="1900" spans="3:15" ht="13.5">
      <c r="C1900" s="1463" t="s">
        <v>5692</v>
      </c>
      <c r="D1900" s="1460">
        <v>0</v>
      </c>
      <c r="E1900" s="1460">
        <v>0</v>
      </c>
      <c r="F1900" s="1461">
        <v>0</v>
      </c>
      <c r="G1900" s="1472" t="s">
        <v>5692</v>
      </c>
      <c r="H1900" s="1458">
        <v>0</v>
      </c>
      <c r="I1900" s="1458">
        <v>0</v>
      </c>
      <c r="J1900" s="1473">
        <v>0</v>
      </c>
      <c r="K1900" s="1462"/>
      <c r="L1900" s="1456">
        <v>13215010502</v>
      </c>
      <c r="M1900" s="1457">
        <v>0</v>
      </c>
      <c r="N1900" s="1457">
        <v>0</v>
      </c>
      <c r="O1900" s="1458">
        <v>0</v>
      </c>
    </row>
    <row r="1901" spans="3:15" ht="13.5">
      <c r="C1901" s="1463" t="s">
        <v>5693</v>
      </c>
      <c r="D1901" s="1460">
        <v>0</v>
      </c>
      <c r="E1901" s="1460">
        <v>0</v>
      </c>
      <c r="F1901" s="1461">
        <v>0</v>
      </c>
      <c r="G1901" s="1472" t="s">
        <v>5693</v>
      </c>
      <c r="H1901" s="1458">
        <v>0</v>
      </c>
      <c r="I1901" s="1458">
        <v>0</v>
      </c>
      <c r="J1901" s="1473">
        <v>0</v>
      </c>
      <c r="K1901" s="1462"/>
      <c r="L1901" s="1456">
        <v>13215010602</v>
      </c>
      <c r="M1901" s="1457">
        <v>0</v>
      </c>
      <c r="N1901" s="1457">
        <v>0</v>
      </c>
      <c r="O1901" s="1458">
        <v>0</v>
      </c>
    </row>
    <row r="1902" spans="3:15" ht="13.5">
      <c r="C1902" s="1463" t="s">
        <v>5694</v>
      </c>
      <c r="D1902" s="1460">
        <v>0</v>
      </c>
      <c r="E1902" s="1460">
        <v>0</v>
      </c>
      <c r="F1902" s="1461">
        <v>0</v>
      </c>
      <c r="G1902" s="1472" t="s">
        <v>5694</v>
      </c>
      <c r="H1902" s="1458">
        <v>0</v>
      </c>
      <c r="I1902" s="1458">
        <v>1</v>
      </c>
      <c r="J1902" s="1473">
        <v>1</v>
      </c>
      <c r="K1902" s="1462"/>
      <c r="L1902" s="1456">
        <v>13215010605</v>
      </c>
      <c r="M1902" s="1457">
        <v>0</v>
      </c>
      <c r="N1902" s="1457">
        <v>1</v>
      </c>
      <c r="O1902" s="1458">
        <v>1</v>
      </c>
    </row>
    <row r="1903" spans="3:15" ht="13.5">
      <c r="C1903" s="1463" t="s">
        <v>5695</v>
      </c>
      <c r="D1903" s="1460" t="s">
        <v>3911</v>
      </c>
      <c r="E1903" s="1460">
        <v>0</v>
      </c>
      <c r="F1903" s="1461">
        <v>0</v>
      </c>
      <c r="G1903" s="1472" t="s">
        <v>5695</v>
      </c>
      <c r="H1903" s="1458" t="s">
        <v>3911</v>
      </c>
      <c r="I1903" s="1458" t="s">
        <v>3911</v>
      </c>
      <c r="J1903" s="1473">
        <v>0</v>
      </c>
      <c r="K1903" s="1462"/>
      <c r="L1903" s="1456">
        <v>13215010606</v>
      </c>
      <c r="M1903" s="1457">
        <v>0</v>
      </c>
      <c r="N1903" s="1457">
        <v>0</v>
      </c>
      <c r="O1903" s="1458">
        <v>0</v>
      </c>
    </row>
    <row r="1904" spans="3:15" ht="13.5">
      <c r="C1904" s="1463" t="s">
        <v>5696</v>
      </c>
      <c r="D1904" s="1460">
        <v>0</v>
      </c>
      <c r="E1904" s="1460">
        <v>0</v>
      </c>
      <c r="F1904" s="1461">
        <v>0</v>
      </c>
      <c r="G1904" s="1472" t="s">
        <v>5696</v>
      </c>
      <c r="H1904" s="1458">
        <v>0</v>
      </c>
      <c r="I1904" s="1458">
        <v>0</v>
      </c>
      <c r="J1904" s="1473">
        <v>0</v>
      </c>
      <c r="K1904" s="1462"/>
      <c r="L1904" s="1456">
        <v>13215010607</v>
      </c>
      <c r="M1904" s="1457">
        <v>0</v>
      </c>
      <c r="N1904" s="1457">
        <v>0</v>
      </c>
      <c r="O1904" s="1458">
        <v>0</v>
      </c>
    </row>
    <row r="1905" spans="3:15" ht="13.5">
      <c r="C1905" s="1463" t="s">
        <v>5697</v>
      </c>
      <c r="D1905" s="1460">
        <v>0</v>
      </c>
      <c r="E1905" s="1460">
        <v>0</v>
      </c>
      <c r="F1905" s="1461">
        <v>0</v>
      </c>
      <c r="G1905" s="1472" t="s">
        <v>5697</v>
      </c>
      <c r="H1905" s="1458">
        <v>0</v>
      </c>
      <c r="I1905" s="1458">
        <v>0</v>
      </c>
      <c r="J1905" s="1473">
        <v>0</v>
      </c>
      <c r="K1905" s="1462"/>
      <c r="L1905" s="1456">
        <v>13215010608</v>
      </c>
      <c r="M1905" s="1457">
        <v>0</v>
      </c>
      <c r="N1905" s="1457">
        <v>0</v>
      </c>
      <c r="O1905" s="1458">
        <v>0</v>
      </c>
    </row>
    <row r="1906" spans="3:15" ht="13.5">
      <c r="C1906" s="1463" t="s">
        <v>5698</v>
      </c>
      <c r="D1906" s="1460">
        <v>0</v>
      </c>
      <c r="E1906" s="1460">
        <v>0</v>
      </c>
      <c r="F1906" s="1461">
        <v>0</v>
      </c>
      <c r="G1906" s="1472" t="s">
        <v>5698</v>
      </c>
      <c r="H1906" s="1458">
        <v>0</v>
      </c>
      <c r="I1906" s="1458">
        <v>0</v>
      </c>
      <c r="J1906" s="1473">
        <v>0</v>
      </c>
      <c r="K1906" s="1462"/>
      <c r="L1906" s="1456">
        <v>13215010701</v>
      </c>
      <c r="M1906" s="1457">
        <v>0</v>
      </c>
      <c r="N1906" s="1457">
        <v>0</v>
      </c>
      <c r="O1906" s="1458">
        <v>0</v>
      </c>
    </row>
    <row r="1907" spans="3:15" ht="13.5">
      <c r="C1907" s="1463" t="s">
        <v>5699</v>
      </c>
      <c r="D1907" s="1460">
        <v>0</v>
      </c>
      <c r="E1907" s="1460">
        <v>0</v>
      </c>
      <c r="F1907" s="1461">
        <v>0</v>
      </c>
      <c r="G1907" s="1472" t="s">
        <v>5699</v>
      </c>
      <c r="H1907" s="1458">
        <v>1</v>
      </c>
      <c r="I1907" s="1458">
        <v>0</v>
      </c>
      <c r="J1907" s="1473">
        <v>0</v>
      </c>
      <c r="K1907" s="1462"/>
      <c r="L1907" s="1456">
        <v>13215010702</v>
      </c>
      <c r="M1907" s="1457">
        <v>1</v>
      </c>
      <c r="N1907" s="1457">
        <v>0</v>
      </c>
      <c r="O1907" s="1458">
        <v>0</v>
      </c>
    </row>
    <row r="1908" spans="3:15" ht="13.5">
      <c r="C1908" s="1463" t="s">
        <v>5700</v>
      </c>
      <c r="D1908" s="1460">
        <v>0</v>
      </c>
      <c r="E1908" s="1460">
        <v>0</v>
      </c>
      <c r="F1908" s="1461">
        <v>0</v>
      </c>
      <c r="G1908" s="1472" t="s">
        <v>5700</v>
      </c>
      <c r="H1908" s="1458">
        <v>0</v>
      </c>
      <c r="I1908" s="1458">
        <v>0</v>
      </c>
      <c r="J1908" s="1473">
        <v>0</v>
      </c>
      <c r="K1908" s="1462"/>
      <c r="L1908" s="1456">
        <v>13215010703</v>
      </c>
      <c r="M1908" s="1457">
        <v>0</v>
      </c>
      <c r="N1908" s="1457">
        <v>0</v>
      </c>
      <c r="O1908" s="1458">
        <v>0</v>
      </c>
    </row>
    <row r="1909" spans="3:15" ht="13.5">
      <c r="C1909" s="1463" t="s">
        <v>5701</v>
      </c>
      <c r="D1909" s="1460">
        <v>0</v>
      </c>
      <c r="E1909" s="1460">
        <v>1</v>
      </c>
      <c r="F1909" s="1461">
        <v>1</v>
      </c>
      <c r="G1909" s="1472" t="s">
        <v>5701</v>
      </c>
      <c r="H1909" s="1458">
        <v>0</v>
      </c>
      <c r="I1909" s="1458" t="s">
        <v>3911</v>
      </c>
      <c r="J1909" s="1473">
        <v>0</v>
      </c>
      <c r="K1909" s="1462"/>
      <c r="L1909" s="1456">
        <v>13215010801</v>
      </c>
      <c r="M1909" s="1457">
        <v>0</v>
      </c>
      <c r="N1909" s="1457">
        <v>1</v>
      </c>
      <c r="O1909" s="1458">
        <v>1</v>
      </c>
    </row>
    <row r="1910" spans="3:15" ht="13.5">
      <c r="C1910" s="1463" t="s">
        <v>5702</v>
      </c>
      <c r="D1910" s="1460">
        <v>0</v>
      </c>
      <c r="E1910" s="1460">
        <v>1</v>
      </c>
      <c r="F1910" s="1461">
        <v>1</v>
      </c>
      <c r="G1910" s="1472" t="s">
        <v>5702</v>
      </c>
      <c r="H1910" s="1458">
        <v>1</v>
      </c>
      <c r="I1910" s="1458" t="s">
        <v>3911</v>
      </c>
      <c r="J1910" s="1473">
        <v>1</v>
      </c>
      <c r="K1910" s="1462"/>
      <c r="L1910" s="1456">
        <v>13215010802</v>
      </c>
      <c r="M1910" s="1457">
        <v>1</v>
      </c>
      <c r="N1910" s="1457">
        <v>1</v>
      </c>
      <c r="O1910" s="1458">
        <v>1</v>
      </c>
    </row>
    <row r="1911" spans="3:15" ht="13.5">
      <c r="C1911" s="1463" t="s">
        <v>5703</v>
      </c>
      <c r="D1911" s="1460">
        <v>0</v>
      </c>
      <c r="E1911" s="1460">
        <v>0</v>
      </c>
      <c r="F1911" s="1461">
        <v>0</v>
      </c>
      <c r="G1911" s="1472" t="s">
        <v>5703</v>
      </c>
      <c r="H1911" s="1458">
        <v>0</v>
      </c>
      <c r="I1911" s="1458">
        <v>0</v>
      </c>
      <c r="J1911" s="1473">
        <v>0</v>
      </c>
      <c r="K1911" s="1462"/>
      <c r="L1911" s="1456">
        <v>13215011100</v>
      </c>
      <c r="M1911" s="1457">
        <v>0</v>
      </c>
      <c r="N1911" s="1457">
        <v>0</v>
      </c>
      <c r="O1911" s="1458">
        <v>0</v>
      </c>
    </row>
    <row r="1912" spans="3:15" ht="13.5">
      <c r="C1912" s="1463" t="s">
        <v>5704</v>
      </c>
      <c r="D1912" s="1460">
        <v>0</v>
      </c>
      <c r="E1912" s="1460">
        <v>0</v>
      </c>
      <c r="F1912" s="1461">
        <v>0</v>
      </c>
      <c r="G1912" s="1472" t="s">
        <v>5704</v>
      </c>
      <c r="H1912" s="1458">
        <v>0</v>
      </c>
      <c r="I1912" s="1458">
        <v>0</v>
      </c>
      <c r="J1912" s="1473">
        <v>0</v>
      </c>
      <c r="K1912" s="1462"/>
      <c r="L1912" s="1456">
        <v>13215011200</v>
      </c>
      <c r="M1912" s="1457">
        <v>0</v>
      </c>
      <c r="N1912" s="1457">
        <v>0</v>
      </c>
      <c r="O1912" s="1458">
        <v>0</v>
      </c>
    </row>
    <row r="1913" spans="3:15" ht="13.5">
      <c r="C1913" s="1463" t="s">
        <v>5705</v>
      </c>
      <c r="D1913" s="1460">
        <v>0</v>
      </c>
      <c r="E1913" s="1460">
        <v>0</v>
      </c>
      <c r="F1913" s="1461">
        <v>0</v>
      </c>
      <c r="G1913" s="1472" t="s">
        <v>5705</v>
      </c>
      <c r="H1913" s="1458">
        <v>0</v>
      </c>
      <c r="I1913" s="1458">
        <v>0</v>
      </c>
      <c r="J1913" s="1473">
        <v>0</v>
      </c>
      <c r="K1913" s="1462"/>
      <c r="L1913" s="1456">
        <v>13215011400</v>
      </c>
      <c r="M1913" s="1457">
        <v>0</v>
      </c>
      <c r="N1913" s="1457">
        <v>0</v>
      </c>
      <c r="O1913" s="1458">
        <v>0</v>
      </c>
    </row>
    <row r="1914" spans="3:15" ht="13.5">
      <c r="C1914" s="1463" t="s">
        <v>5706</v>
      </c>
      <c r="D1914" s="1460">
        <v>0</v>
      </c>
      <c r="E1914" s="1460">
        <v>0</v>
      </c>
      <c r="F1914" s="1461">
        <v>0</v>
      </c>
      <c r="G1914" s="1472" t="s">
        <v>5706</v>
      </c>
      <c r="H1914" s="1458">
        <v>0</v>
      </c>
      <c r="I1914" s="1458">
        <v>0</v>
      </c>
      <c r="J1914" s="1473">
        <v>0</v>
      </c>
      <c r="K1914" s="1462"/>
      <c r="L1914" s="1456">
        <v>13215011500</v>
      </c>
      <c r="M1914" s="1457">
        <v>0</v>
      </c>
      <c r="N1914" s="1457">
        <v>0</v>
      </c>
      <c r="O1914" s="1458">
        <v>0</v>
      </c>
    </row>
    <row r="1915" spans="3:15" ht="13.5">
      <c r="C1915" s="1463" t="s">
        <v>5707</v>
      </c>
      <c r="D1915" s="1460">
        <v>0</v>
      </c>
      <c r="E1915" s="1460">
        <v>1</v>
      </c>
      <c r="F1915" s="1461">
        <v>1</v>
      </c>
      <c r="G1915" s="1472" t="s">
        <v>5707</v>
      </c>
      <c r="H1915" s="1458">
        <v>0</v>
      </c>
      <c r="I1915" s="1458">
        <v>1</v>
      </c>
      <c r="J1915" s="1473">
        <v>1</v>
      </c>
      <c r="K1915" s="1462"/>
      <c r="L1915" s="1456">
        <v>13217100100</v>
      </c>
      <c r="M1915" s="1457">
        <v>0</v>
      </c>
      <c r="N1915" s="1457">
        <v>1</v>
      </c>
      <c r="O1915" s="1458">
        <v>1</v>
      </c>
    </row>
    <row r="1916" spans="3:15" ht="13.5">
      <c r="C1916" s="1463" t="s">
        <v>5708</v>
      </c>
      <c r="D1916" s="1460">
        <v>1</v>
      </c>
      <c r="E1916" s="1460">
        <v>1</v>
      </c>
      <c r="F1916" s="1461">
        <v>2</v>
      </c>
      <c r="G1916" s="1472" t="s">
        <v>5708</v>
      </c>
      <c r="H1916" s="1458">
        <v>1</v>
      </c>
      <c r="I1916" s="1458">
        <v>1</v>
      </c>
      <c r="J1916" s="1473">
        <v>2</v>
      </c>
      <c r="K1916" s="1462"/>
      <c r="L1916" s="1456">
        <v>13217100201</v>
      </c>
      <c r="M1916" s="1457">
        <v>1</v>
      </c>
      <c r="N1916" s="1457">
        <v>1</v>
      </c>
      <c r="O1916" s="1458">
        <v>2</v>
      </c>
    </row>
    <row r="1917" spans="3:15" ht="13.5">
      <c r="C1917" s="1463" t="s">
        <v>5709</v>
      </c>
      <c r="D1917" s="1460">
        <v>1</v>
      </c>
      <c r="E1917" s="1460">
        <v>1</v>
      </c>
      <c r="F1917" s="1461">
        <v>2</v>
      </c>
      <c r="G1917" s="1472" t="s">
        <v>5709</v>
      </c>
      <c r="H1917" s="1458">
        <v>1</v>
      </c>
      <c r="I1917" s="1458">
        <v>1</v>
      </c>
      <c r="J1917" s="1473">
        <v>2</v>
      </c>
      <c r="K1917" s="1462"/>
      <c r="L1917" s="1456">
        <v>13217100202</v>
      </c>
      <c r="M1917" s="1457">
        <v>1</v>
      </c>
      <c r="N1917" s="1457">
        <v>1</v>
      </c>
      <c r="O1917" s="1458">
        <v>2</v>
      </c>
    </row>
    <row r="1918" spans="3:15" ht="13.5">
      <c r="C1918" s="1463" t="s">
        <v>5710</v>
      </c>
      <c r="D1918" s="1460">
        <v>0</v>
      </c>
      <c r="E1918" s="1460">
        <v>0</v>
      </c>
      <c r="F1918" s="1461">
        <v>0</v>
      </c>
      <c r="G1918" s="1472" t="s">
        <v>5710</v>
      </c>
      <c r="H1918" s="1458">
        <v>0</v>
      </c>
      <c r="I1918" s="1458">
        <v>1</v>
      </c>
      <c r="J1918" s="1473">
        <v>1</v>
      </c>
      <c r="K1918" s="1462"/>
      <c r="L1918" s="1456">
        <v>13217100300</v>
      </c>
      <c r="M1918" s="1457">
        <v>0</v>
      </c>
      <c r="N1918" s="1457">
        <v>1</v>
      </c>
      <c r="O1918" s="1458">
        <v>1</v>
      </c>
    </row>
    <row r="1919" spans="3:15" ht="13.5">
      <c r="C1919" s="1463" t="s">
        <v>5711</v>
      </c>
      <c r="D1919" s="1460">
        <v>0</v>
      </c>
      <c r="E1919" s="1460">
        <v>0</v>
      </c>
      <c r="F1919" s="1461">
        <v>0</v>
      </c>
      <c r="G1919" s="1472" t="s">
        <v>5711</v>
      </c>
      <c r="H1919" s="1458">
        <v>0</v>
      </c>
      <c r="I1919" s="1458">
        <v>0</v>
      </c>
      <c r="J1919" s="1473">
        <v>0</v>
      </c>
      <c r="K1919" s="1462"/>
      <c r="L1919" s="1456">
        <v>13217100400</v>
      </c>
      <c r="M1919" s="1457">
        <v>0</v>
      </c>
      <c r="N1919" s="1457">
        <v>0</v>
      </c>
      <c r="O1919" s="1458">
        <v>0</v>
      </c>
    </row>
    <row r="1920" spans="3:15" ht="13.5">
      <c r="C1920" s="1463" t="s">
        <v>5712</v>
      </c>
      <c r="D1920" s="1460">
        <v>0</v>
      </c>
      <c r="E1920" s="1460">
        <v>0</v>
      </c>
      <c r="F1920" s="1461">
        <v>0</v>
      </c>
      <c r="G1920" s="1472" t="s">
        <v>5712</v>
      </c>
      <c r="H1920" s="1458">
        <v>0</v>
      </c>
      <c r="I1920" s="1458">
        <v>1</v>
      </c>
      <c r="J1920" s="1473">
        <v>1</v>
      </c>
      <c r="K1920" s="1462"/>
      <c r="L1920" s="1456">
        <v>13217100501</v>
      </c>
      <c r="M1920" s="1457">
        <v>0</v>
      </c>
      <c r="N1920" s="1457">
        <v>1</v>
      </c>
      <c r="O1920" s="1458">
        <v>1</v>
      </c>
    </row>
    <row r="1921" spans="3:15" ht="13.5">
      <c r="C1921" s="1463" t="s">
        <v>5713</v>
      </c>
      <c r="D1921" s="1460">
        <v>0</v>
      </c>
      <c r="E1921" s="1460">
        <v>0</v>
      </c>
      <c r="F1921" s="1461">
        <v>0</v>
      </c>
      <c r="G1921" s="1472" t="s">
        <v>5713</v>
      </c>
      <c r="H1921" s="1458">
        <v>0</v>
      </c>
      <c r="I1921" s="1458">
        <v>0</v>
      </c>
      <c r="J1921" s="1473">
        <v>0</v>
      </c>
      <c r="K1921" s="1462"/>
      <c r="L1921" s="1456">
        <v>13217100502</v>
      </c>
      <c r="M1921" s="1457">
        <v>0</v>
      </c>
      <c r="N1921" s="1457">
        <v>0</v>
      </c>
      <c r="O1921" s="1458">
        <v>0</v>
      </c>
    </row>
    <row r="1922" spans="3:15" ht="13.5">
      <c r="C1922" s="1463" t="s">
        <v>5714</v>
      </c>
      <c r="D1922" s="1460">
        <v>0</v>
      </c>
      <c r="E1922" s="1460">
        <v>0</v>
      </c>
      <c r="F1922" s="1461">
        <v>0</v>
      </c>
      <c r="G1922" s="1472" t="s">
        <v>5714</v>
      </c>
      <c r="H1922" s="1458">
        <v>0</v>
      </c>
      <c r="I1922" s="1458">
        <v>0</v>
      </c>
      <c r="J1922" s="1473">
        <v>0</v>
      </c>
      <c r="K1922" s="1462"/>
      <c r="L1922" s="1456">
        <v>13217100600</v>
      </c>
      <c r="M1922" s="1457">
        <v>0</v>
      </c>
      <c r="N1922" s="1457">
        <v>0</v>
      </c>
      <c r="O1922" s="1458">
        <v>0</v>
      </c>
    </row>
    <row r="1923" spans="3:15" ht="13.5">
      <c r="C1923" s="1463" t="s">
        <v>5715</v>
      </c>
      <c r="D1923" s="1460">
        <v>0</v>
      </c>
      <c r="E1923" s="1460">
        <v>0</v>
      </c>
      <c r="F1923" s="1461">
        <v>0</v>
      </c>
      <c r="G1923" s="1472" t="s">
        <v>5715</v>
      </c>
      <c r="H1923" s="1458">
        <v>0</v>
      </c>
      <c r="I1923" s="1458">
        <v>0</v>
      </c>
      <c r="J1923" s="1473">
        <v>0</v>
      </c>
      <c r="K1923" s="1462"/>
      <c r="L1923" s="1456">
        <v>13217100700</v>
      </c>
      <c r="M1923" s="1457">
        <v>0</v>
      </c>
      <c r="N1923" s="1457">
        <v>0</v>
      </c>
      <c r="O1923" s="1458">
        <v>0</v>
      </c>
    </row>
    <row r="1924" spans="3:15" ht="13.5">
      <c r="C1924" s="1463" t="s">
        <v>5716</v>
      </c>
      <c r="D1924" s="1460">
        <v>0</v>
      </c>
      <c r="E1924" s="1460">
        <v>1</v>
      </c>
      <c r="F1924" s="1461">
        <v>1</v>
      </c>
      <c r="G1924" s="1472" t="s">
        <v>5716</v>
      </c>
      <c r="H1924" s="1458">
        <v>0</v>
      </c>
      <c r="I1924" s="1458">
        <v>0</v>
      </c>
      <c r="J1924" s="1473">
        <v>0</v>
      </c>
      <c r="K1924" s="1462"/>
      <c r="L1924" s="1456">
        <v>13217100800</v>
      </c>
      <c r="M1924" s="1457">
        <v>0</v>
      </c>
      <c r="N1924" s="1457">
        <v>1</v>
      </c>
      <c r="O1924" s="1458">
        <v>1</v>
      </c>
    </row>
    <row r="1925" spans="3:15" ht="13.5">
      <c r="C1925" s="1463" t="s">
        <v>5717</v>
      </c>
      <c r="D1925" s="1460">
        <v>0</v>
      </c>
      <c r="E1925" s="1460">
        <v>1</v>
      </c>
      <c r="F1925" s="1461">
        <v>1</v>
      </c>
      <c r="G1925" s="1472" t="s">
        <v>5717</v>
      </c>
      <c r="H1925" s="1458">
        <v>0</v>
      </c>
      <c r="I1925" s="1458">
        <v>1</v>
      </c>
      <c r="J1925" s="1473">
        <v>1</v>
      </c>
      <c r="K1925" s="1462"/>
      <c r="L1925" s="1456">
        <v>13217100901</v>
      </c>
      <c r="M1925" s="1457">
        <v>0</v>
      </c>
      <c r="N1925" s="1457">
        <v>1</v>
      </c>
      <c r="O1925" s="1458">
        <v>1</v>
      </c>
    </row>
    <row r="1926" spans="3:15" ht="13.5">
      <c r="C1926" s="1463" t="s">
        <v>5718</v>
      </c>
      <c r="D1926" s="1460">
        <v>0</v>
      </c>
      <c r="E1926" s="1460">
        <v>0</v>
      </c>
      <c r="F1926" s="1461">
        <v>0</v>
      </c>
      <c r="G1926" s="1472" t="s">
        <v>5718</v>
      </c>
      <c r="H1926" s="1458">
        <v>0</v>
      </c>
      <c r="I1926" s="1458">
        <v>0</v>
      </c>
      <c r="J1926" s="1473">
        <v>0</v>
      </c>
      <c r="K1926" s="1462"/>
      <c r="L1926" s="1456">
        <v>13217100902</v>
      </c>
      <c r="M1926" s="1457">
        <v>0</v>
      </c>
      <c r="N1926" s="1457">
        <v>0</v>
      </c>
      <c r="O1926" s="1458">
        <v>0</v>
      </c>
    </row>
    <row r="1927" spans="3:15" ht="13.5">
      <c r="C1927" s="1463" t="s">
        <v>5719</v>
      </c>
      <c r="D1927" s="1460">
        <v>0</v>
      </c>
      <c r="E1927" s="1460">
        <v>0</v>
      </c>
      <c r="F1927" s="1461">
        <v>0</v>
      </c>
      <c r="G1927" s="1472" t="s">
        <v>5719</v>
      </c>
      <c r="H1927" s="1458">
        <v>0</v>
      </c>
      <c r="I1927" s="1458">
        <v>0</v>
      </c>
      <c r="J1927" s="1473">
        <v>0</v>
      </c>
      <c r="K1927" s="1462"/>
      <c r="L1927" s="1456">
        <v>13217100903</v>
      </c>
      <c r="M1927" s="1457">
        <v>0</v>
      </c>
      <c r="N1927" s="1457">
        <v>0</v>
      </c>
      <c r="O1927" s="1458">
        <v>0</v>
      </c>
    </row>
    <row r="1928" spans="3:15" ht="13.5">
      <c r="C1928" s="1463" t="s">
        <v>5720</v>
      </c>
      <c r="D1928" s="1460">
        <v>1</v>
      </c>
      <c r="E1928" s="1460">
        <v>1</v>
      </c>
      <c r="F1928" s="1461">
        <v>2</v>
      </c>
      <c r="G1928" s="1472" t="s">
        <v>5720</v>
      </c>
      <c r="H1928" s="1458">
        <v>1</v>
      </c>
      <c r="I1928" s="1458">
        <v>1</v>
      </c>
      <c r="J1928" s="1473">
        <v>2</v>
      </c>
      <c r="K1928" s="1462"/>
      <c r="L1928" s="1456">
        <v>13219030100</v>
      </c>
      <c r="M1928" s="1457">
        <v>1</v>
      </c>
      <c r="N1928" s="1457">
        <v>1</v>
      </c>
      <c r="O1928" s="1458">
        <v>2</v>
      </c>
    </row>
    <row r="1929" spans="3:15" ht="13.5">
      <c r="C1929" s="1463" t="s">
        <v>5721</v>
      </c>
      <c r="D1929" s="1460">
        <v>1</v>
      </c>
      <c r="E1929" s="1460">
        <v>1</v>
      </c>
      <c r="F1929" s="1461">
        <v>2</v>
      </c>
      <c r="G1929" s="1472" t="s">
        <v>5721</v>
      </c>
      <c r="H1929" s="1458">
        <v>1</v>
      </c>
      <c r="I1929" s="1458">
        <v>1</v>
      </c>
      <c r="J1929" s="1473">
        <v>2</v>
      </c>
      <c r="K1929" s="1462"/>
      <c r="L1929" s="1456">
        <v>13219030200</v>
      </c>
      <c r="M1929" s="1457">
        <v>1</v>
      </c>
      <c r="N1929" s="1457">
        <v>1</v>
      </c>
      <c r="O1929" s="1458">
        <v>2</v>
      </c>
    </row>
    <row r="1930" spans="3:15" ht="13.5">
      <c r="C1930" s="1463" t="s">
        <v>5722</v>
      </c>
      <c r="D1930" s="1460">
        <v>1</v>
      </c>
      <c r="E1930" s="1460">
        <v>1</v>
      </c>
      <c r="F1930" s="1461">
        <v>2</v>
      </c>
      <c r="G1930" s="1472" t="s">
        <v>5722</v>
      </c>
      <c r="H1930" s="1458">
        <v>1</v>
      </c>
      <c r="I1930" s="1458">
        <v>1</v>
      </c>
      <c r="J1930" s="1473">
        <v>2</v>
      </c>
      <c r="K1930" s="1462"/>
      <c r="L1930" s="1456">
        <v>13219030300</v>
      </c>
      <c r="M1930" s="1457">
        <v>1</v>
      </c>
      <c r="N1930" s="1457">
        <v>1</v>
      </c>
      <c r="O1930" s="1458">
        <v>2</v>
      </c>
    </row>
    <row r="1931" spans="3:15" ht="13.5">
      <c r="C1931" s="1463" t="s">
        <v>5723</v>
      </c>
      <c r="D1931" s="1460">
        <v>1</v>
      </c>
      <c r="E1931" s="1460">
        <v>1</v>
      </c>
      <c r="F1931" s="1461">
        <v>2</v>
      </c>
      <c r="G1931" s="1472" t="s">
        <v>5723</v>
      </c>
      <c r="H1931" s="1458">
        <v>1</v>
      </c>
      <c r="I1931" s="1458">
        <v>1</v>
      </c>
      <c r="J1931" s="1473">
        <v>2</v>
      </c>
      <c r="K1931" s="1462"/>
      <c r="L1931" s="1456">
        <v>13219030400</v>
      </c>
      <c r="M1931" s="1457">
        <v>1</v>
      </c>
      <c r="N1931" s="1457">
        <v>1</v>
      </c>
      <c r="O1931" s="1458">
        <v>2</v>
      </c>
    </row>
    <row r="1932" spans="3:15" ht="13.5">
      <c r="C1932" s="1463" t="s">
        <v>5724</v>
      </c>
      <c r="D1932" s="1460">
        <v>1</v>
      </c>
      <c r="E1932" s="1460">
        <v>1</v>
      </c>
      <c r="F1932" s="1461">
        <v>2</v>
      </c>
      <c r="G1932" s="1472" t="s">
        <v>5724</v>
      </c>
      <c r="H1932" s="1458">
        <v>1</v>
      </c>
      <c r="I1932" s="1458">
        <v>1</v>
      </c>
      <c r="J1932" s="1473">
        <v>2</v>
      </c>
      <c r="K1932" s="1462"/>
      <c r="L1932" s="1456">
        <v>13219030500</v>
      </c>
      <c r="M1932" s="1457">
        <v>1</v>
      </c>
      <c r="N1932" s="1457">
        <v>1</v>
      </c>
      <c r="O1932" s="1458">
        <v>2</v>
      </c>
    </row>
    <row r="1933" spans="3:15" ht="13.5">
      <c r="C1933" s="1463" t="s">
        <v>5725</v>
      </c>
      <c r="D1933" s="1460">
        <v>1</v>
      </c>
      <c r="E1933" s="1460">
        <v>1</v>
      </c>
      <c r="F1933" s="1461">
        <v>2</v>
      </c>
      <c r="G1933" s="1472" t="s">
        <v>5725</v>
      </c>
      <c r="H1933" s="1458">
        <v>1</v>
      </c>
      <c r="I1933" s="1458">
        <v>1</v>
      </c>
      <c r="J1933" s="1473">
        <v>2</v>
      </c>
      <c r="K1933" s="1462"/>
      <c r="L1933" s="1456">
        <v>13219030600</v>
      </c>
      <c r="M1933" s="1457">
        <v>1</v>
      </c>
      <c r="N1933" s="1457">
        <v>1</v>
      </c>
      <c r="O1933" s="1458">
        <v>2</v>
      </c>
    </row>
    <row r="1934" spans="3:15" ht="13.5">
      <c r="C1934" s="1463" t="s">
        <v>5726</v>
      </c>
      <c r="D1934" s="1460">
        <v>0</v>
      </c>
      <c r="E1934" s="1460">
        <v>0</v>
      </c>
      <c r="F1934" s="1461">
        <v>0</v>
      </c>
      <c r="G1934" s="1472" t="s">
        <v>5726</v>
      </c>
      <c r="H1934" s="1458">
        <v>0</v>
      </c>
      <c r="I1934" s="1458">
        <v>0</v>
      </c>
      <c r="J1934" s="1473">
        <v>0</v>
      </c>
      <c r="K1934" s="1462"/>
      <c r="L1934" s="1456">
        <v>13221960100</v>
      </c>
      <c r="M1934" s="1457">
        <v>0</v>
      </c>
      <c r="N1934" s="1457">
        <v>0</v>
      </c>
      <c r="O1934" s="1458">
        <v>0</v>
      </c>
    </row>
    <row r="1935" spans="3:15" ht="13.5">
      <c r="C1935" s="1463" t="s">
        <v>5727</v>
      </c>
      <c r="D1935" s="1460">
        <v>1</v>
      </c>
      <c r="E1935" s="1460">
        <v>1</v>
      </c>
      <c r="F1935" s="1461">
        <v>2</v>
      </c>
      <c r="G1935" s="1472" t="s">
        <v>5727</v>
      </c>
      <c r="H1935" s="1458">
        <v>1</v>
      </c>
      <c r="I1935" s="1458">
        <v>1</v>
      </c>
      <c r="J1935" s="1473">
        <v>2</v>
      </c>
      <c r="K1935" s="1462"/>
      <c r="L1935" s="1456">
        <v>13221960201</v>
      </c>
      <c r="M1935" s="1457">
        <v>1</v>
      </c>
      <c r="N1935" s="1457">
        <v>1</v>
      </c>
      <c r="O1935" s="1458">
        <v>2</v>
      </c>
    </row>
    <row r="1936" spans="3:15" ht="13.5">
      <c r="C1936" s="1463" t="s">
        <v>5728</v>
      </c>
      <c r="D1936" s="1460">
        <v>0</v>
      </c>
      <c r="E1936" s="1460">
        <v>0</v>
      </c>
      <c r="F1936" s="1461">
        <v>0</v>
      </c>
      <c r="G1936" s="1472" t="s">
        <v>5728</v>
      </c>
      <c r="H1936" s="1458">
        <v>0</v>
      </c>
      <c r="I1936" s="1458">
        <v>1</v>
      </c>
      <c r="J1936" s="1473">
        <v>1</v>
      </c>
      <c r="K1936" s="1462"/>
      <c r="L1936" s="1456">
        <v>13221960202</v>
      </c>
      <c r="M1936" s="1457">
        <v>0</v>
      </c>
      <c r="N1936" s="1457">
        <v>1</v>
      </c>
      <c r="O1936" s="1458">
        <v>1</v>
      </c>
    </row>
    <row r="1937" spans="3:15" ht="13.5">
      <c r="C1937" s="1463" t="s">
        <v>5729</v>
      </c>
      <c r="D1937" s="1460">
        <v>0</v>
      </c>
      <c r="E1937" s="1460">
        <v>0</v>
      </c>
      <c r="F1937" s="1461">
        <v>0</v>
      </c>
      <c r="G1937" s="1472" t="s">
        <v>5729</v>
      </c>
      <c r="H1937" s="1458">
        <v>0</v>
      </c>
      <c r="I1937" s="1458">
        <v>0</v>
      </c>
      <c r="J1937" s="1473">
        <v>0</v>
      </c>
      <c r="K1937" s="1462"/>
      <c r="L1937" s="1456">
        <v>13221960300</v>
      </c>
      <c r="M1937" s="1457">
        <v>0</v>
      </c>
      <c r="N1937" s="1457">
        <v>0</v>
      </c>
      <c r="O1937" s="1458">
        <v>0</v>
      </c>
    </row>
    <row r="1938" spans="3:15" ht="13.5">
      <c r="C1938" s="1463" t="s">
        <v>5730</v>
      </c>
      <c r="D1938" s="1460">
        <v>1</v>
      </c>
      <c r="E1938" s="1460">
        <v>1</v>
      </c>
      <c r="F1938" s="1461">
        <v>2</v>
      </c>
      <c r="G1938" s="1472" t="s">
        <v>5730</v>
      </c>
      <c r="H1938" s="1458">
        <v>1</v>
      </c>
      <c r="I1938" s="1458">
        <v>1</v>
      </c>
      <c r="J1938" s="1473">
        <v>2</v>
      </c>
      <c r="K1938" s="1462"/>
      <c r="L1938" s="1456">
        <v>13223120101</v>
      </c>
      <c r="M1938" s="1457">
        <v>1</v>
      </c>
      <c r="N1938" s="1457">
        <v>1</v>
      </c>
      <c r="O1938" s="1458">
        <v>2</v>
      </c>
    </row>
    <row r="1939" spans="3:15" ht="13.5">
      <c r="C1939" s="1463" t="s">
        <v>5731</v>
      </c>
      <c r="D1939" s="1460">
        <v>1</v>
      </c>
      <c r="E1939" s="1460">
        <v>1</v>
      </c>
      <c r="F1939" s="1461">
        <v>2</v>
      </c>
      <c r="G1939" s="1472" t="s">
        <v>5731</v>
      </c>
      <c r="H1939" s="1458">
        <v>1</v>
      </c>
      <c r="I1939" s="1458">
        <v>1</v>
      </c>
      <c r="J1939" s="1473">
        <v>2</v>
      </c>
      <c r="K1939" s="1462"/>
      <c r="L1939" s="1456">
        <v>13223120102</v>
      </c>
      <c r="M1939" s="1457">
        <v>1</v>
      </c>
      <c r="N1939" s="1457">
        <v>1</v>
      </c>
      <c r="O1939" s="1458">
        <v>2</v>
      </c>
    </row>
    <row r="1940" spans="3:15" ht="13.5">
      <c r="C1940" s="1463" t="s">
        <v>5732</v>
      </c>
      <c r="D1940" s="1460">
        <v>1</v>
      </c>
      <c r="E1940" s="1460">
        <v>1</v>
      </c>
      <c r="F1940" s="1461">
        <v>2</v>
      </c>
      <c r="G1940" s="1472" t="s">
        <v>5732</v>
      </c>
      <c r="H1940" s="1458">
        <v>1</v>
      </c>
      <c r="I1940" s="1458" t="s">
        <v>3911</v>
      </c>
      <c r="J1940" s="1473">
        <v>1</v>
      </c>
      <c r="K1940" s="1462"/>
      <c r="L1940" s="1456">
        <v>13223120103</v>
      </c>
      <c r="M1940" s="1457">
        <v>1</v>
      </c>
      <c r="N1940" s="1457">
        <v>1</v>
      </c>
      <c r="O1940" s="1458">
        <v>2</v>
      </c>
    </row>
    <row r="1941" spans="3:15" ht="13.5">
      <c r="C1941" s="1463" t="s">
        <v>5733</v>
      </c>
      <c r="D1941" s="1460">
        <v>1</v>
      </c>
      <c r="E1941" s="1460">
        <v>1</v>
      </c>
      <c r="F1941" s="1461">
        <v>2</v>
      </c>
      <c r="G1941" s="1472" t="s">
        <v>5733</v>
      </c>
      <c r="H1941" s="1458">
        <v>1</v>
      </c>
      <c r="I1941" s="1458" t="s">
        <v>3911</v>
      </c>
      <c r="J1941" s="1473">
        <v>1</v>
      </c>
      <c r="K1941" s="1462"/>
      <c r="L1941" s="1456">
        <v>13223120104</v>
      </c>
      <c r="M1941" s="1457">
        <v>1</v>
      </c>
      <c r="N1941" s="1457">
        <v>1</v>
      </c>
      <c r="O1941" s="1458">
        <v>2</v>
      </c>
    </row>
    <row r="1942" spans="3:15" ht="13.5">
      <c r="C1942" s="1463" t="s">
        <v>5734</v>
      </c>
      <c r="D1942" s="1460">
        <v>1</v>
      </c>
      <c r="E1942" s="1460">
        <v>1</v>
      </c>
      <c r="F1942" s="1461">
        <v>2</v>
      </c>
      <c r="G1942" s="1472" t="s">
        <v>5734</v>
      </c>
      <c r="H1942" s="1458">
        <v>1</v>
      </c>
      <c r="I1942" s="1458">
        <v>1</v>
      </c>
      <c r="J1942" s="1473">
        <v>2</v>
      </c>
      <c r="K1942" s="1462"/>
      <c r="L1942" s="1456">
        <v>13223120202</v>
      </c>
      <c r="M1942" s="1457">
        <v>1</v>
      </c>
      <c r="N1942" s="1457">
        <v>1</v>
      </c>
      <c r="O1942" s="1458">
        <v>2</v>
      </c>
    </row>
    <row r="1943" spans="3:15" ht="13.5">
      <c r="C1943" s="1463" t="s">
        <v>5735</v>
      </c>
      <c r="D1943" s="1460">
        <v>1</v>
      </c>
      <c r="E1943" s="1460">
        <v>1</v>
      </c>
      <c r="F1943" s="1461">
        <v>2</v>
      </c>
      <c r="G1943" s="1472" t="s">
        <v>5735</v>
      </c>
      <c r="H1943" s="1458">
        <v>1</v>
      </c>
      <c r="I1943" s="1458">
        <v>1</v>
      </c>
      <c r="J1943" s="1473">
        <v>2</v>
      </c>
      <c r="K1943" s="1462"/>
      <c r="L1943" s="1456">
        <v>13223120203</v>
      </c>
      <c r="M1943" s="1457">
        <v>1</v>
      </c>
      <c r="N1943" s="1457">
        <v>1</v>
      </c>
      <c r="O1943" s="1458">
        <v>2</v>
      </c>
    </row>
    <row r="1944" spans="3:15" ht="13.5">
      <c r="C1944" s="1463" t="s">
        <v>5736</v>
      </c>
      <c r="D1944" s="1460">
        <v>1</v>
      </c>
      <c r="E1944" s="1460">
        <v>1</v>
      </c>
      <c r="F1944" s="1461">
        <v>2</v>
      </c>
      <c r="G1944" s="1472" t="s">
        <v>5736</v>
      </c>
      <c r="H1944" s="1458">
        <v>1</v>
      </c>
      <c r="I1944" s="1458">
        <v>1</v>
      </c>
      <c r="J1944" s="1473">
        <v>2</v>
      </c>
      <c r="K1944" s="1462"/>
      <c r="L1944" s="1456">
        <v>13223120204</v>
      </c>
      <c r="M1944" s="1457">
        <v>1</v>
      </c>
      <c r="N1944" s="1457">
        <v>1</v>
      </c>
      <c r="O1944" s="1458">
        <v>2</v>
      </c>
    </row>
    <row r="1945" spans="3:15" ht="13.5">
      <c r="C1945" s="1463" t="s">
        <v>5737</v>
      </c>
      <c r="D1945" s="1460">
        <v>1</v>
      </c>
      <c r="E1945" s="1460">
        <v>0</v>
      </c>
      <c r="F1945" s="1461">
        <v>1</v>
      </c>
      <c r="G1945" s="1472" t="s">
        <v>5737</v>
      </c>
      <c r="H1945" s="1458">
        <v>1</v>
      </c>
      <c r="I1945" s="1458">
        <v>1</v>
      </c>
      <c r="J1945" s="1473">
        <v>2</v>
      </c>
      <c r="K1945" s="1462"/>
      <c r="L1945" s="1456">
        <v>13223120301</v>
      </c>
      <c r="M1945" s="1457">
        <v>1</v>
      </c>
      <c r="N1945" s="1457">
        <v>1</v>
      </c>
      <c r="O1945" s="1458">
        <v>2</v>
      </c>
    </row>
    <row r="1946" spans="3:15" ht="13.5">
      <c r="C1946" s="1463" t="s">
        <v>5738</v>
      </c>
      <c r="D1946" s="1460">
        <v>1</v>
      </c>
      <c r="E1946" s="1460">
        <v>0</v>
      </c>
      <c r="F1946" s="1461">
        <v>1</v>
      </c>
      <c r="G1946" s="1472" t="s">
        <v>5738</v>
      </c>
      <c r="H1946" s="1458">
        <v>1</v>
      </c>
      <c r="I1946" s="1458">
        <v>0</v>
      </c>
      <c r="J1946" s="1473">
        <v>1</v>
      </c>
      <c r="K1946" s="1462"/>
      <c r="L1946" s="1456">
        <v>13223120302</v>
      </c>
      <c r="M1946" s="1457">
        <v>1</v>
      </c>
      <c r="N1946" s="1457">
        <v>0</v>
      </c>
      <c r="O1946" s="1458">
        <v>1</v>
      </c>
    </row>
    <row r="1947" spans="3:15" ht="13.5">
      <c r="C1947" s="1463" t="s">
        <v>5739</v>
      </c>
      <c r="D1947" s="1460">
        <v>1</v>
      </c>
      <c r="E1947" s="1460">
        <v>1</v>
      </c>
      <c r="F1947" s="1461">
        <v>2</v>
      </c>
      <c r="G1947" s="1472" t="s">
        <v>5739</v>
      </c>
      <c r="H1947" s="1458">
        <v>0</v>
      </c>
      <c r="I1947" s="1458">
        <v>0</v>
      </c>
      <c r="J1947" s="1473">
        <v>0</v>
      </c>
      <c r="K1947" s="1462"/>
      <c r="L1947" s="1456">
        <v>13223120303</v>
      </c>
      <c r="M1947" s="1457">
        <v>1</v>
      </c>
      <c r="N1947" s="1457">
        <v>1</v>
      </c>
      <c r="O1947" s="1458">
        <v>2</v>
      </c>
    </row>
    <row r="1948" spans="3:15" ht="13.5">
      <c r="C1948" s="1463" t="s">
        <v>5740</v>
      </c>
      <c r="D1948" s="1460">
        <v>0</v>
      </c>
      <c r="E1948" s="1460">
        <v>1</v>
      </c>
      <c r="F1948" s="1461">
        <v>1</v>
      </c>
      <c r="G1948" s="1472" t="s">
        <v>5740</v>
      </c>
      <c r="H1948" s="1458">
        <v>1</v>
      </c>
      <c r="I1948" s="1458">
        <v>1</v>
      </c>
      <c r="J1948" s="1473">
        <v>2</v>
      </c>
      <c r="K1948" s="1462"/>
      <c r="L1948" s="1456">
        <v>13223120400</v>
      </c>
      <c r="M1948" s="1457">
        <v>1</v>
      </c>
      <c r="N1948" s="1457">
        <v>1</v>
      </c>
      <c r="O1948" s="1458">
        <v>2</v>
      </c>
    </row>
    <row r="1949" spans="3:15" ht="13.5">
      <c r="C1949" s="1463" t="s">
        <v>5741</v>
      </c>
      <c r="D1949" s="1460">
        <v>1</v>
      </c>
      <c r="E1949" s="1460">
        <v>1</v>
      </c>
      <c r="F1949" s="1461">
        <v>2</v>
      </c>
      <c r="G1949" s="1472" t="s">
        <v>5741</v>
      </c>
      <c r="H1949" s="1458">
        <v>1</v>
      </c>
      <c r="I1949" s="1458">
        <v>1</v>
      </c>
      <c r="J1949" s="1473">
        <v>1</v>
      </c>
      <c r="K1949" s="1462"/>
      <c r="L1949" s="1456">
        <v>13223120501</v>
      </c>
      <c r="M1949" s="1457">
        <v>1</v>
      </c>
      <c r="N1949" s="1457">
        <v>1</v>
      </c>
      <c r="O1949" s="1458">
        <v>2</v>
      </c>
    </row>
    <row r="1950" spans="3:15" ht="13.5">
      <c r="C1950" s="1463" t="s">
        <v>5742</v>
      </c>
      <c r="D1950" s="1460">
        <v>1</v>
      </c>
      <c r="E1950" s="1460">
        <v>1</v>
      </c>
      <c r="F1950" s="1461">
        <v>2</v>
      </c>
      <c r="G1950" s="1472" t="s">
        <v>5742</v>
      </c>
      <c r="H1950" s="1458">
        <v>1</v>
      </c>
      <c r="I1950" s="1458">
        <v>0</v>
      </c>
      <c r="J1950" s="1473">
        <v>1</v>
      </c>
      <c r="K1950" s="1462"/>
      <c r="L1950" s="1456">
        <v>13223120502</v>
      </c>
      <c r="M1950" s="1457">
        <v>1</v>
      </c>
      <c r="N1950" s="1457">
        <v>1</v>
      </c>
      <c r="O1950" s="1458">
        <v>2</v>
      </c>
    </row>
    <row r="1951" spans="3:15" ht="13.5">
      <c r="C1951" s="1463" t="s">
        <v>5743</v>
      </c>
      <c r="D1951" s="1460">
        <v>1</v>
      </c>
      <c r="E1951" s="1460">
        <v>1</v>
      </c>
      <c r="F1951" s="1461">
        <v>2</v>
      </c>
      <c r="G1951" s="1472" t="s">
        <v>5743</v>
      </c>
      <c r="H1951" s="1458">
        <v>0</v>
      </c>
      <c r="I1951" s="1458">
        <v>1</v>
      </c>
      <c r="J1951" s="1473">
        <v>1</v>
      </c>
      <c r="K1951" s="1462"/>
      <c r="L1951" s="1456">
        <v>13223120503</v>
      </c>
      <c r="M1951" s="1457">
        <v>1</v>
      </c>
      <c r="N1951" s="1457">
        <v>1</v>
      </c>
      <c r="O1951" s="1458">
        <v>2</v>
      </c>
    </row>
    <row r="1952" spans="3:15" ht="13.5">
      <c r="C1952" s="1463" t="s">
        <v>5744</v>
      </c>
      <c r="D1952" s="1460">
        <v>1</v>
      </c>
      <c r="E1952" s="1460">
        <v>1</v>
      </c>
      <c r="F1952" s="1461">
        <v>2</v>
      </c>
      <c r="G1952" s="1472" t="s">
        <v>5744</v>
      </c>
      <c r="H1952" s="1458">
        <v>1</v>
      </c>
      <c r="I1952" s="1458">
        <v>0</v>
      </c>
      <c r="J1952" s="1473">
        <v>1</v>
      </c>
      <c r="K1952" s="1462"/>
      <c r="L1952" s="1456">
        <v>13223120601</v>
      </c>
      <c r="M1952" s="1457">
        <v>1</v>
      </c>
      <c r="N1952" s="1457">
        <v>1</v>
      </c>
      <c r="O1952" s="1458">
        <v>2</v>
      </c>
    </row>
    <row r="1953" spans="3:15" ht="13.5">
      <c r="C1953" s="1463" t="s">
        <v>5745</v>
      </c>
      <c r="D1953" s="1460">
        <v>1</v>
      </c>
      <c r="E1953" s="1460">
        <v>1</v>
      </c>
      <c r="F1953" s="1461">
        <v>2</v>
      </c>
      <c r="G1953" s="1472" t="s">
        <v>5745</v>
      </c>
      <c r="H1953" s="1458">
        <v>1</v>
      </c>
      <c r="I1953" s="1458" t="s">
        <v>3911</v>
      </c>
      <c r="J1953" s="1473">
        <v>1</v>
      </c>
      <c r="K1953" s="1462"/>
      <c r="L1953" s="1456">
        <v>13223120602</v>
      </c>
      <c r="M1953" s="1457">
        <v>1</v>
      </c>
      <c r="N1953" s="1457">
        <v>1</v>
      </c>
      <c r="O1953" s="1458">
        <v>2</v>
      </c>
    </row>
    <row r="1954" spans="3:15" ht="13.5">
      <c r="C1954" s="1463" t="s">
        <v>5746</v>
      </c>
      <c r="D1954" s="1460">
        <v>1</v>
      </c>
      <c r="E1954" s="1460">
        <v>1</v>
      </c>
      <c r="F1954" s="1461">
        <v>2</v>
      </c>
      <c r="G1954" s="1472" t="s">
        <v>5746</v>
      </c>
      <c r="H1954" s="1458">
        <v>0</v>
      </c>
      <c r="I1954" s="1458">
        <v>1</v>
      </c>
      <c r="J1954" s="1473">
        <v>1</v>
      </c>
      <c r="K1954" s="1462"/>
      <c r="L1954" s="1456">
        <v>13223120603</v>
      </c>
      <c r="M1954" s="1457">
        <v>1</v>
      </c>
      <c r="N1954" s="1457">
        <v>1</v>
      </c>
      <c r="O1954" s="1458">
        <v>2</v>
      </c>
    </row>
    <row r="1955" spans="3:15" ht="13.5">
      <c r="C1955" s="1463" t="s">
        <v>5747</v>
      </c>
      <c r="D1955" s="1460">
        <v>1</v>
      </c>
      <c r="E1955" s="1460">
        <v>1</v>
      </c>
      <c r="F1955" s="1461">
        <v>2</v>
      </c>
      <c r="G1955" s="1472" t="s">
        <v>5747</v>
      </c>
      <c r="H1955" s="1458">
        <v>1</v>
      </c>
      <c r="I1955" s="1458">
        <v>1</v>
      </c>
      <c r="J1955" s="1473">
        <v>2</v>
      </c>
      <c r="K1955" s="1462"/>
      <c r="L1955" s="1456">
        <v>13223120604</v>
      </c>
      <c r="M1955" s="1457">
        <v>1</v>
      </c>
      <c r="N1955" s="1457">
        <v>1</v>
      </c>
      <c r="O1955" s="1458">
        <v>2</v>
      </c>
    </row>
    <row r="1956" spans="3:15" ht="13.5">
      <c r="C1956" s="1463" t="s">
        <v>5748</v>
      </c>
      <c r="D1956" s="1460">
        <v>1</v>
      </c>
      <c r="E1956" s="1460">
        <v>1</v>
      </c>
      <c r="F1956" s="1461">
        <v>2</v>
      </c>
      <c r="G1956" s="1472" t="s">
        <v>5748</v>
      </c>
      <c r="H1956" s="1458">
        <v>1</v>
      </c>
      <c r="I1956" s="1458">
        <v>0</v>
      </c>
      <c r="J1956" s="1473">
        <v>1</v>
      </c>
      <c r="K1956" s="1462"/>
      <c r="L1956" s="1456">
        <v>13223120605</v>
      </c>
      <c r="M1956" s="1457">
        <v>1</v>
      </c>
      <c r="N1956" s="1457">
        <v>1</v>
      </c>
      <c r="O1956" s="1458">
        <v>2</v>
      </c>
    </row>
    <row r="1957" spans="3:15" ht="13.5">
      <c r="C1957" s="1463" t="s">
        <v>5749</v>
      </c>
      <c r="D1957" s="1460">
        <v>1</v>
      </c>
      <c r="E1957" s="1460">
        <v>1</v>
      </c>
      <c r="F1957" s="1461">
        <v>2</v>
      </c>
      <c r="G1957" s="1472" t="s">
        <v>5749</v>
      </c>
      <c r="H1957" s="1458">
        <v>1</v>
      </c>
      <c r="I1957" s="1458">
        <v>1</v>
      </c>
      <c r="J1957" s="1473">
        <v>2</v>
      </c>
      <c r="K1957" s="1462"/>
      <c r="L1957" s="1456">
        <v>13225040101</v>
      </c>
      <c r="M1957" s="1457">
        <v>1</v>
      </c>
      <c r="N1957" s="1457">
        <v>1</v>
      </c>
      <c r="O1957" s="1458">
        <v>2</v>
      </c>
    </row>
    <row r="1958" spans="3:15" ht="13.5">
      <c r="C1958" s="1463" t="s">
        <v>5750</v>
      </c>
      <c r="D1958" s="1460">
        <v>1</v>
      </c>
      <c r="E1958" s="1460">
        <v>1</v>
      </c>
      <c r="F1958" s="1461">
        <v>2</v>
      </c>
      <c r="G1958" s="1472" t="s">
        <v>5750</v>
      </c>
      <c r="H1958" s="1458">
        <v>0</v>
      </c>
      <c r="I1958" s="1458">
        <v>1</v>
      </c>
      <c r="J1958" s="1473">
        <v>1</v>
      </c>
      <c r="K1958" s="1462"/>
      <c r="L1958" s="1456">
        <v>13225040102</v>
      </c>
      <c r="M1958" s="1457">
        <v>1</v>
      </c>
      <c r="N1958" s="1457">
        <v>1</v>
      </c>
      <c r="O1958" s="1458">
        <v>2</v>
      </c>
    </row>
    <row r="1959" spans="3:15" ht="13.5">
      <c r="C1959" s="1463" t="s">
        <v>5751</v>
      </c>
      <c r="D1959" s="1460">
        <v>0</v>
      </c>
      <c r="E1959" s="1460">
        <v>0</v>
      </c>
      <c r="F1959" s="1461">
        <v>0</v>
      </c>
      <c r="G1959" s="1472" t="s">
        <v>5751</v>
      </c>
      <c r="H1959" s="1458">
        <v>0</v>
      </c>
      <c r="I1959" s="1458">
        <v>0</v>
      </c>
      <c r="J1959" s="1473">
        <v>0</v>
      </c>
      <c r="K1959" s="1462"/>
      <c r="L1959" s="1456">
        <v>13225040200</v>
      </c>
      <c r="M1959" s="1457">
        <v>0</v>
      </c>
      <c r="N1959" s="1457">
        <v>0</v>
      </c>
      <c r="O1959" s="1458">
        <v>0</v>
      </c>
    </row>
    <row r="1960" spans="3:15" ht="13.5">
      <c r="C1960" s="1463" t="s">
        <v>5752</v>
      </c>
      <c r="D1960" s="1460">
        <v>1</v>
      </c>
      <c r="E1960" s="1460">
        <v>0</v>
      </c>
      <c r="F1960" s="1461">
        <v>1</v>
      </c>
      <c r="G1960" s="1472" t="s">
        <v>5752</v>
      </c>
      <c r="H1960" s="1458">
        <v>0</v>
      </c>
      <c r="I1960" s="1458">
        <v>0</v>
      </c>
      <c r="J1960" s="1473">
        <v>0</v>
      </c>
      <c r="K1960" s="1462"/>
      <c r="L1960" s="1456">
        <v>13225040301</v>
      </c>
      <c r="M1960" s="1457">
        <v>1</v>
      </c>
      <c r="N1960" s="1457">
        <v>0</v>
      </c>
      <c r="O1960" s="1458">
        <v>1</v>
      </c>
    </row>
    <row r="1961" spans="3:15" ht="13.5">
      <c r="C1961" s="1463" t="s">
        <v>5753</v>
      </c>
      <c r="D1961" s="1460">
        <v>0</v>
      </c>
      <c r="E1961" s="1460">
        <v>0</v>
      </c>
      <c r="F1961" s="1461">
        <v>0</v>
      </c>
      <c r="G1961" s="1472" t="s">
        <v>5753</v>
      </c>
      <c r="H1961" s="1458">
        <v>0</v>
      </c>
      <c r="I1961" s="1458">
        <v>0</v>
      </c>
      <c r="J1961" s="1473">
        <v>0</v>
      </c>
      <c r="K1961" s="1462"/>
      <c r="L1961" s="1456">
        <v>13225040302</v>
      </c>
      <c r="M1961" s="1457">
        <v>0</v>
      </c>
      <c r="N1961" s="1457">
        <v>0</v>
      </c>
      <c r="O1961" s="1458">
        <v>0</v>
      </c>
    </row>
    <row r="1962" spans="3:15" ht="13.5">
      <c r="C1962" s="1463" t="s">
        <v>5754</v>
      </c>
      <c r="D1962" s="1460">
        <v>0</v>
      </c>
      <c r="E1962" s="1460">
        <v>0</v>
      </c>
      <c r="F1962" s="1461">
        <v>0</v>
      </c>
      <c r="G1962" s="1472" t="s">
        <v>5754</v>
      </c>
      <c r="H1962" s="1458">
        <v>0</v>
      </c>
      <c r="I1962" s="1458" t="s">
        <v>3911</v>
      </c>
      <c r="J1962" s="1473">
        <v>0</v>
      </c>
      <c r="K1962" s="1462"/>
      <c r="L1962" s="1456">
        <v>13225040400</v>
      </c>
      <c r="M1962" s="1457">
        <v>0</v>
      </c>
      <c r="N1962" s="1457">
        <v>0</v>
      </c>
      <c r="O1962" s="1458">
        <v>0</v>
      </c>
    </row>
    <row r="1963" spans="3:15" ht="13.5">
      <c r="C1963" s="1463" t="s">
        <v>5755</v>
      </c>
      <c r="D1963" s="1460">
        <v>1</v>
      </c>
      <c r="E1963" s="1460">
        <v>1</v>
      </c>
      <c r="F1963" s="1461">
        <v>2</v>
      </c>
      <c r="G1963" s="1472" t="s">
        <v>5755</v>
      </c>
      <c r="H1963" s="1458">
        <v>1</v>
      </c>
      <c r="I1963" s="1458">
        <v>1</v>
      </c>
      <c r="J1963" s="1473">
        <v>2</v>
      </c>
      <c r="K1963" s="1462"/>
      <c r="L1963" s="1456">
        <v>13227050100</v>
      </c>
      <c r="M1963" s="1457">
        <v>1</v>
      </c>
      <c r="N1963" s="1457">
        <v>1</v>
      </c>
      <c r="O1963" s="1458">
        <v>2</v>
      </c>
    </row>
    <row r="1964" spans="3:15" ht="13.5">
      <c r="C1964" s="1463" t="s">
        <v>5756</v>
      </c>
      <c r="D1964" s="1460">
        <v>0</v>
      </c>
      <c r="E1964" s="1460">
        <v>0</v>
      </c>
      <c r="F1964" s="1461">
        <v>0</v>
      </c>
      <c r="G1964" s="1472" t="s">
        <v>5756</v>
      </c>
      <c r="H1964" s="1458">
        <v>0</v>
      </c>
      <c r="I1964" s="1458">
        <v>0</v>
      </c>
      <c r="J1964" s="1473">
        <v>0</v>
      </c>
      <c r="K1964" s="1462"/>
      <c r="L1964" s="1456">
        <v>13227050200</v>
      </c>
      <c r="M1964" s="1457">
        <v>0</v>
      </c>
      <c r="N1964" s="1457">
        <v>0</v>
      </c>
      <c r="O1964" s="1458">
        <v>0</v>
      </c>
    </row>
    <row r="1965" spans="3:15" ht="13.5">
      <c r="C1965" s="1463" t="s">
        <v>5757</v>
      </c>
      <c r="D1965" s="1460">
        <v>0</v>
      </c>
      <c r="E1965" s="1460">
        <v>1</v>
      </c>
      <c r="F1965" s="1461">
        <v>1</v>
      </c>
      <c r="G1965" s="1472" t="s">
        <v>5757</v>
      </c>
      <c r="H1965" s="1458">
        <v>0</v>
      </c>
      <c r="I1965" s="1458">
        <v>0</v>
      </c>
      <c r="J1965" s="1473">
        <v>0</v>
      </c>
      <c r="K1965" s="1462"/>
      <c r="L1965" s="1456">
        <v>13227050300</v>
      </c>
      <c r="M1965" s="1457">
        <v>0</v>
      </c>
      <c r="N1965" s="1457">
        <v>1</v>
      </c>
      <c r="O1965" s="1458">
        <v>1</v>
      </c>
    </row>
    <row r="1966" spans="3:15" ht="13.5">
      <c r="C1966" s="1463" t="s">
        <v>5758</v>
      </c>
      <c r="D1966" s="1460">
        <v>0</v>
      </c>
      <c r="E1966" s="1460">
        <v>0</v>
      </c>
      <c r="F1966" s="1461">
        <v>0</v>
      </c>
      <c r="G1966" s="1472" t="s">
        <v>5758</v>
      </c>
      <c r="H1966" s="1458">
        <v>0</v>
      </c>
      <c r="I1966" s="1458">
        <v>1</v>
      </c>
      <c r="J1966" s="1473">
        <v>1</v>
      </c>
      <c r="K1966" s="1462"/>
      <c r="L1966" s="1456">
        <v>13227050400</v>
      </c>
      <c r="M1966" s="1457">
        <v>0</v>
      </c>
      <c r="N1966" s="1457">
        <v>1</v>
      </c>
      <c r="O1966" s="1458">
        <v>1</v>
      </c>
    </row>
    <row r="1967" spans="3:15" ht="13.5">
      <c r="C1967" s="1463" t="s">
        <v>5759</v>
      </c>
      <c r="D1967" s="1460">
        <v>1</v>
      </c>
      <c r="E1967" s="1460">
        <v>1</v>
      </c>
      <c r="F1967" s="1461">
        <v>2</v>
      </c>
      <c r="G1967" s="1472" t="s">
        <v>5759</v>
      </c>
      <c r="H1967" s="1458">
        <v>0</v>
      </c>
      <c r="I1967" s="1458">
        <v>0</v>
      </c>
      <c r="J1967" s="1473">
        <v>0</v>
      </c>
      <c r="K1967" s="1462"/>
      <c r="L1967" s="1456">
        <v>13227050500</v>
      </c>
      <c r="M1967" s="1457">
        <v>1</v>
      </c>
      <c r="N1967" s="1457">
        <v>1</v>
      </c>
      <c r="O1967" s="1458">
        <v>2</v>
      </c>
    </row>
    <row r="1968" spans="3:15" ht="13.5">
      <c r="C1968" s="1463" t="s">
        <v>5760</v>
      </c>
      <c r="D1968" s="1460">
        <v>1</v>
      </c>
      <c r="E1968" s="1460">
        <v>1</v>
      </c>
      <c r="F1968" s="1461">
        <v>2</v>
      </c>
      <c r="G1968" s="1472" t="s">
        <v>5760</v>
      </c>
      <c r="H1968" s="1458">
        <v>1</v>
      </c>
      <c r="I1968" s="1458">
        <v>1</v>
      </c>
      <c r="J1968" s="1473">
        <v>2</v>
      </c>
      <c r="K1968" s="1462"/>
      <c r="L1968" s="1456">
        <v>13227050600</v>
      </c>
      <c r="M1968" s="1457">
        <v>1</v>
      </c>
      <c r="N1968" s="1457">
        <v>1</v>
      </c>
      <c r="O1968" s="1458">
        <v>2</v>
      </c>
    </row>
    <row r="1969" spans="3:15" ht="13.5">
      <c r="C1969" s="1463" t="s">
        <v>5761</v>
      </c>
      <c r="D1969" s="1460">
        <v>0</v>
      </c>
      <c r="E1969" s="1460">
        <v>0</v>
      </c>
      <c r="F1969" s="1461">
        <v>0</v>
      </c>
      <c r="G1969" s="1472" t="s">
        <v>5761</v>
      </c>
      <c r="H1969" s="1458">
        <v>0</v>
      </c>
      <c r="I1969" s="1458">
        <v>0</v>
      </c>
      <c r="J1969" s="1473">
        <v>0</v>
      </c>
      <c r="K1969" s="1462"/>
      <c r="L1969" s="1456">
        <v>13229960100</v>
      </c>
      <c r="M1969" s="1457">
        <v>0</v>
      </c>
      <c r="N1969" s="1457">
        <v>0</v>
      </c>
      <c r="O1969" s="1458">
        <v>0</v>
      </c>
    </row>
    <row r="1970" spans="3:15" ht="13.5">
      <c r="C1970" s="1463" t="s">
        <v>5762</v>
      </c>
      <c r="D1970" s="1460">
        <v>0</v>
      </c>
      <c r="E1970" s="1460">
        <v>0</v>
      </c>
      <c r="F1970" s="1461">
        <v>0</v>
      </c>
      <c r="G1970" s="1472" t="s">
        <v>5762</v>
      </c>
      <c r="H1970" s="1458">
        <v>0</v>
      </c>
      <c r="I1970" s="1458">
        <v>0</v>
      </c>
      <c r="J1970" s="1473">
        <v>0</v>
      </c>
      <c r="K1970" s="1462"/>
      <c r="L1970" s="1456">
        <v>13229960200</v>
      </c>
      <c r="M1970" s="1457">
        <v>0</v>
      </c>
      <c r="N1970" s="1457">
        <v>0</v>
      </c>
      <c r="O1970" s="1458">
        <v>0</v>
      </c>
    </row>
    <row r="1971" spans="3:15" ht="13.5">
      <c r="C1971" s="1463" t="s">
        <v>5763</v>
      </c>
      <c r="D1971" s="1460">
        <v>0</v>
      </c>
      <c r="E1971" s="1460">
        <v>0</v>
      </c>
      <c r="F1971" s="1461">
        <v>0</v>
      </c>
      <c r="G1971" s="1472" t="s">
        <v>5763</v>
      </c>
      <c r="H1971" s="1458">
        <v>0</v>
      </c>
      <c r="I1971" s="1458">
        <v>0</v>
      </c>
      <c r="J1971" s="1473">
        <v>0</v>
      </c>
      <c r="K1971" s="1462"/>
      <c r="L1971" s="1456">
        <v>13229960300</v>
      </c>
      <c r="M1971" s="1457">
        <v>0</v>
      </c>
      <c r="N1971" s="1457">
        <v>0</v>
      </c>
      <c r="O1971" s="1458">
        <v>0</v>
      </c>
    </row>
    <row r="1972" spans="3:15" ht="13.5">
      <c r="C1972" s="1463" t="s">
        <v>5764</v>
      </c>
      <c r="D1972" s="1460">
        <v>0</v>
      </c>
      <c r="E1972" s="1460">
        <v>1</v>
      </c>
      <c r="F1972" s="1461">
        <v>1</v>
      </c>
      <c r="G1972" s="1472" t="s">
        <v>5764</v>
      </c>
      <c r="H1972" s="1458">
        <v>0</v>
      </c>
      <c r="I1972" s="1458">
        <v>0</v>
      </c>
      <c r="J1972" s="1473">
        <v>0</v>
      </c>
      <c r="K1972" s="1462"/>
      <c r="L1972" s="1456">
        <v>13229960400</v>
      </c>
      <c r="M1972" s="1457">
        <v>0</v>
      </c>
      <c r="N1972" s="1457">
        <v>1</v>
      </c>
      <c r="O1972" s="1458">
        <v>1</v>
      </c>
    </row>
    <row r="1973" spans="3:15" ht="13.5">
      <c r="C1973" s="1463" t="s">
        <v>5765</v>
      </c>
      <c r="D1973" s="1460">
        <v>0</v>
      </c>
      <c r="E1973" s="1460">
        <v>1</v>
      </c>
      <c r="F1973" s="1461">
        <v>1</v>
      </c>
      <c r="G1973" s="1472" t="s">
        <v>5765</v>
      </c>
      <c r="H1973" s="1458">
        <v>0</v>
      </c>
      <c r="I1973" s="1458">
        <v>1</v>
      </c>
      <c r="J1973" s="1473">
        <v>1</v>
      </c>
      <c r="K1973" s="1462"/>
      <c r="L1973" s="1456">
        <v>13231010100</v>
      </c>
      <c r="M1973" s="1457">
        <v>0</v>
      </c>
      <c r="N1973" s="1457">
        <v>1</v>
      </c>
      <c r="O1973" s="1458">
        <v>1</v>
      </c>
    </row>
    <row r="1974" spans="3:15" ht="13.5">
      <c r="C1974" s="1463" t="s">
        <v>5766</v>
      </c>
      <c r="D1974" s="1460">
        <v>1</v>
      </c>
      <c r="E1974" s="1460">
        <v>1</v>
      </c>
      <c r="F1974" s="1461">
        <v>2</v>
      </c>
      <c r="G1974" s="1472" t="s">
        <v>5766</v>
      </c>
      <c r="H1974" s="1458">
        <v>1</v>
      </c>
      <c r="I1974" s="1458">
        <v>1</v>
      </c>
      <c r="J1974" s="1473">
        <v>2</v>
      </c>
      <c r="K1974" s="1462"/>
      <c r="L1974" s="1456">
        <v>13231010200</v>
      </c>
      <c r="M1974" s="1457">
        <v>1</v>
      </c>
      <c r="N1974" s="1457">
        <v>1</v>
      </c>
      <c r="O1974" s="1458">
        <v>2</v>
      </c>
    </row>
    <row r="1975" spans="3:15" ht="13.5">
      <c r="C1975" s="1463" t="s">
        <v>5767</v>
      </c>
      <c r="D1975" s="1460">
        <v>0</v>
      </c>
      <c r="E1975" s="1460">
        <v>1</v>
      </c>
      <c r="F1975" s="1461">
        <v>1</v>
      </c>
      <c r="G1975" s="1472" t="s">
        <v>5767</v>
      </c>
      <c r="H1975" s="1458">
        <v>0</v>
      </c>
      <c r="I1975" s="1458">
        <v>0</v>
      </c>
      <c r="J1975" s="1473">
        <v>0</v>
      </c>
      <c r="K1975" s="1462"/>
      <c r="L1975" s="1456">
        <v>13231010300</v>
      </c>
      <c r="M1975" s="1457">
        <v>0</v>
      </c>
      <c r="N1975" s="1457">
        <v>1</v>
      </c>
      <c r="O1975" s="1458">
        <v>1</v>
      </c>
    </row>
    <row r="1976" spans="3:15" ht="13.5">
      <c r="C1976" s="1463" t="s">
        <v>5768</v>
      </c>
      <c r="D1976" s="1460">
        <v>0</v>
      </c>
      <c r="E1976" s="1460">
        <v>1</v>
      </c>
      <c r="F1976" s="1461">
        <v>1</v>
      </c>
      <c r="G1976" s="1472" t="s">
        <v>5768</v>
      </c>
      <c r="H1976" s="1458">
        <v>0</v>
      </c>
      <c r="I1976" s="1458">
        <v>0</v>
      </c>
      <c r="J1976" s="1473">
        <v>0</v>
      </c>
      <c r="K1976" s="1462"/>
      <c r="L1976" s="1456">
        <v>13231010400</v>
      </c>
      <c r="M1976" s="1457">
        <v>0</v>
      </c>
      <c r="N1976" s="1457">
        <v>1</v>
      </c>
      <c r="O1976" s="1458">
        <v>1</v>
      </c>
    </row>
    <row r="1977" spans="3:15" ht="13.5">
      <c r="C1977" s="1463" t="s">
        <v>5769</v>
      </c>
      <c r="D1977" s="1460">
        <v>0</v>
      </c>
      <c r="E1977" s="1460">
        <v>0</v>
      </c>
      <c r="F1977" s="1461">
        <v>0</v>
      </c>
      <c r="G1977" s="1472" t="s">
        <v>5769</v>
      </c>
      <c r="H1977" s="1458">
        <v>0</v>
      </c>
      <c r="I1977" s="1458">
        <v>0</v>
      </c>
      <c r="J1977" s="1473">
        <v>0</v>
      </c>
      <c r="K1977" s="1462"/>
      <c r="L1977" s="1456">
        <v>13233010100</v>
      </c>
      <c r="M1977" s="1457">
        <v>0</v>
      </c>
      <c r="N1977" s="1457">
        <v>0</v>
      </c>
      <c r="O1977" s="1458">
        <v>0</v>
      </c>
    </row>
    <row r="1978" spans="3:15" ht="13.5">
      <c r="C1978" s="1463" t="s">
        <v>5770</v>
      </c>
      <c r="D1978" s="1460">
        <v>0</v>
      </c>
      <c r="E1978" s="1460">
        <v>0</v>
      </c>
      <c r="F1978" s="1461">
        <v>0</v>
      </c>
      <c r="G1978" s="1472" t="s">
        <v>5770</v>
      </c>
      <c r="H1978" s="1458">
        <v>0</v>
      </c>
      <c r="I1978" s="1458">
        <v>1</v>
      </c>
      <c r="J1978" s="1473">
        <v>1</v>
      </c>
      <c r="K1978" s="1462"/>
      <c r="L1978" s="1456">
        <v>13233010200</v>
      </c>
      <c r="M1978" s="1457">
        <v>0</v>
      </c>
      <c r="N1978" s="1457">
        <v>1</v>
      </c>
      <c r="O1978" s="1458">
        <v>1</v>
      </c>
    </row>
    <row r="1979" spans="3:15" ht="13.5">
      <c r="C1979" s="1463" t="s">
        <v>5771</v>
      </c>
      <c r="D1979" s="1460">
        <v>0</v>
      </c>
      <c r="E1979" s="1460">
        <v>0</v>
      </c>
      <c r="F1979" s="1461">
        <v>0</v>
      </c>
      <c r="G1979" s="1472" t="s">
        <v>5771</v>
      </c>
      <c r="H1979" s="1458">
        <v>0</v>
      </c>
      <c r="I1979" s="1458">
        <v>0</v>
      </c>
      <c r="J1979" s="1473">
        <v>0</v>
      </c>
      <c r="K1979" s="1462"/>
      <c r="L1979" s="1456">
        <v>13233010300</v>
      </c>
      <c r="M1979" s="1457">
        <v>0</v>
      </c>
      <c r="N1979" s="1457">
        <v>0</v>
      </c>
      <c r="O1979" s="1458">
        <v>0</v>
      </c>
    </row>
    <row r="1980" spans="3:15" ht="13.5">
      <c r="C1980" s="1463" t="s">
        <v>5772</v>
      </c>
      <c r="D1980" s="1460">
        <v>0</v>
      </c>
      <c r="E1980" s="1460">
        <v>0</v>
      </c>
      <c r="F1980" s="1461">
        <v>0</v>
      </c>
      <c r="G1980" s="1472" t="s">
        <v>5772</v>
      </c>
      <c r="H1980" s="1458">
        <v>0</v>
      </c>
      <c r="I1980" s="1458">
        <v>0</v>
      </c>
      <c r="J1980" s="1473">
        <v>0</v>
      </c>
      <c r="K1980" s="1462"/>
      <c r="L1980" s="1456">
        <v>13233010400</v>
      </c>
      <c r="M1980" s="1457">
        <v>0</v>
      </c>
      <c r="N1980" s="1457">
        <v>0</v>
      </c>
      <c r="O1980" s="1458">
        <v>0</v>
      </c>
    </row>
    <row r="1981" spans="3:15" ht="13.5">
      <c r="C1981" s="1463" t="s">
        <v>5773</v>
      </c>
      <c r="D1981" s="1460">
        <v>0</v>
      </c>
      <c r="E1981" s="1460">
        <v>0</v>
      </c>
      <c r="F1981" s="1461">
        <v>0</v>
      </c>
      <c r="G1981" s="1472" t="s">
        <v>5773</v>
      </c>
      <c r="H1981" s="1458">
        <v>0</v>
      </c>
      <c r="I1981" s="1458">
        <v>0</v>
      </c>
      <c r="J1981" s="1473">
        <v>0</v>
      </c>
      <c r="K1981" s="1462"/>
      <c r="L1981" s="1456">
        <v>13233010500</v>
      </c>
      <c r="M1981" s="1457">
        <v>0</v>
      </c>
      <c r="N1981" s="1457">
        <v>0</v>
      </c>
      <c r="O1981" s="1458">
        <v>0</v>
      </c>
    </row>
    <row r="1982" spans="3:15" ht="13.5">
      <c r="C1982" s="1463" t="s">
        <v>5774</v>
      </c>
      <c r="D1982" s="1460">
        <v>0</v>
      </c>
      <c r="E1982" s="1460">
        <v>0</v>
      </c>
      <c r="F1982" s="1461">
        <v>0</v>
      </c>
      <c r="G1982" s="1472" t="s">
        <v>5774</v>
      </c>
      <c r="H1982" s="1458">
        <v>0</v>
      </c>
      <c r="I1982" s="1458">
        <v>1</v>
      </c>
      <c r="J1982" s="1473">
        <v>1</v>
      </c>
      <c r="K1982" s="1462"/>
      <c r="L1982" s="1456">
        <v>13233010600</v>
      </c>
      <c r="M1982" s="1457">
        <v>0</v>
      </c>
      <c r="N1982" s="1457">
        <v>1</v>
      </c>
      <c r="O1982" s="1458">
        <v>1</v>
      </c>
    </row>
    <row r="1983" spans="3:15" ht="13.5">
      <c r="C1983" s="1463" t="s">
        <v>5775</v>
      </c>
      <c r="D1983" s="1460">
        <v>0</v>
      </c>
      <c r="E1983" s="1460">
        <v>0</v>
      </c>
      <c r="F1983" s="1461">
        <v>0</v>
      </c>
      <c r="G1983" s="1472" t="s">
        <v>5775</v>
      </c>
      <c r="H1983" s="1458">
        <v>0</v>
      </c>
      <c r="I1983" s="1458">
        <v>0</v>
      </c>
      <c r="J1983" s="1473">
        <v>0</v>
      </c>
      <c r="K1983" s="1462"/>
      <c r="L1983" s="1456">
        <v>13233010700</v>
      </c>
      <c r="M1983" s="1457">
        <v>0</v>
      </c>
      <c r="N1983" s="1457">
        <v>0</v>
      </c>
      <c r="O1983" s="1458">
        <v>0</v>
      </c>
    </row>
    <row r="1984" spans="3:15" ht="13.5">
      <c r="C1984" s="1463" t="s">
        <v>5776</v>
      </c>
      <c r="D1984" s="1460">
        <v>0</v>
      </c>
      <c r="E1984" s="1460">
        <v>0</v>
      </c>
      <c r="F1984" s="1461">
        <v>0</v>
      </c>
      <c r="G1984" s="1472" t="s">
        <v>5776</v>
      </c>
      <c r="H1984" s="1458">
        <v>0</v>
      </c>
      <c r="I1984" s="1458">
        <v>0</v>
      </c>
      <c r="J1984" s="1473">
        <v>0</v>
      </c>
      <c r="K1984" s="1462"/>
      <c r="L1984" s="1456">
        <v>13235950100</v>
      </c>
      <c r="M1984" s="1457">
        <v>0</v>
      </c>
      <c r="N1984" s="1457">
        <v>0</v>
      </c>
      <c r="O1984" s="1458">
        <v>0</v>
      </c>
    </row>
    <row r="1985" spans="3:15" ht="13.5">
      <c r="C1985" s="1463" t="s">
        <v>5777</v>
      </c>
      <c r="D1985" s="1460">
        <v>0</v>
      </c>
      <c r="E1985" s="1460">
        <v>0</v>
      </c>
      <c r="F1985" s="1461">
        <v>0</v>
      </c>
      <c r="G1985" s="1472" t="s">
        <v>5777</v>
      </c>
      <c r="H1985" s="1458">
        <v>0</v>
      </c>
      <c r="I1985" s="1458">
        <v>1</v>
      </c>
      <c r="J1985" s="1473">
        <v>1</v>
      </c>
      <c r="K1985" s="1462"/>
      <c r="L1985" s="1456">
        <v>13235950200</v>
      </c>
      <c r="M1985" s="1457">
        <v>0</v>
      </c>
      <c r="N1985" s="1457">
        <v>1</v>
      </c>
      <c r="O1985" s="1458">
        <v>1</v>
      </c>
    </row>
    <row r="1986" spans="3:15" ht="13.5">
      <c r="C1986" s="1463" t="s">
        <v>5778</v>
      </c>
      <c r="D1986" s="1460">
        <v>0</v>
      </c>
      <c r="E1986" s="1460">
        <v>0</v>
      </c>
      <c r="F1986" s="1461">
        <v>0</v>
      </c>
      <c r="G1986" s="1472" t="s">
        <v>5778</v>
      </c>
      <c r="H1986" s="1458">
        <v>0</v>
      </c>
      <c r="I1986" s="1458">
        <v>0</v>
      </c>
      <c r="J1986" s="1473">
        <v>0</v>
      </c>
      <c r="K1986" s="1462"/>
      <c r="L1986" s="1456">
        <v>13235950300</v>
      </c>
      <c r="M1986" s="1457">
        <v>0</v>
      </c>
      <c r="N1986" s="1457">
        <v>0</v>
      </c>
      <c r="O1986" s="1458">
        <v>0</v>
      </c>
    </row>
    <row r="1987" spans="3:15" ht="13.5">
      <c r="C1987" s="1463" t="s">
        <v>5779</v>
      </c>
      <c r="D1987" s="1460">
        <v>0</v>
      </c>
      <c r="E1987" s="1460">
        <v>0</v>
      </c>
      <c r="F1987" s="1461">
        <v>0</v>
      </c>
      <c r="G1987" s="1472" t="s">
        <v>5779</v>
      </c>
      <c r="H1987" s="1458">
        <v>0</v>
      </c>
      <c r="I1987" s="1458">
        <v>1</v>
      </c>
      <c r="J1987" s="1473">
        <v>1</v>
      </c>
      <c r="K1987" s="1462"/>
      <c r="L1987" s="1456">
        <v>13237960101</v>
      </c>
      <c r="M1987" s="1457">
        <v>0</v>
      </c>
      <c r="N1987" s="1457">
        <v>1</v>
      </c>
      <c r="O1987" s="1458">
        <v>1</v>
      </c>
    </row>
    <row r="1988" spans="3:15" ht="13.5">
      <c r="C1988" s="1463" t="s">
        <v>5780</v>
      </c>
      <c r="D1988" s="1460">
        <v>1</v>
      </c>
      <c r="E1988" s="1460">
        <v>1</v>
      </c>
      <c r="F1988" s="1461">
        <v>2</v>
      </c>
      <c r="G1988" s="1472" t="s">
        <v>5780</v>
      </c>
      <c r="H1988" s="1458">
        <v>1</v>
      </c>
      <c r="I1988" s="1458" t="s">
        <v>3911</v>
      </c>
      <c r="J1988" s="1473">
        <v>1</v>
      </c>
      <c r="K1988" s="1462"/>
      <c r="L1988" s="1456">
        <v>13237960102</v>
      </c>
      <c r="M1988" s="1457">
        <v>1</v>
      </c>
      <c r="N1988" s="1457">
        <v>1</v>
      </c>
      <c r="O1988" s="1458">
        <v>2</v>
      </c>
    </row>
    <row r="1989" spans="3:15" ht="13.5">
      <c r="C1989" s="1463" t="s">
        <v>5781</v>
      </c>
      <c r="D1989" s="1460">
        <v>0</v>
      </c>
      <c r="E1989" s="1460">
        <v>0</v>
      </c>
      <c r="F1989" s="1461">
        <v>0</v>
      </c>
      <c r="G1989" s="1472" t="s">
        <v>5781</v>
      </c>
      <c r="H1989" s="1458">
        <v>0</v>
      </c>
      <c r="I1989" s="1458" t="s">
        <v>3911</v>
      </c>
      <c r="J1989" s="1473">
        <v>0</v>
      </c>
      <c r="K1989" s="1462"/>
      <c r="L1989" s="1456">
        <v>13237960201</v>
      </c>
      <c r="M1989" s="1457">
        <v>0</v>
      </c>
      <c r="N1989" s="1457">
        <v>0</v>
      </c>
      <c r="O1989" s="1458">
        <v>0</v>
      </c>
    </row>
    <row r="1990" spans="3:15" ht="13.5">
      <c r="C1990" s="1463" t="s">
        <v>5782</v>
      </c>
      <c r="D1990" s="1460">
        <v>0</v>
      </c>
      <c r="E1990" s="1460">
        <v>0</v>
      </c>
      <c r="F1990" s="1461">
        <v>0</v>
      </c>
      <c r="G1990" s="1472" t="s">
        <v>5782</v>
      </c>
      <c r="H1990" s="1458">
        <v>0</v>
      </c>
      <c r="I1990" s="1458">
        <v>0</v>
      </c>
      <c r="J1990" s="1473">
        <v>0</v>
      </c>
      <c r="K1990" s="1462"/>
      <c r="L1990" s="1456">
        <v>13237960202</v>
      </c>
      <c r="M1990" s="1457">
        <v>0</v>
      </c>
      <c r="N1990" s="1457">
        <v>0</v>
      </c>
      <c r="O1990" s="1458">
        <v>0</v>
      </c>
    </row>
    <row r="1991" spans="3:15" ht="13.5">
      <c r="C1991" s="1463" t="s">
        <v>5783</v>
      </c>
      <c r="D1991" s="1460">
        <v>0</v>
      </c>
      <c r="E1991" s="1460">
        <v>1</v>
      </c>
      <c r="F1991" s="1461">
        <v>1</v>
      </c>
      <c r="G1991" s="1472" t="s">
        <v>5783</v>
      </c>
      <c r="H1991" s="1458">
        <v>0</v>
      </c>
      <c r="I1991" s="1458">
        <v>0</v>
      </c>
      <c r="J1991" s="1473">
        <v>0</v>
      </c>
      <c r="K1991" s="1462"/>
      <c r="L1991" s="1456">
        <v>13237960300</v>
      </c>
      <c r="M1991" s="1457">
        <v>0</v>
      </c>
      <c r="N1991" s="1457">
        <v>1</v>
      </c>
      <c r="O1991" s="1458">
        <v>1</v>
      </c>
    </row>
    <row r="1992" spans="3:15" ht="13.5">
      <c r="C1992" s="1463" t="s">
        <v>5784</v>
      </c>
      <c r="D1992" s="1460">
        <v>0</v>
      </c>
      <c r="E1992" s="1460">
        <v>0</v>
      </c>
      <c r="F1992" s="1461">
        <v>0</v>
      </c>
      <c r="G1992" s="1472" t="s">
        <v>5784</v>
      </c>
      <c r="H1992" s="1458">
        <v>0</v>
      </c>
      <c r="I1992" s="1458">
        <v>0</v>
      </c>
      <c r="J1992" s="1473">
        <v>0</v>
      </c>
      <c r="K1992" s="1462"/>
      <c r="L1992" s="1456">
        <v>13239960300</v>
      </c>
      <c r="M1992" s="1457">
        <v>0</v>
      </c>
      <c r="N1992" s="1457">
        <v>0</v>
      </c>
      <c r="O1992" s="1458">
        <v>0</v>
      </c>
    </row>
    <row r="1993" spans="3:15" ht="13.5">
      <c r="C1993" s="1463" t="s">
        <v>5785</v>
      </c>
      <c r="D1993" s="1460">
        <v>0</v>
      </c>
      <c r="E1993" s="1460">
        <v>0</v>
      </c>
      <c r="F1993" s="1461">
        <v>0</v>
      </c>
      <c r="G1993" s="1472" t="s">
        <v>5785</v>
      </c>
      <c r="H1993" s="1458">
        <v>0</v>
      </c>
      <c r="I1993" s="1458">
        <v>1</v>
      </c>
      <c r="J1993" s="1473">
        <v>1</v>
      </c>
      <c r="K1993" s="1462"/>
      <c r="L1993" s="1456">
        <v>13241970100</v>
      </c>
      <c r="M1993" s="1457">
        <v>0</v>
      </c>
      <c r="N1993" s="1457">
        <v>1</v>
      </c>
      <c r="O1993" s="1458">
        <v>1</v>
      </c>
    </row>
    <row r="1994" spans="3:15" ht="13.5">
      <c r="C1994" s="1463" t="s">
        <v>5786</v>
      </c>
      <c r="D1994" s="1460">
        <v>0</v>
      </c>
      <c r="E1994" s="1460">
        <v>0</v>
      </c>
      <c r="F1994" s="1461">
        <v>0</v>
      </c>
      <c r="G1994" s="1472" t="s">
        <v>5786</v>
      </c>
      <c r="H1994" s="1458">
        <v>0</v>
      </c>
      <c r="I1994" s="1458">
        <v>0</v>
      </c>
      <c r="J1994" s="1473">
        <v>0</v>
      </c>
      <c r="K1994" s="1462"/>
      <c r="L1994" s="1456">
        <v>13241970201</v>
      </c>
      <c r="M1994" s="1457">
        <v>0</v>
      </c>
      <c r="N1994" s="1457">
        <v>0</v>
      </c>
      <c r="O1994" s="1458">
        <v>0</v>
      </c>
    </row>
    <row r="1995" spans="3:15" ht="13.5">
      <c r="C1995" s="1463" t="s">
        <v>5787</v>
      </c>
      <c r="D1995" s="1460">
        <v>0</v>
      </c>
      <c r="E1995" s="1460">
        <v>0</v>
      </c>
      <c r="F1995" s="1461">
        <v>0</v>
      </c>
      <c r="G1995" s="1472" t="s">
        <v>5787</v>
      </c>
      <c r="H1995" s="1458">
        <v>0</v>
      </c>
      <c r="I1995" s="1458">
        <v>0</v>
      </c>
      <c r="J1995" s="1473">
        <v>0</v>
      </c>
      <c r="K1995" s="1462"/>
      <c r="L1995" s="1456">
        <v>13241970202</v>
      </c>
      <c r="M1995" s="1457">
        <v>0</v>
      </c>
      <c r="N1995" s="1457">
        <v>0</v>
      </c>
      <c r="O1995" s="1458">
        <v>0</v>
      </c>
    </row>
    <row r="1996" spans="3:15" ht="13.5">
      <c r="C1996" s="1463" t="s">
        <v>5788</v>
      </c>
      <c r="D1996" s="1460">
        <v>0</v>
      </c>
      <c r="E1996" s="1460">
        <v>0</v>
      </c>
      <c r="F1996" s="1461">
        <v>0</v>
      </c>
      <c r="G1996" s="1472" t="s">
        <v>5788</v>
      </c>
      <c r="H1996" s="1458">
        <v>0</v>
      </c>
      <c r="I1996" s="1458">
        <v>1</v>
      </c>
      <c r="J1996" s="1473">
        <v>1</v>
      </c>
      <c r="K1996" s="1462"/>
      <c r="L1996" s="1456">
        <v>13241970301</v>
      </c>
      <c r="M1996" s="1457">
        <v>0</v>
      </c>
      <c r="N1996" s="1457">
        <v>1</v>
      </c>
      <c r="O1996" s="1458">
        <v>1</v>
      </c>
    </row>
    <row r="1997" spans="3:15" ht="13.5">
      <c r="C1997" s="1463" t="s">
        <v>5789</v>
      </c>
      <c r="D1997" s="1460">
        <v>0</v>
      </c>
      <c r="E1997" s="1460">
        <v>0</v>
      </c>
      <c r="F1997" s="1461">
        <v>0</v>
      </c>
      <c r="G1997" s="1472" t="s">
        <v>5789</v>
      </c>
      <c r="H1997" s="1458">
        <v>0</v>
      </c>
      <c r="I1997" s="1458">
        <v>0</v>
      </c>
      <c r="J1997" s="1473">
        <v>0</v>
      </c>
      <c r="K1997" s="1462"/>
      <c r="L1997" s="1456">
        <v>13241970302</v>
      </c>
      <c r="M1997" s="1457">
        <v>0</v>
      </c>
      <c r="N1997" s="1457">
        <v>0</v>
      </c>
      <c r="O1997" s="1458">
        <v>0</v>
      </c>
    </row>
    <row r="1998" spans="3:15" ht="13.5">
      <c r="C1998" s="1463" t="s">
        <v>5790</v>
      </c>
      <c r="D1998" s="1460">
        <v>0</v>
      </c>
      <c r="E1998" s="1460">
        <v>0</v>
      </c>
      <c r="F1998" s="1461">
        <v>0</v>
      </c>
      <c r="G1998" s="1472" t="s">
        <v>5790</v>
      </c>
      <c r="H1998" s="1458">
        <v>0</v>
      </c>
      <c r="I1998" s="1458">
        <v>0</v>
      </c>
      <c r="J1998" s="1473">
        <v>0</v>
      </c>
      <c r="K1998" s="1462"/>
      <c r="L1998" s="1456">
        <v>13243790100</v>
      </c>
      <c r="M1998" s="1457">
        <v>0</v>
      </c>
      <c r="N1998" s="1457">
        <v>0</v>
      </c>
      <c r="O1998" s="1458">
        <v>0</v>
      </c>
    </row>
    <row r="1999" spans="3:15" ht="13.5">
      <c r="C1999" s="1463" t="s">
        <v>5791</v>
      </c>
      <c r="D1999" s="1460">
        <v>0</v>
      </c>
      <c r="E1999" s="1460">
        <v>0</v>
      </c>
      <c r="F1999" s="1461">
        <v>0</v>
      </c>
      <c r="G1999" s="1472" t="s">
        <v>5791</v>
      </c>
      <c r="H1999" s="1458">
        <v>0</v>
      </c>
      <c r="I1999" s="1458">
        <v>0</v>
      </c>
      <c r="J1999" s="1473">
        <v>0</v>
      </c>
      <c r="K1999" s="1462"/>
      <c r="L1999" s="1456">
        <v>13243790200</v>
      </c>
      <c r="M1999" s="1457">
        <v>0</v>
      </c>
      <c r="N1999" s="1457">
        <v>0</v>
      </c>
      <c r="O1999" s="1458">
        <v>0</v>
      </c>
    </row>
    <row r="2000" spans="3:15" ht="13.5">
      <c r="C2000" s="1463" t="s">
        <v>5792</v>
      </c>
      <c r="D2000" s="1460">
        <v>0</v>
      </c>
      <c r="E2000" s="1460">
        <v>0</v>
      </c>
      <c r="F2000" s="1461">
        <v>0</v>
      </c>
      <c r="G2000" s="1472" t="s">
        <v>5792</v>
      </c>
      <c r="H2000" s="1458">
        <v>0</v>
      </c>
      <c r="I2000" s="1458">
        <v>0</v>
      </c>
      <c r="J2000" s="1473">
        <v>0</v>
      </c>
      <c r="K2000" s="1462"/>
      <c r="L2000" s="1456">
        <v>13245000100</v>
      </c>
      <c r="M2000" s="1457">
        <v>0</v>
      </c>
      <c r="N2000" s="1457">
        <v>0</v>
      </c>
      <c r="O2000" s="1458">
        <v>0</v>
      </c>
    </row>
    <row r="2001" spans="3:15" ht="13.5">
      <c r="C2001" s="1463" t="s">
        <v>5793</v>
      </c>
      <c r="D2001" s="1460">
        <v>0</v>
      </c>
      <c r="E2001" s="1460">
        <v>0</v>
      </c>
      <c r="F2001" s="1461">
        <v>0</v>
      </c>
      <c r="G2001" s="1472" t="s">
        <v>5793</v>
      </c>
      <c r="H2001" s="1458">
        <v>0</v>
      </c>
      <c r="I2001" s="1458">
        <v>0</v>
      </c>
      <c r="J2001" s="1473">
        <v>0</v>
      </c>
      <c r="K2001" s="1462"/>
      <c r="L2001" s="1456">
        <v>13245000200</v>
      </c>
      <c r="M2001" s="1457">
        <v>0</v>
      </c>
      <c r="N2001" s="1457">
        <v>0</v>
      </c>
      <c r="O2001" s="1458">
        <v>0</v>
      </c>
    </row>
    <row r="2002" spans="3:15" ht="13.5">
      <c r="C2002" s="1463" t="s">
        <v>5794</v>
      </c>
      <c r="D2002" s="1460">
        <v>0</v>
      </c>
      <c r="E2002" s="1460">
        <v>0</v>
      </c>
      <c r="F2002" s="1461">
        <v>0</v>
      </c>
      <c r="G2002" s="1472" t="s">
        <v>5794</v>
      </c>
      <c r="H2002" s="1458">
        <v>0</v>
      </c>
      <c r="I2002" s="1458">
        <v>0</v>
      </c>
      <c r="J2002" s="1473">
        <v>0</v>
      </c>
      <c r="K2002" s="1462"/>
      <c r="L2002" s="1456">
        <v>13245000300</v>
      </c>
      <c r="M2002" s="1457">
        <v>0</v>
      </c>
      <c r="N2002" s="1457">
        <v>0</v>
      </c>
      <c r="O2002" s="1458">
        <v>0</v>
      </c>
    </row>
    <row r="2003" spans="3:15" ht="13.5">
      <c r="C2003" s="1463" t="s">
        <v>5795</v>
      </c>
      <c r="D2003" s="1460">
        <v>0</v>
      </c>
      <c r="E2003" s="1460">
        <v>0</v>
      </c>
      <c r="F2003" s="1461">
        <v>0</v>
      </c>
      <c r="G2003" s="1472" t="s">
        <v>5795</v>
      </c>
      <c r="H2003" s="1458">
        <v>0</v>
      </c>
      <c r="I2003" s="1458" t="s">
        <v>3911</v>
      </c>
      <c r="J2003" s="1473">
        <v>0</v>
      </c>
      <c r="K2003" s="1462"/>
      <c r="L2003" s="1456">
        <v>13245000600</v>
      </c>
      <c r="M2003" s="1457">
        <v>0</v>
      </c>
      <c r="N2003" s="1457">
        <v>0</v>
      </c>
      <c r="O2003" s="1458">
        <v>0</v>
      </c>
    </row>
    <row r="2004" spans="3:15" ht="13.5">
      <c r="C2004" s="1463" t="s">
        <v>5796</v>
      </c>
      <c r="D2004" s="1460">
        <v>0</v>
      </c>
      <c r="E2004" s="1460">
        <v>0</v>
      </c>
      <c r="F2004" s="1461">
        <v>0</v>
      </c>
      <c r="G2004" s="1472" t="s">
        <v>5796</v>
      </c>
      <c r="H2004" s="1458">
        <v>0</v>
      </c>
      <c r="I2004" s="1458">
        <v>0</v>
      </c>
      <c r="J2004" s="1473">
        <v>0</v>
      </c>
      <c r="K2004" s="1462"/>
      <c r="L2004" s="1456">
        <v>13245000700</v>
      </c>
      <c r="M2004" s="1457">
        <v>0</v>
      </c>
      <c r="N2004" s="1457">
        <v>0</v>
      </c>
      <c r="O2004" s="1458">
        <v>0</v>
      </c>
    </row>
    <row r="2005" spans="3:15" ht="13.5">
      <c r="C2005" s="1463" t="s">
        <v>5797</v>
      </c>
      <c r="D2005" s="1460">
        <v>0</v>
      </c>
      <c r="E2005" s="1460">
        <v>0</v>
      </c>
      <c r="F2005" s="1461">
        <v>0</v>
      </c>
      <c r="G2005" s="1472" t="s">
        <v>5797</v>
      </c>
      <c r="H2005" s="1458">
        <v>0</v>
      </c>
      <c r="I2005" s="1458">
        <v>0</v>
      </c>
      <c r="J2005" s="1473">
        <v>0</v>
      </c>
      <c r="K2005" s="1462"/>
      <c r="L2005" s="1456">
        <v>13245000900</v>
      </c>
      <c r="M2005" s="1457">
        <v>0</v>
      </c>
      <c r="N2005" s="1457">
        <v>0</v>
      </c>
      <c r="O2005" s="1458">
        <v>0</v>
      </c>
    </row>
    <row r="2006" spans="3:15" ht="13.5">
      <c r="C2006" s="1463" t="s">
        <v>5798</v>
      </c>
      <c r="D2006" s="1460">
        <v>0</v>
      </c>
      <c r="E2006" s="1460">
        <v>0</v>
      </c>
      <c r="F2006" s="1461">
        <v>0</v>
      </c>
      <c r="G2006" s="1472" t="s">
        <v>5798</v>
      </c>
      <c r="H2006" s="1458">
        <v>0</v>
      </c>
      <c r="I2006" s="1458">
        <v>0</v>
      </c>
      <c r="J2006" s="1473">
        <v>0</v>
      </c>
      <c r="K2006" s="1462"/>
      <c r="L2006" s="1456">
        <v>13245001000</v>
      </c>
      <c r="M2006" s="1457">
        <v>0</v>
      </c>
      <c r="N2006" s="1457">
        <v>0</v>
      </c>
      <c r="O2006" s="1458">
        <v>0</v>
      </c>
    </row>
    <row r="2007" spans="3:15" ht="13.5">
      <c r="C2007" s="1463" t="s">
        <v>5799</v>
      </c>
      <c r="D2007" s="1460">
        <v>1</v>
      </c>
      <c r="E2007" s="1460">
        <v>1</v>
      </c>
      <c r="F2007" s="1461">
        <v>2</v>
      </c>
      <c r="G2007" s="1472" t="s">
        <v>5799</v>
      </c>
      <c r="H2007" s="1458">
        <v>1</v>
      </c>
      <c r="I2007" s="1458" t="s">
        <v>3911</v>
      </c>
      <c r="J2007" s="1473">
        <v>1</v>
      </c>
      <c r="K2007" s="1462"/>
      <c r="L2007" s="1456">
        <v>13245001100</v>
      </c>
      <c r="M2007" s="1457">
        <v>1</v>
      </c>
      <c r="N2007" s="1457">
        <v>1</v>
      </c>
      <c r="O2007" s="1458">
        <v>2</v>
      </c>
    </row>
    <row r="2008" spans="3:15" ht="13.5">
      <c r="C2008" s="1463" t="s">
        <v>5800</v>
      </c>
      <c r="D2008" s="1460">
        <v>0</v>
      </c>
      <c r="E2008" s="1460">
        <v>0</v>
      </c>
      <c r="F2008" s="1461">
        <v>0</v>
      </c>
      <c r="G2008" s="1472" t="s">
        <v>5800</v>
      </c>
      <c r="H2008" s="1458">
        <v>0</v>
      </c>
      <c r="I2008" s="1458">
        <v>0</v>
      </c>
      <c r="J2008" s="1473">
        <v>0</v>
      </c>
      <c r="K2008" s="1462"/>
      <c r="L2008" s="1456">
        <v>13245001200</v>
      </c>
      <c r="M2008" s="1457">
        <v>0</v>
      </c>
      <c r="N2008" s="1457">
        <v>0</v>
      </c>
      <c r="O2008" s="1458">
        <v>0</v>
      </c>
    </row>
    <row r="2009" spans="3:15" ht="13.5">
      <c r="C2009" s="1463" t="s">
        <v>5801</v>
      </c>
      <c r="D2009" s="1460">
        <v>0</v>
      </c>
      <c r="E2009" s="1460">
        <v>0</v>
      </c>
      <c r="F2009" s="1461">
        <v>0</v>
      </c>
      <c r="G2009" s="1472" t="s">
        <v>5801</v>
      </c>
      <c r="H2009" s="1458">
        <v>0</v>
      </c>
      <c r="I2009" s="1458">
        <v>0</v>
      </c>
      <c r="J2009" s="1473">
        <v>0</v>
      </c>
      <c r="K2009" s="1462"/>
      <c r="L2009" s="1456">
        <v>13245001300</v>
      </c>
      <c r="M2009" s="1457">
        <v>0</v>
      </c>
      <c r="N2009" s="1457">
        <v>0</v>
      </c>
      <c r="O2009" s="1458">
        <v>0</v>
      </c>
    </row>
    <row r="2010" spans="3:15" ht="13.5">
      <c r="C2010" s="1463" t="s">
        <v>5802</v>
      </c>
      <c r="D2010" s="1460">
        <v>0</v>
      </c>
      <c r="E2010" s="1460">
        <v>0</v>
      </c>
      <c r="F2010" s="1461">
        <v>0</v>
      </c>
      <c r="G2010" s="1472" t="s">
        <v>5802</v>
      </c>
      <c r="H2010" s="1458">
        <v>0</v>
      </c>
      <c r="I2010" s="1458">
        <v>0</v>
      </c>
      <c r="J2010" s="1473">
        <v>0</v>
      </c>
      <c r="K2010" s="1462"/>
      <c r="L2010" s="1456">
        <v>13245001400</v>
      </c>
      <c r="M2010" s="1457">
        <v>0</v>
      </c>
      <c r="N2010" s="1457">
        <v>0</v>
      </c>
      <c r="O2010" s="1458">
        <v>0</v>
      </c>
    </row>
    <row r="2011" spans="3:15" ht="13.5">
      <c r="C2011" s="1463" t="s">
        <v>5803</v>
      </c>
      <c r="D2011" s="1460">
        <v>0</v>
      </c>
      <c r="E2011" s="1460">
        <v>0</v>
      </c>
      <c r="F2011" s="1461">
        <v>0</v>
      </c>
      <c r="G2011" s="1472" t="s">
        <v>5803</v>
      </c>
      <c r="H2011" s="1458">
        <v>0</v>
      </c>
      <c r="I2011" s="1458" t="s">
        <v>3911</v>
      </c>
      <c r="J2011" s="1473">
        <v>0</v>
      </c>
      <c r="K2011" s="1462"/>
      <c r="L2011" s="1456">
        <v>13245001500</v>
      </c>
      <c r="M2011" s="1457">
        <v>0</v>
      </c>
      <c r="N2011" s="1457">
        <v>0</v>
      </c>
      <c r="O2011" s="1458">
        <v>0</v>
      </c>
    </row>
    <row r="2012" spans="3:15" ht="13.5">
      <c r="C2012" s="1463" t="s">
        <v>5804</v>
      </c>
      <c r="D2012" s="1460">
        <v>0</v>
      </c>
      <c r="E2012" s="1460">
        <v>0</v>
      </c>
      <c r="F2012" s="1461">
        <v>0</v>
      </c>
      <c r="G2012" s="1472" t="s">
        <v>5804</v>
      </c>
      <c r="H2012" s="1458">
        <v>0</v>
      </c>
      <c r="I2012" s="1458">
        <v>0</v>
      </c>
      <c r="J2012" s="1473">
        <v>0</v>
      </c>
      <c r="K2012" s="1462"/>
      <c r="L2012" s="1456">
        <v>13245001601</v>
      </c>
      <c r="M2012" s="1457">
        <v>0</v>
      </c>
      <c r="N2012" s="1457">
        <v>0</v>
      </c>
      <c r="O2012" s="1458">
        <v>0</v>
      </c>
    </row>
    <row r="2013" spans="3:15" ht="13.5">
      <c r="C2013" s="1463" t="s">
        <v>5805</v>
      </c>
      <c r="D2013" s="1460">
        <v>1</v>
      </c>
      <c r="E2013" s="1460">
        <v>1</v>
      </c>
      <c r="F2013" s="1461">
        <v>2</v>
      </c>
      <c r="G2013" s="1472" t="s">
        <v>5805</v>
      </c>
      <c r="H2013" s="1458">
        <v>1</v>
      </c>
      <c r="I2013" s="1458">
        <v>1</v>
      </c>
      <c r="J2013" s="1473">
        <v>2</v>
      </c>
      <c r="K2013" s="1462"/>
      <c r="L2013" s="1456">
        <v>13245001602</v>
      </c>
      <c r="M2013" s="1457">
        <v>1</v>
      </c>
      <c r="N2013" s="1457">
        <v>1</v>
      </c>
      <c r="O2013" s="1458">
        <v>2</v>
      </c>
    </row>
    <row r="2014" spans="3:15" ht="13.5">
      <c r="C2014" s="1463" t="s">
        <v>5806</v>
      </c>
      <c r="D2014" s="1460">
        <v>0</v>
      </c>
      <c r="E2014" s="1460">
        <v>0</v>
      </c>
      <c r="F2014" s="1461">
        <v>0</v>
      </c>
      <c r="G2014" s="1472" t="s">
        <v>5806</v>
      </c>
      <c r="H2014" s="1458">
        <v>1</v>
      </c>
      <c r="I2014" s="1458">
        <v>0</v>
      </c>
      <c r="J2014" s="1473">
        <v>1</v>
      </c>
      <c r="K2014" s="1462"/>
      <c r="L2014" s="1456">
        <v>13245010101</v>
      </c>
      <c r="M2014" s="1457">
        <v>1</v>
      </c>
      <c r="N2014" s="1457">
        <v>0</v>
      </c>
      <c r="O2014" s="1458">
        <v>1</v>
      </c>
    </row>
    <row r="2015" spans="3:15" ht="13.5">
      <c r="C2015" s="1463" t="s">
        <v>5807</v>
      </c>
      <c r="D2015" s="1460">
        <v>1</v>
      </c>
      <c r="E2015" s="1460">
        <v>1</v>
      </c>
      <c r="F2015" s="1461">
        <v>2</v>
      </c>
      <c r="G2015" s="1472" t="s">
        <v>5807</v>
      </c>
      <c r="H2015" s="1458">
        <v>1</v>
      </c>
      <c r="I2015" s="1458">
        <v>0</v>
      </c>
      <c r="J2015" s="1473">
        <v>1</v>
      </c>
      <c r="K2015" s="1462"/>
      <c r="L2015" s="1456">
        <v>13245010104</v>
      </c>
      <c r="M2015" s="1457">
        <v>1</v>
      </c>
      <c r="N2015" s="1457">
        <v>1</v>
      </c>
      <c r="O2015" s="1458">
        <v>2</v>
      </c>
    </row>
    <row r="2016" spans="3:15" ht="13.5">
      <c r="C2016" s="1463" t="s">
        <v>5808</v>
      </c>
      <c r="D2016" s="1460">
        <v>0</v>
      </c>
      <c r="E2016" s="1460">
        <v>0</v>
      </c>
      <c r="F2016" s="1461">
        <v>0</v>
      </c>
      <c r="G2016" s="1472" t="s">
        <v>5808</v>
      </c>
      <c r="H2016" s="1458">
        <v>0</v>
      </c>
      <c r="I2016" s="1458">
        <v>0</v>
      </c>
      <c r="J2016" s="1473">
        <v>0</v>
      </c>
      <c r="K2016" s="1462"/>
      <c r="L2016" s="1456">
        <v>13245010105</v>
      </c>
      <c r="M2016" s="1457">
        <v>0</v>
      </c>
      <c r="N2016" s="1457">
        <v>0</v>
      </c>
      <c r="O2016" s="1458">
        <v>0</v>
      </c>
    </row>
    <row r="2017" spans="3:15" ht="13.5">
      <c r="C2017" s="1463" t="s">
        <v>5809</v>
      </c>
      <c r="D2017" s="1460">
        <v>1</v>
      </c>
      <c r="E2017" s="1460">
        <v>0</v>
      </c>
      <c r="F2017" s="1461">
        <v>1</v>
      </c>
      <c r="G2017" s="1472" t="s">
        <v>5809</v>
      </c>
      <c r="H2017" s="1458">
        <v>1</v>
      </c>
      <c r="I2017" s="1458">
        <v>1</v>
      </c>
      <c r="J2017" s="1473">
        <v>2</v>
      </c>
      <c r="K2017" s="1462"/>
      <c r="L2017" s="1456">
        <v>13245010106</v>
      </c>
      <c r="M2017" s="1457">
        <v>1</v>
      </c>
      <c r="N2017" s="1457">
        <v>1</v>
      </c>
      <c r="O2017" s="1458">
        <v>2</v>
      </c>
    </row>
    <row r="2018" spans="3:15" ht="13.5">
      <c r="C2018" s="1463" t="s">
        <v>5810</v>
      </c>
      <c r="D2018" s="1460">
        <v>1</v>
      </c>
      <c r="E2018" s="1460">
        <v>0</v>
      </c>
      <c r="F2018" s="1461">
        <v>1</v>
      </c>
      <c r="G2018" s="1472" t="s">
        <v>5810</v>
      </c>
      <c r="H2018" s="1458">
        <v>1</v>
      </c>
      <c r="I2018" s="1458">
        <v>1</v>
      </c>
      <c r="J2018" s="1473">
        <v>2</v>
      </c>
      <c r="K2018" s="1462"/>
      <c r="L2018" s="1456">
        <v>13245010107</v>
      </c>
      <c r="M2018" s="1457">
        <v>1</v>
      </c>
      <c r="N2018" s="1457">
        <v>1</v>
      </c>
      <c r="O2018" s="1458">
        <v>2</v>
      </c>
    </row>
    <row r="2019" spans="3:15" ht="13.5">
      <c r="C2019" s="1463" t="s">
        <v>5811</v>
      </c>
      <c r="D2019" s="1460">
        <v>1</v>
      </c>
      <c r="E2019" s="1460">
        <v>1</v>
      </c>
      <c r="F2019" s="1461">
        <v>2</v>
      </c>
      <c r="G2019" s="1472" t="s">
        <v>5811</v>
      </c>
      <c r="H2019" s="1458">
        <v>1</v>
      </c>
      <c r="I2019" s="1458">
        <v>1</v>
      </c>
      <c r="J2019" s="1473">
        <v>2</v>
      </c>
      <c r="K2019" s="1462"/>
      <c r="L2019" s="1456">
        <v>13245010201</v>
      </c>
      <c r="M2019" s="1457">
        <v>1</v>
      </c>
      <c r="N2019" s="1457">
        <v>1</v>
      </c>
      <c r="O2019" s="1458">
        <v>2</v>
      </c>
    </row>
    <row r="2020" spans="3:15" ht="13.5">
      <c r="C2020" s="1463" t="s">
        <v>5812</v>
      </c>
      <c r="D2020" s="1460">
        <v>0</v>
      </c>
      <c r="E2020" s="1460">
        <v>0</v>
      </c>
      <c r="F2020" s="1461">
        <v>0</v>
      </c>
      <c r="G2020" s="1472" t="s">
        <v>5812</v>
      </c>
      <c r="H2020" s="1458">
        <v>0</v>
      </c>
      <c r="I2020" s="1458">
        <v>0</v>
      </c>
      <c r="J2020" s="1473">
        <v>0</v>
      </c>
      <c r="K2020" s="1462"/>
      <c r="L2020" s="1456">
        <v>13245010203</v>
      </c>
      <c r="M2020" s="1457">
        <v>0</v>
      </c>
      <c r="N2020" s="1457">
        <v>0</v>
      </c>
      <c r="O2020" s="1458">
        <v>0</v>
      </c>
    </row>
    <row r="2021" spans="3:15" ht="13.5">
      <c r="C2021" s="1463" t="s">
        <v>5813</v>
      </c>
      <c r="D2021" s="1460">
        <v>0</v>
      </c>
      <c r="E2021" s="1460">
        <v>0</v>
      </c>
      <c r="F2021" s="1461">
        <v>0</v>
      </c>
      <c r="G2021" s="1472" t="s">
        <v>5813</v>
      </c>
      <c r="H2021" s="1458">
        <v>0</v>
      </c>
      <c r="I2021" s="1458">
        <v>0</v>
      </c>
      <c r="J2021" s="1473">
        <v>0</v>
      </c>
      <c r="K2021" s="1462"/>
      <c r="L2021" s="1456">
        <v>13245010204</v>
      </c>
      <c r="M2021" s="1457">
        <v>0</v>
      </c>
      <c r="N2021" s="1457">
        <v>0</v>
      </c>
      <c r="O2021" s="1458">
        <v>0</v>
      </c>
    </row>
    <row r="2022" spans="3:15" ht="13.5">
      <c r="C2022" s="1463" t="s">
        <v>5814</v>
      </c>
      <c r="D2022" s="1460">
        <v>0</v>
      </c>
      <c r="E2022" s="1460">
        <v>0</v>
      </c>
      <c r="F2022" s="1461">
        <v>0</v>
      </c>
      <c r="G2022" s="1472" t="s">
        <v>5814</v>
      </c>
      <c r="H2022" s="1458">
        <v>0</v>
      </c>
      <c r="I2022" s="1458">
        <v>0</v>
      </c>
      <c r="J2022" s="1473">
        <v>0</v>
      </c>
      <c r="K2022" s="1462"/>
      <c r="L2022" s="1456">
        <v>13245010300</v>
      </c>
      <c r="M2022" s="1457">
        <v>0</v>
      </c>
      <c r="N2022" s="1457">
        <v>0</v>
      </c>
      <c r="O2022" s="1458">
        <v>0</v>
      </c>
    </row>
    <row r="2023" spans="3:15" ht="13.5">
      <c r="C2023" s="1463" t="s">
        <v>5815</v>
      </c>
      <c r="D2023" s="1460">
        <v>0</v>
      </c>
      <c r="E2023" s="1460">
        <v>0</v>
      </c>
      <c r="F2023" s="1461">
        <v>0</v>
      </c>
      <c r="G2023" s="1472" t="s">
        <v>5815</v>
      </c>
      <c r="H2023" s="1458">
        <v>0</v>
      </c>
      <c r="I2023" s="1458">
        <v>0</v>
      </c>
      <c r="J2023" s="1473">
        <v>0</v>
      </c>
      <c r="K2023" s="1462"/>
      <c r="L2023" s="1456">
        <v>13245010400</v>
      </c>
      <c r="M2023" s="1457">
        <v>0</v>
      </c>
      <c r="N2023" s="1457">
        <v>0</v>
      </c>
      <c r="O2023" s="1458">
        <v>0</v>
      </c>
    </row>
    <row r="2024" spans="3:15" ht="13.5">
      <c r="C2024" s="1463" t="s">
        <v>5816</v>
      </c>
      <c r="D2024" s="1460">
        <v>0</v>
      </c>
      <c r="E2024" s="1460">
        <v>0</v>
      </c>
      <c r="F2024" s="1461">
        <v>0</v>
      </c>
      <c r="G2024" s="1472" t="s">
        <v>5816</v>
      </c>
      <c r="H2024" s="1458">
        <v>0</v>
      </c>
      <c r="I2024" s="1458">
        <v>0</v>
      </c>
      <c r="J2024" s="1473">
        <v>0</v>
      </c>
      <c r="K2024" s="1462"/>
      <c r="L2024" s="1456">
        <v>13245010504</v>
      </c>
      <c r="M2024" s="1457">
        <v>0</v>
      </c>
      <c r="N2024" s="1457">
        <v>0</v>
      </c>
      <c r="O2024" s="1458">
        <v>0</v>
      </c>
    </row>
    <row r="2025" spans="3:15" ht="13.5">
      <c r="C2025" s="1463" t="s">
        <v>5817</v>
      </c>
      <c r="D2025" s="1460">
        <v>0</v>
      </c>
      <c r="E2025" s="1460">
        <v>0</v>
      </c>
      <c r="F2025" s="1461">
        <v>0</v>
      </c>
      <c r="G2025" s="1472" t="s">
        <v>5817</v>
      </c>
      <c r="H2025" s="1458">
        <v>0</v>
      </c>
      <c r="I2025" s="1458">
        <v>1</v>
      </c>
      <c r="J2025" s="1473">
        <v>1</v>
      </c>
      <c r="K2025" s="1462"/>
      <c r="L2025" s="1456">
        <v>13245010506</v>
      </c>
      <c r="M2025" s="1457">
        <v>0</v>
      </c>
      <c r="N2025" s="1457">
        <v>1</v>
      </c>
      <c r="O2025" s="1458">
        <v>1</v>
      </c>
    </row>
    <row r="2026" spans="3:15" ht="13.5">
      <c r="C2026" s="1463" t="s">
        <v>5818</v>
      </c>
      <c r="D2026" s="1460">
        <v>0</v>
      </c>
      <c r="E2026" s="1460">
        <v>0</v>
      </c>
      <c r="F2026" s="1461">
        <v>0</v>
      </c>
      <c r="G2026" s="1472" t="s">
        <v>5818</v>
      </c>
      <c r="H2026" s="1458">
        <v>0</v>
      </c>
      <c r="I2026" s="1458">
        <v>0</v>
      </c>
      <c r="J2026" s="1473">
        <v>0</v>
      </c>
      <c r="K2026" s="1462"/>
      <c r="L2026" s="1456">
        <v>13245010507</v>
      </c>
      <c r="M2026" s="1457">
        <v>0</v>
      </c>
      <c r="N2026" s="1457">
        <v>0</v>
      </c>
      <c r="O2026" s="1458">
        <v>0</v>
      </c>
    </row>
    <row r="2027" spans="3:15" ht="13.5">
      <c r="C2027" s="1463" t="s">
        <v>5819</v>
      </c>
      <c r="D2027" s="1460">
        <v>0</v>
      </c>
      <c r="E2027" s="1460">
        <v>0</v>
      </c>
      <c r="F2027" s="1461">
        <v>0</v>
      </c>
      <c r="G2027" s="1472" t="s">
        <v>5819</v>
      </c>
      <c r="H2027" s="1458">
        <v>0</v>
      </c>
      <c r="I2027" s="1458">
        <v>0</v>
      </c>
      <c r="J2027" s="1473">
        <v>0</v>
      </c>
      <c r="K2027" s="1462"/>
      <c r="L2027" s="1456">
        <v>13245010508</v>
      </c>
      <c r="M2027" s="1457">
        <v>0</v>
      </c>
      <c r="N2027" s="1457">
        <v>0</v>
      </c>
      <c r="O2027" s="1458">
        <v>0</v>
      </c>
    </row>
    <row r="2028" spans="3:15" ht="13.5">
      <c r="C2028" s="1463" t="s">
        <v>5820</v>
      </c>
      <c r="D2028" s="1460">
        <v>0</v>
      </c>
      <c r="E2028" s="1460">
        <v>0</v>
      </c>
      <c r="F2028" s="1461">
        <v>0</v>
      </c>
      <c r="G2028" s="1472" t="s">
        <v>5820</v>
      </c>
      <c r="H2028" s="1458">
        <v>0</v>
      </c>
      <c r="I2028" s="1458">
        <v>0</v>
      </c>
      <c r="J2028" s="1473">
        <v>0</v>
      </c>
      <c r="K2028" s="1462"/>
      <c r="L2028" s="1456">
        <v>13245010509</v>
      </c>
      <c r="M2028" s="1457">
        <v>0</v>
      </c>
      <c r="N2028" s="1457">
        <v>0</v>
      </c>
      <c r="O2028" s="1458">
        <v>0</v>
      </c>
    </row>
    <row r="2029" spans="3:15" ht="13.5">
      <c r="C2029" s="1463" t="s">
        <v>5821</v>
      </c>
      <c r="D2029" s="1460">
        <v>0</v>
      </c>
      <c r="E2029" s="1460">
        <v>0</v>
      </c>
      <c r="F2029" s="1461">
        <v>0</v>
      </c>
      <c r="G2029" s="1472" t="s">
        <v>5821</v>
      </c>
      <c r="H2029" s="1458">
        <v>0</v>
      </c>
      <c r="I2029" s="1458">
        <v>0</v>
      </c>
      <c r="J2029" s="1473">
        <v>0</v>
      </c>
      <c r="K2029" s="1462"/>
      <c r="L2029" s="1456">
        <v>13245010510</v>
      </c>
      <c r="M2029" s="1457">
        <v>0</v>
      </c>
      <c r="N2029" s="1457">
        <v>0</v>
      </c>
      <c r="O2029" s="1458">
        <v>0</v>
      </c>
    </row>
    <row r="2030" spans="3:15" ht="13.5">
      <c r="C2030" s="1463" t="s">
        <v>5822</v>
      </c>
      <c r="D2030" s="1460">
        <v>0</v>
      </c>
      <c r="E2030" s="1460">
        <v>0</v>
      </c>
      <c r="F2030" s="1461">
        <v>0</v>
      </c>
      <c r="G2030" s="1472" t="s">
        <v>5822</v>
      </c>
      <c r="H2030" s="1458">
        <v>0</v>
      </c>
      <c r="I2030" s="1458">
        <v>0</v>
      </c>
      <c r="J2030" s="1473">
        <v>0</v>
      </c>
      <c r="K2030" s="1462"/>
      <c r="L2030" s="1456">
        <v>13245010511</v>
      </c>
      <c r="M2030" s="1457">
        <v>0</v>
      </c>
      <c r="N2030" s="1457">
        <v>0</v>
      </c>
      <c r="O2030" s="1458">
        <v>0</v>
      </c>
    </row>
    <row r="2031" spans="3:15" ht="13.5">
      <c r="C2031" s="1463" t="s">
        <v>5823</v>
      </c>
      <c r="D2031" s="1460">
        <v>0</v>
      </c>
      <c r="E2031" s="1460">
        <v>0</v>
      </c>
      <c r="F2031" s="1461">
        <v>0</v>
      </c>
      <c r="G2031" s="1472" t="s">
        <v>5823</v>
      </c>
      <c r="H2031" s="1458">
        <v>0</v>
      </c>
      <c r="I2031" s="1458">
        <v>0</v>
      </c>
      <c r="J2031" s="1473">
        <v>0</v>
      </c>
      <c r="K2031" s="1462"/>
      <c r="L2031" s="1456">
        <v>13245010512</v>
      </c>
      <c r="M2031" s="1457">
        <v>0</v>
      </c>
      <c r="N2031" s="1457">
        <v>0</v>
      </c>
      <c r="O2031" s="1458">
        <v>0</v>
      </c>
    </row>
    <row r="2032" spans="3:15" ht="13.5">
      <c r="C2032" s="1463" t="s">
        <v>5824</v>
      </c>
      <c r="D2032" s="1460">
        <v>0</v>
      </c>
      <c r="E2032" s="1460">
        <v>0</v>
      </c>
      <c r="F2032" s="1461">
        <v>0</v>
      </c>
      <c r="G2032" s="1472" t="s">
        <v>5824</v>
      </c>
      <c r="H2032" s="1458">
        <v>0</v>
      </c>
      <c r="I2032" s="1458" t="s">
        <v>3911</v>
      </c>
      <c r="J2032" s="1473">
        <v>0</v>
      </c>
      <c r="K2032" s="1462"/>
      <c r="L2032" s="1456">
        <v>13245010513</v>
      </c>
      <c r="M2032" s="1457">
        <v>0</v>
      </c>
      <c r="N2032" s="1457">
        <v>0</v>
      </c>
      <c r="O2032" s="1458">
        <v>0</v>
      </c>
    </row>
    <row r="2033" spans="3:15" ht="13.5">
      <c r="C2033" s="1463" t="s">
        <v>5825</v>
      </c>
      <c r="D2033" s="1460">
        <v>0</v>
      </c>
      <c r="E2033" s="1460">
        <v>0</v>
      </c>
      <c r="F2033" s="1461">
        <v>0</v>
      </c>
      <c r="G2033" s="1472" t="s">
        <v>5825</v>
      </c>
      <c r="H2033" s="1458">
        <v>0</v>
      </c>
      <c r="I2033" s="1458">
        <v>0</v>
      </c>
      <c r="J2033" s="1473">
        <v>0</v>
      </c>
      <c r="K2033" s="1462"/>
      <c r="L2033" s="1456">
        <v>13245010600</v>
      </c>
      <c r="M2033" s="1457">
        <v>0</v>
      </c>
      <c r="N2033" s="1457">
        <v>0</v>
      </c>
      <c r="O2033" s="1458">
        <v>0</v>
      </c>
    </row>
    <row r="2034" spans="3:15" ht="13.5">
      <c r="C2034" s="1463" t="s">
        <v>5826</v>
      </c>
      <c r="D2034" s="1460">
        <v>0</v>
      </c>
      <c r="E2034" s="1460">
        <v>0</v>
      </c>
      <c r="F2034" s="1461">
        <v>0</v>
      </c>
      <c r="G2034" s="1472" t="s">
        <v>5826</v>
      </c>
      <c r="H2034" s="1458">
        <v>0</v>
      </c>
      <c r="I2034" s="1458">
        <v>0</v>
      </c>
      <c r="J2034" s="1473">
        <v>0</v>
      </c>
      <c r="K2034" s="1462"/>
      <c r="L2034" s="1456">
        <v>13245010706</v>
      </c>
      <c r="M2034" s="1457">
        <v>0</v>
      </c>
      <c r="N2034" s="1457">
        <v>0</v>
      </c>
      <c r="O2034" s="1458">
        <v>0</v>
      </c>
    </row>
    <row r="2035" spans="3:15" ht="13.5">
      <c r="C2035" s="1463" t="s">
        <v>5827</v>
      </c>
      <c r="D2035" s="1460">
        <v>0</v>
      </c>
      <c r="E2035" s="1460">
        <v>0</v>
      </c>
      <c r="F2035" s="1461">
        <v>0</v>
      </c>
      <c r="G2035" s="1472" t="s">
        <v>5827</v>
      </c>
      <c r="H2035" s="1458">
        <v>0</v>
      </c>
      <c r="I2035" s="1458">
        <v>0</v>
      </c>
      <c r="J2035" s="1473">
        <v>0</v>
      </c>
      <c r="K2035" s="1462"/>
      <c r="L2035" s="1456">
        <v>13245010707</v>
      </c>
      <c r="M2035" s="1457">
        <v>0</v>
      </c>
      <c r="N2035" s="1457">
        <v>0</v>
      </c>
      <c r="O2035" s="1458">
        <v>0</v>
      </c>
    </row>
    <row r="2036" spans="3:15" ht="13.5">
      <c r="C2036" s="1463" t="s">
        <v>5828</v>
      </c>
      <c r="D2036" s="1460">
        <v>0</v>
      </c>
      <c r="E2036" s="1460">
        <v>0</v>
      </c>
      <c r="F2036" s="1461">
        <v>0</v>
      </c>
      <c r="G2036" s="1472" t="s">
        <v>5828</v>
      </c>
      <c r="H2036" s="1458">
        <v>0</v>
      </c>
      <c r="I2036" s="1458">
        <v>1</v>
      </c>
      <c r="J2036" s="1473">
        <v>1</v>
      </c>
      <c r="K2036" s="1462"/>
      <c r="L2036" s="1456">
        <v>13245010708</v>
      </c>
      <c r="M2036" s="1457">
        <v>0</v>
      </c>
      <c r="N2036" s="1457">
        <v>1</v>
      </c>
      <c r="O2036" s="1458">
        <v>1</v>
      </c>
    </row>
    <row r="2037" spans="3:15" ht="13.5">
      <c r="C2037" s="1463" t="s">
        <v>5829</v>
      </c>
      <c r="D2037" s="1460">
        <v>1</v>
      </c>
      <c r="E2037" s="1460">
        <v>0</v>
      </c>
      <c r="F2037" s="1461">
        <v>1</v>
      </c>
      <c r="G2037" s="1472" t="s">
        <v>5829</v>
      </c>
      <c r="H2037" s="1458">
        <v>1</v>
      </c>
      <c r="I2037" s="1458">
        <v>1</v>
      </c>
      <c r="J2037" s="1473">
        <v>2</v>
      </c>
      <c r="K2037" s="1462"/>
      <c r="L2037" s="1456">
        <v>13245010709</v>
      </c>
      <c r="M2037" s="1457">
        <v>1</v>
      </c>
      <c r="N2037" s="1457">
        <v>1</v>
      </c>
      <c r="O2037" s="1458">
        <v>2</v>
      </c>
    </row>
    <row r="2038" spans="3:15" ht="13.5">
      <c r="C2038" s="1463" t="s">
        <v>5830</v>
      </c>
      <c r="D2038" s="1460">
        <v>0</v>
      </c>
      <c r="E2038" s="1460">
        <v>0</v>
      </c>
      <c r="F2038" s="1461">
        <v>0</v>
      </c>
      <c r="G2038" s="1472" t="s">
        <v>5830</v>
      </c>
      <c r="H2038" s="1458">
        <v>0</v>
      </c>
      <c r="I2038" s="1458" t="s">
        <v>3911</v>
      </c>
      <c r="J2038" s="1473">
        <v>0</v>
      </c>
      <c r="K2038" s="1462"/>
      <c r="L2038" s="1456">
        <v>13245010710</v>
      </c>
      <c r="M2038" s="1457">
        <v>0</v>
      </c>
      <c r="N2038" s="1457">
        <v>0</v>
      </c>
      <c r="O2038" s="1458">
        <v>0</v>
      </c>
    </row>
    <row r="2039" spans="3:15" ht="13.5">
      <c r="C2039" s="1463" t="s">
        <v>5831</v>
      </c>
      <c r="D2039" s="1460">
        <v>0</v>
      </c>
      <c r="E2039" s="1460">
        <v>0</v>
      </c>
      <c r="F2039" s="1461">
        <v>0</v>
      </c>
      <c r="G2039" s="1472" t="s">
        <v>5831</v>
      </c>
      <c r="H2039" s="1458">
        <v>0</v>
      </c>
      <c r="I2039" s="1458">
        <v>0</v>
      </c>
      <c r="J2039" s="1473">
        <v>0</v>
      </c>
      <c r="K2039" s="1462"/>
      <c r="L2039" s="1456">
        <v>13245010711</v>
      </c>
      <c r="M2039" s="1457">
        <v>0</v>
      </c>
      <c r="N2039" s="1457">
        <v>0</v>
      </c>
      <c r="O2039" s="1458">
        <v>0</v>
      </c>
    </row>
    <row r="2040" spans="3:15" ht="13.5">
      <c r="C2040" s="1463" t="s">
        <v>5832</v>
      </c>
      <c r="D2040" s="1460">
        <v>0</v>
      </c>
      <c r="E2040" s="1460">
        <v>0</v>
      </c>
      <c r="F2040" s="1461">
        <v>0</v>
      </c>
      <c r="G2040" s="1472" t="s">
        <v>5832</v>
      </c>
      <c r="H2040" s="1458">
        <v>0</v>
      </c>
      <c r="I2040" s="1458">
        <v>0</v>
      </c>
      <c r="J2040" s="1473">
        <v>0</v>
      </c>
      <c r="K2040" s="1462"/>
      <c r="L2040" s="1456">
        <v>13245010712</v>
      </c>
      <c r="M2040" s="1457">
        <v>0</v>
      </c>
      <c r="N2040" s="1457">
        <v>0</v>
      </c>
      <c r="O2040" s="1458">
        <v>0</v>
      </c>
    </row>
    <row r="2041" spans="3:15" ht="13.5">
      <c r="C2041" s="1463" t="s">
        <v>5833</v>
      </c>
      <c r="D2041" s="1460">
        <v>0</v>
      </c>
      <c r="E2041" s="1460">
        <v>1</v>
      </c>
      <c r="F2041" s="1461">
        <v>1</v>
      </c>
      <c r="G2041" s="1472" t="s">
        <v>5833</v>
      </c>
      <c r="H2041" s="1458">
        <v>0</v>
      </c>
      <c r="I2041" s="1458" t="s">
        <v>3911</v>
      </c>
      <c r="J2041" s="1473">
        <v>0</v>
      </c>
      <c r="K2041" s="1462"/>
      <c r="L2041" s="1456">
        <v>13245010800</v>
      </c>
      <c r="M2041" s="1457">
        <v>0</v>
      </c>
      <c r="N2041" s="1457">
        <v>1</v>
      </c>
      <c r="O2041" s="1458">
        <v>1</v>
      </c>
    </row>
    <row r="2042" spans="3:15" ht="13.5">
      <c r="C2042" s="1463" t="s">
        <v>5834</v>
      </c>
      <c r="D2042" s="1460">
        <v>0</v>
      </c>
      <c r="E2042" s="1460">
        <v>0</v>
      </c>
      <c r="F2042" s="1461">
        <v>0</v>
      </c>
      <c r="G2042" s="1472" t="s">
        <v>5834</v>
      </c>
      <c r="H2042" s="1458">
        <v>0</v>
      </c>
      <c r="I2042" s="1458">
        <v>0</v>
      </c>
      <c r="J2042" s="1473">
        <v>0</v>
      </c>
      <c r="K2042" s="1462"/>
      <c r="L2042" s="1456">
        <v>13245010903</v>
      </c>
      <c r="M2042" s="1457">
        <v>0</v>
      </c>
      <c r="N2042" s="1457">
        <v>0</v>
      </c>
      <c r="O2042" s="1458">
        <v>0</v>
      </c>
    </row>
    <row r="2043" spans="3:15" ht="13.5">
      <c r="C2043" s="1463" t="s">
        <v>5835</v>
      </c>
      <c r="D2043" s="1460">
        <v>0</v>
      </c>
      <c r="E2043" s="1460">
        <v>0</v>
      </c>
      <c r="F2043" s="1461">
        <v>0</v>
      </c>
      <c r="G2043" s="1472" t="s">
        <v>5835</v>
      </c>
      <c r="H2043" s="1458">
        <v>0</v>
      </c>
      <c r="I2043" s="1458">
        <v>0</v>
      </c>
      <c r="J2043" s="1473">
        <v>0</v>
      </c>
      <c r="K2043" s="1462"/>
      <c r="L2043" s="1456">
        <v>13245010904</v>
      </c>
      <c r="M2043" s="1457">
        <v>0</v>
      </c>
      <c r="N2043" s="1457">
        <v>0</v>
      </c>
      <c r="O2043" s="1458">
        <v>0</v>
      </c>
    </row>
    <row r="2044" spans="3:15" ht="13.5">
      <c r="C2044" s="1463" t="s">
        <v>5836</v>
      </c>
      <c r="D2044" s="1460">
        <v>0</v>
      </c>
      <c r="E2044" s="1460">
        <v>0</v>
      </c>
      <c r="F2044" s="1461">
        <v>0</v>
      </c>
      <c r="G2044" s="1472" t="s">
        <v>5836</v>
      </c>
      <c r="H2044" s="1458">
        <v>0</v>
      </c>
      <c r="I2044" s="1458">
        <v>0</v>
      </c>
      <c r="J2044" s="1473">
        <v>0</v>
      </c>
      <c r="K2044" s="1462"/>
      <c r="L2044" s="1456">
        <v>13245010905</v>
      </c>
      <c r="M2044" s="1457">
        <v>0</v>
      </c>
      <c r="N2044" s="1457">
        <v>0</v>
      </c>
      <c r="O2044" s="1458">
        <v>0</v>
      </c>
    </row>
    <row r="2045" spans="3:15" ht="13.5">
      <c r="C2045" s="1463" t="s">
        <v>5837</v>
      </c>
      <c r="D2045" s="1460">
        <v>0</v>
      </c>
      <c r="E2045" s="1460">
        <v>1</v>
      </c>
      <c r="F2045" s="1461">
        <v>1</v>
      </c>
      <c r="G2045" s="1472" t="s">
        <v>5837</v>
      </c>
      <c r="H2045" s="1458">
        <v>0</v>
      </c>
      <c r="I2045" s="1458">
        <v>1</v>
      </c>
      <c r="J2045" s="1473">
        <v>1</v>
      </c>
      <c r="K2045" s="1462"/>
      <c r="L2045" s="1456">
        <v>13245010906</v>
      </c>
      <c r="M2045" s="1457">
        <v>0</v>
      </c>
      <c r="N2045" s="1457">
        <v>1</v>
      </c>
      <c r="O2045" s="1458">
        <v>1</v>
      </c>
    </row>
    <row r="2046" spans="3:15" ht="13.5">
      <c r="C2046" s="1463" t="s">
        <v>5838</v>
      </c>
      <c r="D2046" s="1460">
        <v>0</v>
      </c>
      <c r="E2046" s="1460">
        <v>0</v>
      </c>
      <c r="F2046" s="1461">
        <v>0</v>
      </c>
      <c r="G2046" s="1472" t="s">
        <v>5838</v>
      </c>
      <c r="H2046" s="1458">
        <v>0</v>
      </c>
      <c r="I2046" s="1458">
        <v>0</v>
      </c>
      <c r="J2046" s="1473">
        <v>0</v>
      </c>
      <c r="K2046" s="1462"/>
      <c r="L2046" s="1456">
        <v>13245011000</v>
      </c>
      <c r="M2046" s="1457">
        <v>0</v>
      </c>
      <c r="N2046" s="1457">
        <v>0</v>
      </c>
      <c r="O2046" s="1458">
        <v>0</v>
      </c>
    </row>
    <row r="2047" spans="3:15" ht="13.5">
      <c r="C2047" s="1463" t="s">
        <v>5839</v>
      </c>
      <c r="D2047" s="1460">
        <v>0</v>
      </c>
      <c r="E2047" s="1460">
        <v>1</v>
      </c>
      <c r="F2047" s="1461">
        <v>1</v>
      </c>
      <c r="G2047" s="1472" t="s">
        <v>5839</v>
      </c>
      <c r="H2047" s="1458">
        <v>1</v>
      </c>
      <c r="I2047" s="1458">
        <v>1</v>
      </c>
      <c r="J2047" s="1473">
        <v>2</v>
      </c>
      <c r="K2047" s="1462"/>
      <c r="L2047" s="1456">
        <v>13247060101</v>
      </c>
      <c r="M2047" s="1457">
        <v>1</v>
      </c>
      <c r="N2047" s="1457">
        <v>1</v>
      </c>
      <c r="O2047" s="1458">
        <v>2</v>
      </c>
    </row>
    <row r="2048" spans="3:15" ht="13.5">
      <c r="C2048" s="1463" t="s">
        <v>5840</v>
      </c>
      <c r="D2048" s="1460">
        <v>0</v>
      </c>
      <c r="E2048" s="1460">
        <v>1</v>
      </c>
      <c r="F2048" s="1461">
        <v>1</v>
      </c>
      <c r="G2048" s="1472" t="s">
        <v>5840</v>
      </c>
      <c r="H2048" s="1458">
        <v>1</v>
      </c>
      <c r="I2048" s="1458">
        <v>1</v>
      </c>
      <c r="J2048" s="1473">
        <v>2</v>
      </c>
      <c r="K2048" s="1462"/>
      <c r="L2048" s="1456">
        <v>13247060102</v>
      </c>
      <c r="M2048" s="1457">
        <v>1</v>
      </c>
      <c r="N2048" s="1457">
        <v>1</v>
      </c>
      <c r="O2048" s="1458">
        <v>2</v>
      </c>
    </row>
    <row r="2049" spans="3:15" ht="13.5">
      <c r="C2049" s="1463" t="s">
        <v>5841</v>
      </c>
      <c r="D2049" s="1460">
        <v>0</v>
      </c>
      <c r="E2049" s="1460">
        <v>0</v>
      </c>
      <c r="F2049" s="1461">
        <v>0</v>
      </c>
      <c r="G2049" s="1472" t="s">
        <v>5841</v>
      </c>
      <c r="H2049" s="1458">
        <v>0</v>
      </c>
      <c r="I2049" s="1458">
        <v>0</v>
      </c>
      <c r="J2049" s="1473">
        <v>0</v>
      </c>
      <c r="K2049" s="1462"/>
      <c r="L2049" s="1456">
        <v>13247060201</v>
      </c>
      <c r="M2049" s="1457">
        <v>0</v>
      </c>
      <c r="N2049" s="1457">
        <v>0</v>
      </c>
      <c r="O2049" s="1458">
        <v>0</v>
      </c>
    </row>
    <row r="2050" spans="3:15" ht="13.5">
      <c r="C2050" s="1463" t="s">
        <v>5842</v>
      </c>
      <c r="D2050" s="1460">
        <v>1</v>
      </c>
      <c r="E2050" s="1460">
        <v>1</v>
      </c>
      <c r="F2050" s="1461">
        <v>2</v>
      </c>
      <c r="G2050" s="1472" t="s">
        <v>5842</v>
      </c>
      <c r="H2050" s="1458">
        <v>1</v>
      </c>
      <c r="I2050" s="1458">
        <v>1</v>
      </c>
      <c r="J2050" s="1473">
        <v>2</v>
      </c>
      <c r="K2050" s="1462"/>
      <c r="L2050" s="1456">
        <v>13247060202</v>
      </c>
      <c r="M2050" s="1457">
        <v>1</v>
      </c>
      <c r="N2050" s="1457">
        <v>1</v>
      </c>
      <c r="O2050" s="1458">
        <v>2</v>
      </c>
    </row>
    <row r="2051" spans="3:15" ht="13.5">
      <c r="C2051" s="1463" t="s">
        <v>5843</v>
      </c>
      <c r="D2051" s="1460">
        <v>0</v>
      </c>
      <c r="E2051" s="1460">
        <v>0</v>
      </c>
      <c r="F2051" s="1461">
        <v>0</v>
      </c>
      <c r="G2051" s="1472" t="s">
        <v>5843</v>
      </c>
      <c r="H2051" s="1458">
        <v>0</v>
      </c>
      <c r="I2051" s="1458">
        <v>0</v>
      </c>
      <c r="J2051" s="1473">
        <v>0</v>
      </c>
      <c r="K2051" s="1462"/>
      <c r="L2051" s="1456">
        <v>13247060304</v>
      </c>
      <c r="M2051" s="1457">
        <v>0</v>
      </c>
      <c r="N2051" s="1457">
        <v>0</v>
      </c>
      <c r="O2051" s="1458">
        <v>0</v>
      </c>
    </row>
    <row r="2052" spans="3:15" ht="13.5">
      <c r="C2052" s="1463" t="s">
        <v>5844</v>
      </c>
      <c r="D2052" s="1460">
        <v>0</v>
      </c>
      <c r="E2052" s="1460">
        <v>0</v>
      </c>
      <c r="F2052" s="1461">
        <v>0</v>
      </c>
      <c r="G2052" s="1472" t="s">
        <v>5844</v>
      </c>
      <c r="H2052" s="1458">
        <v>0</v>
      </c>
      <c r="I2052" s="1458">
        <v>0</v>
      </c>
      <c r="J2052" s="1473">
        <v>0</v>
      </c>
      <c r="K2052" s="1462"/>
      <c r="L2052" s="1456">
        <v>13247060305</v>
      </c>
      <c r="M2052" s="1457">
        <v>0</v>
      </c>
      <c r="N2052" s="1457">
        <v>0</v>
      </c>
      <c r="O2052" s="1458">
        <v>0</v>
      </c>
    </row>
    <row r="2053" spans="3:15" ht="13.5">
      <c r="C2053" s="1463" t="s">
        <v>5845</v>
      </c>
      <c r="D2053" s="1460">
        <v>1</v>
      </c>
      <c r="E2053" s="1460">
        <v>1</v>
      </c>
      <c r="F2053" s="1461">
        <v>2</v>
      </c>
      <c r="G2053" s="1472" t="s">
        <v>5845</v>
      </c>
      <c r="H2053" s="1458">
        <v>1</v>
      </c>
      <c r="I2053" s="1458">
        <v>1</v>
      </c>
      <c r="J2053" s="1473">
        <v>2</v>
      </c>
      <c r="K2053" s="1462"/>
      <c r="L2053" s="1456">
        <v>13247060306</v>
      </c>
      <c r="M2053" s="1457">
        <v>1</v>
      </c>
      <c r="N2053" s="1457">
        <v>1</v>
      </c>
      <c r="O2053" s="1458">
        <v>2</v>
      </c>
    </row>
    <row r="2054" spans="3:15" ht="13.5">
      <c r="C2054" s="1463" t="s">
        <v>5846</v>
      </c>
      <c r="D2054" s="1460">
        <v>0</v>
      </c>
      <c r="E2054" s="1460">
        <v>1</v>
      </c>
      <c r="F2054" s="1461">
        <v>1</v>
      </c>
      <c r="G2054" s="1472" t="s">
        <v>5846</v>
      </c>
      <c r="H2054" s="1458">
        <v>0</v>
      </c>
      <c r="I2054" s="1458">
        <v>1</v>
      </c>
      <c r="J2054" s="1473">
        <v>1</v>
      </c>
      <c r="K2054" s="1462"/>
      <c r="L2054" s="1456">
        <v>13247060307</v>
      </c>
      <c r="M2054" s="1457">
        <v>0</v>
      </c>
      <c r="N2054" s="1457">
        <v>1</v>
      </c>
      <c r="O2054" s="1458">
        <v>1</v>
      </c>
    </row>
    <row r="2055" spans="3:15" ht="13.5">
      <c r="C2055" s="1463" t="s">
        <v>5847</v>
      </c>
      <c r="D2055" s="1460">
        <v>0</v>
      </c>
      <c r="E2055" s="1460">
        <v>0</v>
      </c>
      <c r="F2055" s="1461">
        <v>0</v>
      </c>
      <c r="G2055" s="1472" t="s">
        <v>5847</v>
      </c>
      <c r="H2055" s="1458">
        <v>0</v>
      </c>
      <c r="I2055" s="1458">
        <v>0</v>
      </c>
      <c r="J2055" s="1473">
        <v>0</v>
      </c>
      <c r="K2055" s="1462"/>
      <c r="L2055" s="1456">
        <v>13247060308</v>
      </c>
      <c r="M2055" s="1457">
        <v>0</v>
      </c>
      <c r="N2055" s="1457">
        <v>0</v>
      </c>
      <c r="O2055" s="1458">
        <v>0</v>
      </c>
    </row>
    <row r="2056" spans="3:15" ht="13.5">
      <c r="C2056" s="1463" t="s">
        <v>5848</v>
      </c>
      <c r="D2056" s="1460">
        <v>0</v>
      </c>
      <c r="E2056" s="1460">
        <v>0</v>
      </c>
      <c r="F2056" s="1461">
        <v>0</v>
      </c>
      <c r="G2056" s="1472" t="s">
        <v>5848</v>
      </c>
      <c r="H2056" s="1458">
        <v>0</v>
      </c>
      <c r="I2056" s="1458">
        <v>0</v>
      </c>
      <c r="J2056" s="1473">
        <v>0</v>
      </c>
      <c r="K2056" s="1462"/>
      <c r="L2056" s="1456">
        <v>13247060309</v>
      </c>
      <c r="M2056" s="1457">
        <v>0</v>
      </c>
      <c r="N2056" s="1457">
        <v>0</v>
      </c>
      <c r="O2056" s="1458">
        <v>0</v>
      </c>
    </row>
    <row r="2057" spans="3:15" ht="13.5">
      <c r="C2057" s="1463" t="s">
        <v>5849</v>
      </c>
      <c r="D2057" s="1460">
        <v>1</v>
      </c>
      <c r="E2057" s="1460">
        <v>1</v>
      </c>
      <c r="F2057" s="1461">
        <v>2</v>
      </c>
      <c r="G2057" s="1472" t="s">
        <v>5849</v>
      </c>
      <c r="H2057" s="1458">
        <v>1</v>
      </c>
      <c r="I2057" s="1458">
        <v>0</v>
      </c>
      <c r="J2057" s="1473">
        <v>1</v>
      </c>
      <c r="K2057" s="1462"/>
      <c r="L2057" s="1456">
        <v>13247060403</v>
      </c>
      <c r="M2057" s="1457">
        <v>1</v>
      </c>
      <c r="N2057" s="1457">
        <v>1</v>
      </c>
      <c r="O2057" s="1458">
        <v>2</v>
      </c>
    </row>
    <row r="2058" spans="3:15" ht="13.5">
      <c r="C2058" s="1463" t="s">
        <v>5850</v>
      </c>
      <c r="D2058" s="1460">
        <v>1</v>
      </c>
      <c r="E2058" s="1460">
        <v>1</v>
      </c>
      <c r="F2058" s="1461">
        <v>2</v>
      </c>
      <c r="G2058" s="1472" t="s">
        <v>5850</v>
      </c>
      <c r="H2058" s="1458">
        <v>1</v>
      </c>
      <c r="I2058" s="1458">
        <v>1</v>
      </c>
      <c r="J2058" s="1473">
        <v>2</v>
      </c>
      <c r="K2058" s="1462"/>
      <c r="L2058" s="1456">
        <v>13247060404</v>
      </c>
      <c r="M2058" s="1457">
        <v>1</v>
      </c>
      <c r="N2058" s="1457">
        <v>1</v>
      </c>
      <c r="O2058" s="1458">
        <v>2</v>
      </c>
    </row>
    <row r="2059" spans="3:15" ht="13.5">
      <c r="C2059" s="1463" t="s">
        <v>5851</v>
      </c>
      <c r="D2059" s="1460">
        <v>1</v>
      </c>
      <c r="E2059" s="1460">
        <v>1</v>
      </c>
      <c r="F2059" s="1461">
        <v>2</v>
      </c>
      <c r="G2059" s="1472" t="s">
        <v>5851</v>
      </c>
      <c r="H2059" s="1458">
        <v>0</v>
      </c>
      <c r="I2059" s="1458">
        <v>1</v>
      </c>
      <c r="J2059" s="1473">
        <v>1</v>
      </c>
      <c r="K2059" s="1462"/>
      <c r="L2059" s="1456">
        <v>13247060405</v>
      </c>
      <c r="M2059" s="1457">
        <v>1</v>
      </c>
      <c r="N2059" s="1457">
        <v>1</v>
      </c>
      <c r="O2059" s="1458">
        <v>2</v>
      </c>
    </row>
    <row r="2060" spans="3:15" ht="13.5">
      <c r="C2060" s="1463" t="s">
        <v>5852</v>
      </c>
      <c r="D2060" s="1460">
        <v>1</v>
      </c>
      <c r="E2060" s="1460">
        <v>1</v>
      </c>
      <c r="F2060" s="1461">
        <v>2</v>
      </c>
      <c r="G2060" s="1472" t="s">
        <v>5852</v>
      </c>
      <c r="H2060" s="1458">
        <v>1</v>
      </c>
      <c r="I2060" s="1458">
        <v>1</v>
      </c>
      <c r="J2060" s="1473">
        <v>2</v>
      </c>
      <c r="K2060" s="1462"/>
      <c r="L2060" s="1456">
        <v>13247060406</v>
      </c>
      <c r="M2060" s="1457">
        <v>1</v>
      </c>
      <c r="N2060" s="1457">
        <v>1</v>
      </c>
      <c r="O2060" s="1458">
        <v>2</v>
      </c>
    </row>
    <row r="2061" spans="3:15" ht="13.5">
      <c r="C2061" s="1463" t="s">
        <v>5853</v>
      </c>
      <c r="D2061" s="1460">
        <v>0</v>
      </c>
      <c r="E2061" s="1460">
        <v>1</v>
      </c>
      <c r="F2061" s="1461">
        <v>1</v>
      </c>
      <c r="G2061" s="1472" t="s">
        <v>5853</v>
      </c>
      <c r="H2061" s="1458">
        <v>0</v>
      </c>
      <c r="I2061" s="1458">
        <v>1</v>
      </c>
      <c r="J2061" s="1473">
        <v>1</v>
      </c>
      <c r="K2061" s="1462"/>
      <c r="L2061" s="1456">
        <v>13247060407</v>
      </c>
      <c r="M2061" s="1457">
        <v>0</v>
      </c>
      <c r="N2061" s="1457">
        <v>1</v>
      </c>
      <c r="O2061" s="1458">
        <v>1</v>
      </c>
    </row>
    <row r="2062" spans="3:15" ht="13.5">
      <c r="C2062" s="1463" t="s">
        <v>5854</v>
      </c>
      <c r="D2062" s="1460">
        <v>0</v>
      </c>
      <c r="E2062" s="1460">
        <v>0</v>
      </c>
      <c r="F2062" s="1461">
        <v>0</v>
      </c>
      <c r="G2062" s="1472" t="s">
        <v>5854</v>
      </c>
      <c r="H2062" s="1458">
        <v>0</v>
      </c>
      <c r="I2062" s="1458">
        <v>1</v>
      </c>
      <c r="J2062" s="1473">
        <v>1</v>
      </c>
      <c r="K2062" s="1462"/>
      <c r="L2062" s="1456">
        <v>13249960100</v>
      </c>
      <c r="M2062" s="1457">
        <v>0</v>
      </c>
      <c r="N2062" s="1457">
        <v>1</v>
      </c>
      <c r="O2062" s="1458">
        <v>1</v>
      </c>
    </row>
    <row r="2063" spans="3:15" ht="13.5">
      <c r="C2063" s="1463" t="s">
        <v>5855</v>
      </c>
      <c r="D2063" s="1460">
        <v>0</v>
      </c>
      <c r="E2063" s="1460">
        <v>0</v>
      </c>
      <c r="F2063" s="1461">
        <v>0</v>
      </c>
      <c r="G2063" s="1472" t="s">
        <v>5855</v>
      </c>
      <c r="H2063" s="1458">
        <v>0</v>
      </c>
      <c r="I2063" s="1458">
        <v>0</v>
      </c>
      <c r="J2063" s="1473">
        <v>0</v>
      </c>
      <c r="K2063" s="1462"/>
      <c r="L2063" s="1456">
        <v>13249960200</v>
      </c>
      <c r="M2063" s="1457">
        <v>0</v>
      </c>
      <c r="N2063" s="1457">
        <v>0</v>
      </c>
      <c r="O2063" s="1458">
        <v>0</v>
      </c>
    </row>
    <row r="2064" spans="3:15" ht="13.5">
      <c r="C2064" s="1463" t="s">
        <v>5856</v>
      </c>
      <c r="D2064" s="1460">
        <v>0</v>
      </c>
      <c r="E2064" s="1460">
        <v>0</v>
      </c>
      <c r="F2064" s="1461">
        <v>0</v>
      </c>
      <c r="G2064" s="1472" t="s">
        <v>5856</v>
      </c>
      <c r="H2064" s="1458">
        <v>0</v>
      </c>
      <c r="I2064" s="1458">
        <v>0</v>
      </c>
      <c r="J2064" s="1473">
        <v>0</v>
      </c>
      <c r="K2064" s="1462"/>
      <c r="L2064" s="1456">
        <v>13251970200</v>
      </c>
      <c r="M2064" s="1457">
        <v>0</v>
      </c>
      <c r="N2064" s="1457">
        <v>0</v>
      </c>
      <c r="O2064" s="1458">
        <v>0</v>
      </c>
    </row>
    <row r="2065" spans="3:15" ht="13.5">
      <c r="C2065" s="1463" t="s">
        <v>5857</v>
      </c>
      <c r="D2065" s="1460">
        <v>0</v>
      </c>
      <c r="E2065" s="1460">
        <v>0</v>
      </c>
      <c r="F2065" s="1461">
        <v>0</v>
      </c>
      <c r="G2065" s="1472" t="s">
        <v>5857</v>
      </c>
      <c r="H2065" s="1458">
        <v>0</v>
      </c>
      <c r="I2065" s="1458">
        <v>0</v>
      </c>
      <c r="J2065" s="1473">
        <v>0</v>
      </c>
      <c r="K2065" s="1462"/>
      <c r="L2065" s="1456">
        <v>13251970300</v>
      </c>
      <c r="M2065" s="1457">
        <v>0</v>
      </c>
      <c r="N2065" s="1457">
        <v>0</v>
      </c>
      <c r="O2065" s="1458">
        <v>0</v>
      </c>
    </row>
    <row r="2066" spans="3:15" ht="13.5">
      <c r="C2066" s="1463" t="s">
        <v>5858</v>
      </c>
      <c r="D2066" s="1460">
        <v>0</v>
      </c>
      <c r="E2066" s="1460">
        <v>0</v>
      </c>
      <c r="F2066" s="1461">
        <v>0</v>
      </c>
      <c r="G2066" s="1472" t="s">
        <v>5858</v>
      </c>
      <c r="H2066" s="1458">
        <v>0</v>
      </c>
      <c r="I2066" s="1458">
        <v>0</v>
      </c>
      <c r="J2066" s="1473">
        <v>0</v>
      </c>
      <c r="K2066" s="1462"/>
      <c r="L2066" s="1456">
        <v>13251970400</v>
      </c>
      <c r="M2066" s="1457">
        <v>0</v>
      </c>
      <c r="N2066" s="1457">
        <v>0</v>
      </c>
      <c r="O2066" s="1458">
        <v>0</v>
      </c>
    </row>
    <row r="2067" spans="3:15" ht="13.5">
      <c r="C2067" s="1463" t="s">
        <v>5859</v>
      </c>
      <c r="D2067" s="1460">
        <v>0</v>
      </c>
      <c r="E2067" s="1460">
        <v>0</v>
      </c>
      <c r="F2067" s="1461">
        <v>0</v>
      </c>
      <c r="G2067" s="1472" t="s">
        <v>5859</v>
      </c>
      <c r="H2067" s="1458">
        <v>0</v>
      </c>
      <c r="I2067" s="1458">
        <v>0</v>
      </c>
      <c r="J2067" s="1473">
        <v>0</v>
      </c>
      <c r="K2067" s="1462"/>
      <c r="L2067" s="1456">
        <v>13251970500</v>
      </c>
      <c r="M2067" s="1457">
        <v>0</v>
      </c>
      <c r="N2067" s="1457">
        <v>0</v>
      </c>
      <c r="O2067" s="1458">
        <v>0</v>
      </c>
    </row>
    <row r="2068" spans="3:15" ht="13.5">
      <c r="C2068" s="1463" t="s">
        <v>5860</v>
      </c>
      <c r="D2068" s="1460">
        <v>0</v>
      </c>
      <c r="E2068" s="1460">
        <v>0</v>
      </c>
      <c r="F2068" s="1461">
        <v>0</v>
      </c>
      <c r="G2068" s="1472" t="s">
        <v>5860</v>
      </c>
      <c r="H2068" s="1458">
        <v>0</v>
      </c>
      <c r="I2068" s="1458">
        <v>0</v>
      </c>
      <c r="J2068" s="1473">
        <v>0</v>
      </c>
      <c r="K2068" s="1462"/>
      <c r="L2068" s="1456">
        <v>13251970600</v>
      </c>
      <c r="M2068" s="1457">
        <v>0</v>
      </c>
      <c r="N2068" s="1457">
        <v>0</v>
      </c>
      <c r="O2068" s="1458">
        <v>0</v>
      </c>
    </row>
    <row r="2069" spans="3:15" ht="13.5">
      <c r="C2069" s="1463" t="s">
        <v>5861</v>
      </c>
      <c r="D2069" s="1460">
        <v>0</v>
      </c>
      <c r="E2069" s="1460">
        <v>0</v>
      </c>
      <c r="F2069" s="1461">
        <v>0</v>
      </c>
      <c r="G2069" s="1472" t="s">
        <v>5861</v>
      </c>
      <c r="H2069" s="1458">
        <v>0</v>
      </c>
      <c r="I2069" s="1458">
        <v>0</v>
      </c>
      <c r="J2069" s="1473">
        <v>0</v>
      </c>
      <c r="K2069" s="1462"/>
      <c r="L2069" s="1456">
        <v>13253200100</v>
      </c>
      <c r="M2069" s="1457">
        <v>0</v>
      </c>
      <c r="N2069" s="1457">
        <v>0</v>
      </c>
      <c r="O2069" s="1458">
        <v>0</v>
      </c>
    </row>
    <row r="2070" spans="3:15" ht="13.5">
      <c r="C2070" s="1463" t="s">
        <v>5862</v>
      </c>
      <c r="D2070" s="1460">
        <v>0</v>
      </c>
      <c r="E2070" s="1460">
        <v>0</v>
      </c>
      <c r="F2070" s="1461">
        <v>0</v>
      </c>
      <c r="G2070" s="1472" t="s">
        <v>5862</v>
      </c>
      <c r="H2070" s="1458">
        <v>0</v>
      </c>
      <c r="I2070" s="1458">
        <v>0</v>
      </c>
      <c r="J2070" s="1473">
        <v>0</v>
      </c>
      <c r="K2070" s="1462"/>
      <c r="L2070" s="1456">
        <v>13253200200</v>
      </c>
      <c r="M2070" s="1457">
        <v>0</v>
      </c>
      <c r="N2070" s="1457">
        <v>0</v>
      </c>
      <c r="O2070" s="1458">
        <v>0</v>
      </c>
    </row>
    <row r="2071" spans="3:15" ht="13.5">
      <c r="C2071" s="1463" t="s">
        <v>5863</v>
      </c>
      <c r="D2071" s="1460">
        <v>0</v>
      </c>
      <c r="E2071" s="1460">
        <v>0</v>
      </c>
      <c r="F2071" s="1461">
        <v>0</v>
      </c>
      <c r="G2071" s="1472" t="s">
        <v>5863</v>
      </c>
      <c r="H2071" s="1458">
        <v>0</v>
      </c>
      <c r="I2071" s="1458">
        <v>0</v>
      </c>
      <c r="J2071" s="1473">
        <v>0</v>
      </c>
      <c r="K2071" s="1462"/>
      <c r="L2071" s="1456">
        <v>13253200300</v>
      </c>
      <c r="M2071" s="1457">
        <v>0</v>
      </c>
      <c r="N2071" s="1457">
        <v>0</v>
      </c>
      <c r="O2071" s="1458">
        <v>0</v>
      </c>
    </row>
    <row r="2072" spans="3:15" ht="13.5">
      <c r="C2072" s="1463" t="s">
        <v>5864</v>
      </c>
      <c r="D2072" s="1460">
        <v>0</v>
      </c>
      <c r="E2072" s="1460">
        <v>1</v>
      </c>
      <c r="F2072" s="1461">
        <v>1</v>
      </c>
      <c r="G2072" s="1472" t="s">
        <v>5864</v>
      </c>
      <c r="H2072" s="1458">
        <v>0</v>
      </c>
      <c r="I2072" s="1458">
        <v>0</v>
      </c>
      <c r="J2072" s="1473">
        <v>0</v>
      </c>
      <c r="K2072" s="1462"/>
      <c r="L2072" s="1456">
        <v>13255160100</v>
      </c>
      <c r="M2072" s="1457">
        <v>0</v>
      </c>
      <c r="N2072" s="1457">
        <v>1</v>
      </c>
      <c r="O2072" s="1458">
        <v>1</v>
      </c>
    </row>
    <row r="2073" spans="3:15" ht="13.5">
      <c r="C2073" s="1463" t="s">
        <v>5865</v>
      </c>
      <c r="D2073" s="1460">
        <v>0</v>
      </c>
      <c r="E2073" s="1460">
        <v>0</v>
      </c>
      <c r="F2073" s="1461">
        <v>0</v>
      </c>
      <c r="G2073" s="1472" t="s">
        <v>5865</v>
      </c>
      <c r="H2073" s="1458">
        <v>0</v>
      </c>
      <c r="I2073" s="1458">
        <v>0</v>
      </c>
      <c r="J2073" s="1473">
        <v>0</v>
      </c>
      <c r="K2073" s="1462"/>
      <c r="L2073" s="1456">
        <v>13255160200</v>
      </c>
      <c r="M2073" s="1457">
        <v>0</v>
      </c>
      <c r="N2073" s="1457">
        <v>0</v>
      </c>
      <c r="O2073" s="1458">
        <v>0</v>
      </c>
    </row>
    <row r="2074" spans="3:15" ht="13.5">
      <c r="C2074" s="1463" t="s">
        <v>5866</v>
      </c>
      <c r="D2074" s="1460">
        <v>0</v>
      </c>
      <c r="E2074" s="1460">
        <v>0</v>
      </c>
      <c r="F2074" s="1461">
        <v>0</v>
      </c>
      <c r="G2074" s="1472" t="s">
        <v>5866</v>
      </c>
      <c r="H2074" s="1458">
        <v>0</v>
      </c>
      <c r="I2074" s="1458">
        <v>0</v>
      </c>
      <c r="J2074" s="1473">
        <v>0</v>
      </c>
      <c r="K2074" s="1462"/>
      <c r="L2074" s="1456">
        <v>13255160300</v>
      </c>
      <c r="M2074" s="1457">
        <v>0</v>
      </c>
      <c r="N2074" s="1457">
        <v>0</v>
      </c>
      <c r="O2074" s="1458">
        <v>0</v>
      </c>
    </row>
    <row r="2075" spans="3:15" ht="13.5">
      <c r="C2075" s="1463" t="s">
        <v>5867</v>
      </c>
      <c r="D2075" s="1460">
        <v>0</v>
      </c>
      <c r="E2075" s="1460">
        <v>0</v>
      </c>
      <c r="F2075" s="1461">
        <v>0</v>
      </c>
      <c r="G2075" s="1472" t="s">
        <v>5867</v>
      </c>
      <c r="H2075" s="1458">
        <v>0</v>
      </c>
      <c r="I2075" s="1458">
        <v>0</v>
      </c>
      <c r="J2075" s="1473">
        <v>0</v>
      </c>
      <c r="K2075" s="1462"/>
      <c r="L2075" s="1456">
        <v>13255160400</v>
      </c>
      <c r="M2075" s="1457">
        <v>0</v>
      </c>
      <c r="N2075" s="1457">
        <v>0</v>
      </c>
      <c r="O2075" s="1458">
        <v>0</v>
      </c>
    </row>
    <row r="2076" spans="3:15" ht="13.5">
      <c r="C2076" s="1463" t="s">
        <v>5868</v>
      </c>
      <c r="D2076" s="1460">
        <v>0</v>
      </c>
      <c r="E2076" s="1460">
        <v>0</v>
      </c>
      <c r="F2076" s="1461">
        <v>0</v>
      </c>
      <c r="G2076" s="1472" t="s">
        <v>5868</v>
      </c>
      <c r="H2076" s="1458">
        <v>0</v>
      </c>
      <c r="I2076" s="1458">
        <v>0</v>
      </c>
      <c r="J2076" s="1473">
        <v>0</v>
      </c>
      <c r="K2076" s="1462"/>
      <c r="L2076" s="1456">
        <v>13255160500</v>
      </c>
      <c r="M2076" s="1457">
        <v>0</v>
      </c>
      <c r="N2076" s="1457">
        <v>0</v>
      </c>
      <c r="O2076" s="1458">
        <v>0</v>
      </c>
    </row>
    <row r="2077" spans="3:15" ht="13.5">
      <c r="C2077" s="1463" t="s">
        <v>5869</v>
      </c>
      <c r="D2077" s="1460">
        <v>1</v>
      </c>
      <c r="E2077" s="1460">
        <v>1</v>
      </c>
      <c r="F2077" s="1461">
        <v>2</v>
      </c>
      <c r="G2077" s="1472" t="s">
        <v>5869</v>
      </c>
      <c r="H2077" s="1458">
        <v>0</v>
      </c>
      <c r="I2077" s="1458">
        <v>0</v>
      </c>
      <c r="J2077" s="1473">
        <v>0</v>
      </c>
      <c r="K2077" s="1462"/>
      <c r="L2077" s="1456">
        <v>13255160600</v>
      </c>
      <c r="M2077" s="1457">
        <v>1</v>
      </c>
      <c r="N2077" s="1457">
        <v>1</v>
      </c>
      <c r="O2077" s="1458">
        <v>2</v>
      </c>
    </row>
    <row r="2078" spans="3:15" ht="13.5">
      <c r="C2078" s="1463" t="s">
        <v>5870</v>
      </c>
      <c r="D2078" s="1460">
        <v>0</v>
      </c>
      <c r="E2078" s="1460">
        <v>0</v>
      </c>
      <c r="F2078" s="1461">
        <v>0</v>
      </c>
      <c r="G2078" s="1472" t="s">
        <v>5870</v>
      </c>
      <c r="H2078" s="1458">
        <v>0</v>
      </c>
      <c r="I2078" s="1458">
        <v>0</v>
      </c>
      <c r="J2078" s="1473">
        <v>0</v>
      </c>
      <c r="K2078" s="1462"/>
      <c r="L2078" s="1456">
        <v>13255160700</v>
      </c>
      <c r="M2078" s="1457">
        <v>0</v>
      </c>
      <c r="N2078" s="1457">
        <v>0</v>
      </c>
      <c r="O2078" s="1458">
        <v>0</v>
      </c>
    </row>
    <row r="2079" spans="3:15" ht="13.5">
      <c r="C2079" s="1463" t="s">
        <v>5871</v>
      </c>
      <c r="D2079" s="1460">
        <v>0</v>
      </c>
      <c r="E2079" s="1460">
        <v>0</v>
      </c>
      <c r="F2079" s="1461">
        <v>0</v>
      </c>
      <c r="G2079" s="1472" t="s">
        <v>5871</v>
      </c>
      <c r="H2079" s="1458">
        <v>0</v>
      </c>
      <c r="I2079" s="1458">
        <v>0</v>
      </c>
      <c r="J2079" s="1473">
        <v>0</v>
      </c>
      <c r="K2079" s="1462"/>
      <c r="L2079" s="1456">
        <v>13255160800</v>
      </c>
      <c r="M2079" s="1457">
        <v>0</v>
      </c>
      <c r="N2079" s="1457">
        <v>0</v>
      </c>
      <c r="O2079" s="1458">
        <v>0</v>
      </c>
    </row>
    <row r="2080" spans="3:15" ht="13.5">
      <c r="C2080" s="1463" t="s">
        <v>5872</v>
      </c>
      <c r="D2080" s="1460">
        <v>0</v>
      </c>
      <c r="E2080" s="1460">
        <v>0</v>
      </c>
      <c r="F2080" s="1461">
        <v>0</v>
      </c>
      <c r="G2080" s="1472" t="s">
        <v>5872</v>
      </c>
      <c r="H2080" s="1458">
        <v>0</v>
      </c>
      <c r="I2080" s="1458">
        <v>0</v>
      </c>
      <c r="J2080" s="1473">
        <v>0</v>
      </c>
      <c r="K2080" s="1462"/>
      <c r="L2080" s="1456">
        <v>13255160900</v>
      </c>
      <c r="M2080" s="1457">
        <v>0</v>
      </c>
      <c r="N2080" s="1457">
        <v>0</v>
      </c>
      <c r="O2080" s="1458">
        <v>0</v>
      </c>
    </row>
    <row r="2081" spans="3:15" ht="13.5">
      <c r="C2081" s="1463" t="s">
        <v>5873</v>
      </c>
      <c r="D2081" s="1460">
        <v>0</v>
      </c>
      <c r="E2081" s="1460">
        <v>1</v>
      </c>
      <c r="F2081" s="1461">
        <v>1</v>
      </c>
      <c r="G2081" s="1472" t="s">
        <v>5873</v>
      </c>
      <c r="H2081" s="1458">
        <v>0</v>
      </c>
      <c r="I2081" s="1458">
        <v>0</v>
      </c>
      <c r="J2081" s="1473">
        <v>0</v>
      </c>
      <c r="K2081" s="1462"/>
      <c r="L2081" s="1456">
        <v>13255161000</v>
      </c>
      <c r="M2081" s="1457">
        <v>0</v>
      </c>
      <c r="N2081" s="1457">
        <v>1</v>
      </c>
      <c r="O2081" s="1458">
        <v>1</v>
      </c>
    </row>
    <row r="2082" spans="3:15" ht="13.5">
      <c r="C2082" s="1463" t="s">
        <v>5874</v>
      </c>
      <c r="D2082" s="1460">
        <v>1</v>
      </c>
      <c r="E2082" s="1460">
        <v>1</v>
      </c>
      <c r="F2082" s="1461">
        <v>2</v>
      </c>
      <c r="G2082" s="1472" t="s">
        <v>5874</v>
      </c>
      <c r="H2082" s="1458">
        <v>1</v>
      </c>
      <c r="I2082" s="1458">
        <v>1</v>
      </c>
      <c r="J2082" s="1473">
        <v>2</v>
      </c>
      <c r="K2082" s="1462"/>
      <c r="L2082" s="1456">
        <v>13255161100</v>
      </c>
      <c r="M2082" s="1457">
        <v>1</v>
      </c>
      <c r="N2082" s="1457">
        <v>1</v>
      </c>
      <c r="O2082" s="1458">
        <v>2</v>
      </c>
    </row>
    <row r="2083" spans="3:15" ht="13.5">
      <c r="C2083" s="1463" t="s">
        <v>5875</v>
      </c>
      <c r="D2083" s="1460">
        <v>0</v>
      </c>
      <c r="E2083" s="1460">
        <v>0</v>
      </c>
      <c r="F2083" s="1461">
        <v>0</v>
      </c>
      <c r="G2083" s="1472" t="s">
        <v>5875</v>
      </c>
      <c r="H2083" s="1458">
        <v>0</v>
      </c>
      <c r="I2083" s="1458">
        <v>1</v>
      </c>
      <c r="J2083" s="1473">
        <v>1</v>
      </c>
      <c r="K2083" s="1462"/>
      <c r="L2083" s="1456">
        <v>13255161200</v>
      </c>
      <c r="M2083" s="1457">
        <v>0</v>
      </c>
      <c r="N2083" s="1457">
        <v>1</v>
      </c>
      <c r="O2083" s="1458">
        <v>1</v>
      </c>
    </row>
    <row r="2084" spans="3:15" ht="13.5">
      <c r="C2084" s="1463" t="s">
        <v>5876</v>
      </c>
      <c r="D2084" s="1460">
        <v>0</v>
      </c>
      <c r="E2084" s="1460">
        <v>0</v>
      </c>
      <c r="F2084" s="1461">
        <v>0</v>
      </c>
      <c r="G2084" s="1472" t="s">
        <v>5876</v>
      </c>
      <c r="H2084" s="1458">
        <v>0</v>
      </c>
      <c r="I2084" s="1458">
        <v>0</v>
      </c>
      <c r="J2084" s="1473">
        <v>0</v>
      </c>
      <c r="K2084" s="1462"/>
      <c r="L2084" s="1456">
        <v>13257970100</v>
      </c>
      <c r="M2084" s="1457">
        <v>0</v>
      </c>
      <c r="N2084" s="1457">
        <v>0</v>
      </c>
      <c r="O2084" s="1458">
        <v>0</v>
      </c>
    </row>
    <row r="2085" spans="3:15" ht="13.5">
      <c r="C2085" s="1463" t="s">
        <v>5877</v>
      </c>
      <c r="D2085" s="1460">
        <v>0</v>
      </c>
      <c r="E2085" s="1460">
        <v>0</v>
      </c>
      <c r="F2085" s="1461">
        <v>0</v>
      </c>
      <c r="G2085" s="1472" t="s">
        <v>5877</v>
      </c>
      <c r="H2085" s="1458">
        <v>0</v>
      </c>
      <c r="I2085" s="1458">
        <v>0</v>
      </c>
      <c r="J2085" s="1473">
        <v>0</v>
      </c>
      <c r="K2085" s="1462"/>
      <c r="L2085" s="1456">
        <v>13257970200</v>
      </c>
      <c r="M2085" s="1457">
        <v>0</v>
      </c>
      <c r="N2085" s="1457">
        <v>0</v>
      </c>
      <c r="O2085" s="1458">
        <v>0</v>
      </c>
    </row>
    <row r="2086" spans="3:15" ht="13.5">
      <c r="C2086" s="1463" t="s">
        <v>5878</v>
      </c>
      <c r="D2086" s="1460">
        <v>0</v>
      </c>
      <c r="E2086" s="1460">
        <v>0</v>
      </c>
      <c r="F2086" s="1461">
        <v>0</v>
      </c>
      <c r="G2086" s="1472" t="s">
        <v>5878</v>
      </c>
      <c r="H2086" s="1458">
        <v>0</v>
      </c>
      <c r="I2086" s="1458">
        <v>0</v>
      </c>
      <c r="J2086" s="1473">
        <v>0</v>
      </c>
      <c r="K2086" s="1462"/>
      <c r="L2086" s="1456">
        <v>13257970301</v>
      </c>
      <c r="M2086" s="1457">
        <v>0</v>
      </c>
      <c r="N2086" s="1457">
        <v>0</v>
      </c>
      <c r="O2086" s="1458">
        <v>0</v>
      </c>
    </row>
    <row r="2087" spans="3:15" ht="13.5">
      <c r="C2087" s="1463" t="s">
        <v>5879</v>
      </c>
      <c r="D2087" s="1460">
        <v>0</v>
      </c>
      <c r="E2087" s="1460">
        <v>0</v>
      </c>
      <c r="F2087" s="1461">
        <v>0</v>
      </c>
      <c r="G2087" s="1472" t="s">
        <v>5879</v>
      </c>
      <c r="H2087" s="1458">
        <v>0</v>
      </c>
      <c r="I2087" s="1458">
        <v>0</v>
      </c>
      <c r="J2087" s="1473">
        <v>0</v>
      </c>
      <c r="K2087" s="1462"/>
      <c r="L2087" s="1456">
        <v>13257970302</v>
      </c>
      <c r="M2087" s="1457">
        <v>0</v>
      </c>
      <c r="N2087" s="1457">
        <v>0</v>
      </c>
      <c r="O2087" s="1458">
        <v>0</v>
      </c>
    </row>
    <row r="2088" spans="3:15" ht="13.5">
      <c r="C2088" s="1463" t="s">
        <v>5880</v>
      </c>
      <c r="D2088" s="1460">
        <v>0</v>
      </c>
      <c r="E2088" s="1460">
        <v>0</v>
      </c>
      <c r="F2088" s="1461">
        <v>0</v>
      </c>
      <c r="G2088" s="1472" t="s">
        <v>5880</v>
      </c>
      <c r="H2088" s="1458">
        <v>0</v>
      </c>
      <c r="I2088" s="1458">
        <v>0</v>
      </c>
      <c r="J2088" s="1473">
        <v>0</v>
      </c>
      <c r="K2088" s="1462"/>
      <c r="L2088" s="1456">
        <v>13257970400</v>
      </c>
      <c r="M2088" s="1457">
        <v>0</v>
      </c>
      <c r="N2088" s="1457">
        <v>0</v>
      </c>
      <c r="O2088" s="1458">
        <v>0</v>
      </c>
    </row>
    <row r="2089" spans="3:15" ht="13.5">
      <c r="C2089" s="1463" t="s">
        <v>5881</v>
      </c>
      <c r="D2089" s="1460">
        <v>0</v>
      </c>
      <c r="E2089" s="1460">
        <v>0</v>
      </c>
      <c r="F2089" s="1461">
        <v>0</v>
      </c>
      <c r="G2089" s="1472" t="s">
        <v>5881</v>
      </c>
      <c r="H2089" s="1458">
        <v>0</v>
      </c>
      <c r="I2089" s="1458">
        <v>0</v>
      </c>
      <c r="J2089" s="1473">
        <v>0</v>
      </c>
      <c r="K2089" s="1462"/>
      <c r="L2089" s="1456">
        <v>13259950100</v>
      </c>
      <c r="M2089" s="1457">
        <v>0</v>
      </c>
      <c r="N2089" s="1457">
        <v>0</v>
      </c>
      <c r="O2089" s="1458">
        <v>0</v>
      </c>
    </row>
    <row r="2090" spans="3:15" ht="13.5">
      <c r="C2090" s="1463" t="s">
        <v>5882</v>
      </c>
      <c r="D2090" s="1460">
        <v>0</v>
      </c>
      <c r="E2090" s="1460">
        <v>0</v>
      </c>
      <c r="F2090" s="1461">
        <v>0</v>
      </c>
      <c r="G2090" s="1472" t="s">
        <v>5882</v>
      </c>
      <c r="H2090" s="1458">
        <v>0</v>
      </c>
      <c r="I2090" s="1458">
        <v>0</v>
      </c>
      <c r="J2090" s="1473">
        <v>0</v>
      </c>
      <c r="K2090" s="1462"/>
      <c r="L2090" s="1456">
        <v>13259950400</v>
      </c>
      <c r="M2090" s="1457">
        <v>0</v>
      </c>
      <c r="N2090" s="1457">
        <v>0</v>
      </c>
      <c r="O2090" s="1458">
        <v>0</v>
      </c>
    </row>
    <row r="2091" spans="3:15" ht="13.5">
      <c r="C2091" s="1463" t="s">
        <v>5883</v>
      </c>
      <c r="D2091" s="1460">
        <v>0</v>
      </c>
      <c r="E2091" s="1460">
        <v>0</v>
      </c>
      <c r="F2091" s="1461">
        <v>0</v>
      </c>
      <c r="G2091" s="1472" t="s">
        <v>5883</v>
      </c>
      <c r="H2091" s="1458">
        <v>0</v>
      </c>
      <c r="I2091" s="1458">
        <v>0</v>
      </c>
      <c r="J2091" s="1473">
        <v>0</v>
      </c>
      <c r="K2091" s="1462"/>
      <c r="L2091" s="1456">
        <v>13261950100</v>
      </c>
      <c r="M2091" s="1457">
        <v>0</v>
      </c>
      <c r="N2091" s="1457">
        <v>0</v>
      </c>
      <c r="O2091" s="1458">
        <v>0</v>
      </c>
    </row>
    <row r="2092" spans="3:15" ht="13.5">
      <c r="C2092" s="1463" t="s">
        <v>5884</v>
      </c>
      <c r="D2092" s="1460">
        <v>0</v>
      </c>
      <c r="E2092" s="1460">
        <v>0</v>
      </c>
      <c r="F2092" s="1461">
        <v>0</v>
      </c>
      <c r="G2092" s="1472" t="s">
        <v>5884</v>
      </c>
      <c r="H2092" s="1458">
        <v>0</v>
      </c>
      <c r="I2092" s="1458">
        <v>0</v>
      </c>
      <c r="J2092" s="1473">
        <v>0</v>
      </c>
      <c r="K2092" s="1462"/>
      <c r="L2092" s="1456">
        <v>13261950200</v>
      </c>
      <c r="M2092" s="1457">
        <v>0</v>
      </c>
      <c r="N2092" s="1457">
        <v>0</v>
      </c>
      <c r="O2092" s="1458">
        <v>0</v>
      </c>
    </row>
    <row r="2093" spans="3:15" ht="13.5">
      <c r="C2093" s="1463" t="s">
        <v>5885</v>
      </c>
      <c r="D2093" s="1460">
        <v>0</v>
      </c>
      <c r="E2093" s="1460">
        <v>0</v>
      </c>
      <c r="F2093" s="1461">
        <v>0</v>
      </c>
      <c r="G2093" s="1472" t="s">
        <v>5885</v>
      </c>
      <c r="H2093" s="1458">
        <v>0</v>
      </c>
      <c r="I2093" s="1458">
        <v>1</v>
      </c>
      <c r="J2093" s="1473">
        <v>1</v>
      </c>
      <c r="K2093" s="1462"/>
      <c r="L2093" s="1456">
        <v>13261950300</v>
      </c>
      <c r="M2093" s="1457">
        <v>0</v>
      </c>
      <c r="N2093" s="1457">
        <v>1</v>
      </c>
      <c r="O2093" s="1458">
        <v>1</v>
      </c>
    </row>
    <row r="2094" spans="3:15" ht="13.5">
      <c r="C2094" s="1463" t="s">
        <v>5886</v>
      </c>
      <c r="D2094" s="1460">
        <v>0</v>
      </c>
      <c r="E2094" s="1460">
        <v>0</v>
      </c>
      <c r="F2094" s="1461">
        <v>0</v>
      </c>
      <c r="G2094" s="1472" t="s">
        <v>5886</v>
      </c>
      <c r="H2094" s="1458">
        <v>0</v>
      </c>
      <c r="I2094" s="1458">
        <v>0</v>
      </c>
      <c r="J2094" s="1473">
        <v>0</v>
      </c>
      <c r="K2094" s="1462"/>
      <c r="L2094" s="1456">
        <v>13261950400</v>
      </c>
      <c r="M2094" s="1457">
        <v>0</v>
      </c>
      <c r="N2094" s="1457">
        <v>0</v>
      </c>
      <c r="O2094" s="1458">
        <v>0</v>
      </c>
    </row>
    <row r="2095" spans="3:15" ht="13.5">
      <c r="C2095" s="1463" t="s">
        <v>5887</v>
      </c>
      <c r="D2095" s="1460">
        <v>0</v>
      </c>
      <c r="E2095" s="1460">
        <v>0</v>
      </c>
      <c r="F2095" s="1461">
        <v>0</v>
      </c>
      <c r="G2095" s="1472" t="s">
        <v>5887</v>
      </c>
      <c r="H2095" s="1458">
        <v>0</v>
      </c>
      <c r="I2095" s="1458">
        <v>0</v>
      </c>
      <c r="J2095" s="1473">
        <v>0</v>
      </c>
      <c r="K2095" s="1462"/>
      <c r="L2095" s="1456">
        <v>13261950500</v>
      </c>
      <c r="M2095" s="1457">
        <v>0</v>
      </c>
      <c r="N2095" s="1457">
        <v>0</v>
      </c>
      <c r="O2095" s="1458">
        <v>0</v>
      </c>
    </row>
    <row r="2096" spans="3:15" ht="13.5">
      <c r="C2096" s="1463" t="s">
        <v>5888</v>
      </c>
      <c r="D2096" s="1460">
        <v>0</v>
      </c>
      <c r="E2096" s="1460">
        <v>0</v>
      </c>
      <c r="F2096" s="1461">
        <v>0</v>
      </c>
      <c r="G2096" s="1472" t="s">
        <v>5888</v>
      </c>
      <c r="H2096" s="1458">
        <v>0</v>
      </c>
      <c r="I2096" s="1458">
        <v>0</v>
      </c>
      <c r="J2096" s="1473">
        <v>0</v>
      </c>
      <c r="K2096" s="1462"/>
      <c r="L2096" s="1456">
        <v>13261950600</v>
      </c>
      <c r="M2096" s="1457">
        <v>0</v>
      </c>
      <c r="N2096" s="1457">
        <v>0</v>
      </c>
      <c r="O2096" s="1458">
        <v>0</v>
      </c>
    </row>
    <row r="2097" spans="3:15" ht="13.5">
      <c r="C2097" s="1463" t="s">
        <v>5889</v>
      </c>
      <c r="D2097" s="1460">
        <v>0</v>
      </c>
      <c r="E2097" s="1460">
        <v>0</v>
      </c>
      <c r="F2097" s="1461">
        <v>0</v>
      </c>
      <c r="G2097" s="1472" t="s">
        <v>5889</v>
      </c>
      <c r="H2097" s="1458">
        <v>0</v>
      </c>
      <c r="I2097" s="1458">
        <v>1</v>
      </c>
      <c r="J2097" s="1473">
        <v>1</v>
      </c>
      <c r="K2097" s="1462"/>
      <c r="L2097" s="1456">
        <v>13261950700</v>
      </c>
      <c r="M2097" s="1457">
        <v>0</v>
      </c>
      <c r="N2097" s="1457">
        <v>1</v>
      </c>
      <c r="O2097" s="1458">
        <v>1</v>
      </c>
    </row>
    <row r="2098" spans="3:15" ht="13.5">
      <c r="C2098" s="1463" t="s">
        <v>5890</v>
      </c>
      <c r="D2098" s="1460">
        <v>0</v>
      </c>
      <c r="E2098" s="1460">
        <v>0</v>
      </c>
      <c r="F2098" s="1461">
        <v>0</v>
      </c>
      <c r="G2098" s="1472" t="s">
        <v>5890</v>
      </c>
      <c r="H2098" s="1458">
        <v>0</v>
      </c>
      <c r="I2098" s="1458">
        <v>1</v>
      </c>
      <c r="J2098" s="1473">
        <v>1</v>
      </c>
      <c r="K2098" s="1462"/>
      <c r="L2098" s="1456">
        <v>13261950800</v>
      </c>
      <c r="M2098" s="1457">
        <v>0</v>
      </c>
      <c r="N2098" s="1457">
        <v>1</v>
      </c>
      <c r="O2098" s="1458">
        <v>1</v>
      </c>
    </row>
    <row r="2099" spans="3:15" ht="13.5">
      <c r="C2099" s="1463" t="s">
        <v>5891</v>
      </c>
      <c r="D2099" s="1460">
        <v>1</v>
      </c>
      <c r="E2099" s="1460">
        <v>0</v>
      </c>
      <c r="F2099" s="1461">
        <v>1</v>
      </c>
      <c r="G2099" s="1472" t="s">
        <v>5891</v>
      </c>
      <c r="H2099" s="1458">
        <v>0</v>
      </c>
      <c r="I2099" s="1458" t="s">
        <v>3911</v>
      </c>
      <c r="J2099" s="1473">
        <v>0</v>
      </c>
      <c r="K2099" s="1462"/>
      <c r="L2099" s="1456">
        <v>13263960100</v>
      </c>
      <c r="M2099" s="1457">
        <v>1</v>
      </c>
      <c r="N2099" s="1457">
        <v>0</v>
      </c>
      <c r="O2099" s="1458">
        <v>1</v>
      </c>
    </row>
    <row r="2100" spans="3:15" ht="13.5">
      <c r="C2100" s="1463" t="s">
        <v>5892</v>
      </c>
      <c r="D2100" s="1460">
        <v>0</v>
      </c>
      <c r="E2100" s="1460">
        <v>0</v>
      </c>
      <c r="F2100" s="1461">
        <v>0</v>
      </c>
      <c r="G2100" s="1472" t="s">
        <v>5892</v>
      </c>
      <c r="H2100" s="1458">
        <v>0</v>
      </c>
      <c r="I2100" s="1458">
        <v>0</v>
      </c>
      <c r="J2100" s="1473">
        <v>0</v>
      </c>
      <c r="K2100" s="1462"/>
      <c r="L2100" s="1456">
        <v>13263960200</v>
      </c>
      <c r="M2100" s="1457">
        <v>0</v>
      </c>
      <c r="N2100" s="1457">
        <v>0</v>
      </c>
      <c r="O2100" s="1458">
        <v>0</v>
      </c>
    </row>
    <row r="2101" spans="3:15" ht="13.5">
      <c r="C2101" s="1463" t="s">
        <v>5893</v>
      </c>
      <c r="D2101" s="1460">
        <v>0</v>
      </c>
      <c r="E2101" s="1460">
        <v>0</v>
      </c>
      <c r="F2101" s="1461">
        <v>0</v>
      </c>
      <c r="G2101" s="1472" t="s">
        <v>5893</v>
      </c>
      <c r="H2101" s="1458">
        <v>0</v>
      </c>
      <c r="I2101" s="1458">
        <v>0</v>
      </c>
      <c r="J2101" s="1473">
        <v>0</v>
      </c>
      <c r="K2101" s="1462"/>
      <c r="L2101" s="1456">
        <v>13263960300</v>
      </c>
      <c r="M2101" s="1457">
        <v>0</v>
      </c>
      <c r="N2101" s="1457">
        <v>0</v>
      </c>
      <c r="O2101" s="1458">
        <v>0</v>
      </c>
    </row>
    <row r="2102" spans="3:15" ht="13.5">
      <c r="C2102" s="1463" t="s">
        <v>5894</v>
      </c>
      <c r="D2102" s="1460">
        <v>0</v>
      </c>
      <c r="E2102" s="1460">
        <v>0</v>
      </c>
      <c r="F2102" s="1461">
        <v>0</v>
      </c>
      <c r="G2102" s="1472" t="s">
        <v>5894</v>
      </c>
      <c r="H2102" s="1458">
        <v>0</v>
      </c>
      <c r="I2102" s="1458">
        <v>0</v>
      </c>
      <c r="J2102" s="1473">
        <v>0</v>
      </c>
      <c r="K2102" s="1462"/>
      <c r="L2102" s="1456">
        <v>13265010200</v>
      </c>
      <c r="M2102" s="1457">
        <v>0</v>
      </c>
      <c r="N2102" s="1457">
        <v>0</v>
      </c>
      <c r="O2102" s="1458">
        <v>0</v>
      </c>
    </row>
    <row r="2103" spans="3:15" ht="13.5">
      <c r="C2103" s="1463" t="s">
        <v>5895</v>
      </c>
      <c r="D2103" s="1460">
        <v>0</v>
      </c>
      <c r="E2103" s="1460">
        <v>0</v>
      </c>
      <c r="F2103" s="1461">
        <v>0</v>
      </c>
      <c r="G2103" s="1472" t="s">
        <v>5895</v>
      </c>
      <c r="H2103" s="1458">
        <v>0</v>
      </c>
      <c r="I2103" s="1458">
        <v>0</v>
      </c>
      <c r="J2103" s="1473">
        <v>0</v>
      </c>
      <c r="K2103" s="1462"/>
      <c r="L2103" s="1456">
        <v>13267950100</v>
      </c>
      <c r="M2103" s="1457">
        <v>0</v>
      </c>
      <c r="N2103" s="1457">
        <v>0</v>
      </c>
      <c r="O2103" s="1458">
        <v>0</v>
      </c>
    </row>
    <row r="2104" spans="3:15" ht="13.5">
      <c r="C2104" s="1463" t="s">
        <v>5896</v>
      </c>
      <c r="D2104" s="1460">
        <v>0</v>
      </c>
      <c r="E2104" s="1460">
        <v>0</v>
      </c>
      <c r="F2104" s="1461">
        <v>0</v>
      </c>
      <c r="G2104" s="1472" t="s">
        <v>5896</v>
      </c>
      <c r="H2104" s="1458">
        <v>0</v>
      </c>
      <c r="I2104" s="1458">
        <v>0</v>
      </c>
      <c r="J2104" s="1473">
        <v>0</v>
      </c>
      <c r="K2104" s="1462"/>
      <c r="L2104" s="1456">
        <v>13267950201</v>
      </c>
      <c r="M2104" s="1457">
        <v>0</v>
      </c>
      <c r="N2104" s="1457">
        <v>0</v>
      </c>
      <c r="O2104" s="1458">
        <v>0</v>
      </c>
    </row>
    <row r="2105" spans="3:15" ht="13.5">
      <c r="C2105" s="1463" t="s">
        <v>5897</v>
      </c>
      <c r="D2105" s="1460">
        <v>0</v>
      </c>
      <c r="E2105" s="1460">
        <v>0</v>
      </c>
      <c r="F2105" s="1461">
        <v>0</v>
      </c>
      <c r="G2105" s="1472" t="s">
        <v>5897</v>
      </c>
      <c r="H2105" s="1458">
        <v>0</v>
      </c>
      <c r="I2105" s="1458">
        <v>0</v>
      </c>
      <c r="J2105" s="1473">
        <v>0</v>
      </c>
      <c r="K2105" s="1462"/>
      <c r="L2105" s="1456">
        <v>13267950202</v>
      </c>
      <c r="M2105" s="1457">
        <v>0</v>
      </c>
      <c r="N2105" s="1457">
        <v>0</v>
      </c>
      <c r="O2105" s="1458">
        <v>0</v>
      </c>
    </row>
    <row r="2106" spans="3:15" ht="13.5">
      <c r="C2106" s="1463" t="s">
        <v>5898</v>
      </c>
      <c r="D2106" s="1460">
        <v>0</v>
      </c>
      <c r="E2106" s="1460">
        <v>0</v>
      </c>
      <c r="F2106" s="1461">
        <v>0</v>
      </c>
      <c r="G2106" s="1472" t="s">
        <v>5898</v>
      </c>
      <c r="H2106" s="1458">
        <v>0</v>
      </c>
      <c r="I2106" s="1458">
        <v>0</v>
      </c>
      <c r="J2106" s="1473">
        <v>0</v>
      </c>
      <c r="K2106" s="1462"/>
      <c r="L2106" s="1456">
        <v>13267950300</v>
      </c>
      <c r="M2106" s="1457">
        <v>0</v>
      </c>
      <c r="N2106" s="1457">
        <v>0</v>
      </c>
      <c r="O2106" s="1458">
        <v>0</v>
      </c>
    </row>
    <row r="2107" spans="3:15" ht="13.5">
      <c r="C2107" s="1463" t="s">
        <v>5899</v>
      </c>
      <c r="D2107" s="1460">
        <v>0</v>
      </c>
      <c r="E2107" s="1460">
        <v>0</v>
      </c>
      <c r="F2107" s="1461">
        <v>0</v>
      </c>
      <c r="G2107" s="1472" t="s">
        <v>5899</v>
      </c>
      <c r="H2107" s="1458">
        <v>0</v>
      </c>
      <c r="I2107" s="1458">
        <v>0</v>
      </c>
      <c r="J2107" s="1473">
        <v>0</v>
      </c>
      <c r="K2107" s="1462"/>
      <c r="L2107" s="1456">
        <v>13267950400</v>
      </c>
      <c r="M2107" s="1457">
        <v>0</v>
      </c>
      <c r="N2107" s="1457">
        <v>0</v>
      </c>
      <c r="O2107" s="1458">
        <v>0</v>
      </c>
    </row>
    <row r="2108" spans="3:15" ht="13.5">
      <c r="C2108" s="1463" t="s">
        <v>5900</v>
      </c>
      <c r="D2108" s="1460">
        <v>0</v>
      </c>
      <c r="E2108" s="1460">
        <v>0</v>
      </c>
      <c r="F2108" s="1461">
        <v>0</v>
      </c>
      <c r="G2108" s="1472" t="s">
        <v>5900</v>
      </c>
      <c r="H2108" s="1458">
        <v>0</v>
      </c>
      <c r="I2108" s="1458">
        <v>0</v>
      </c>
      <c r="J2108" s="1473">
        <v>0</v>
      </c>
      <c r="K2108" s="1462"/>
      <c r="L2108" s="1456">
        <v>13269950100</v>
      </c>
      <c r="M2108" s="1457">
        <v>0</v>
      </c>
      <c r="N2108" s="1457">
        <v>0</v>
      </c>
      <c r="O2108" s="1458">
        <v>0</v>
      </c>
    </row>
    <row r="2109" spans="3:15" ht="13.5">
      <c r="C2109" s="1463" t="s">
        <v>5901</v>
      </c>
      <c r="D2109" s="1460">
        <v>0</v>
      </c>
      <c r="E2109" s="1460">
        <v>0</v>
      </c>
      <c r="F2109" s="1461">
        <v>0</v>
      </c>
      <c r="G2109" s="1472" t="s">
        <v>5901</v>
      </c>
      <c r="H2109" s="1458">
        <v>0</v>
      </c>
      <c r="I2109" s="1458">
        <v>0</v>
      </c>
      <c r="J2109" s="1473">
        <v>0</v>
      </c>
      <c r="K2109" s="1462"/>
      <c r="L2109" s="1456">
        <v>13269950200</v>
      </c>
      <c r="M2109" s="1457">
        <v>0</v>
      </c>
      <c r="N2109" s="1457">
        <v>0</v>
      </c>
      <c r="O2109" s="1458">
        <v>0</v>
      </c>
    </row>
    <row r="2110" spans="3:15" ht="13.5">
      <c r="C2110" s="1463" t="s">
        <v>5902</v>
      </c>
      <c r="D2110" s="1460">
        <v>0</v>
      </c>
      <c r="E2110" s="1460">
        <v>0</v>
      </c>
      <c r="F2110" s="1461">
        <v>0</v>
      </c>
      <c r="G2110" s="1472" t="s">
        <v>5902</v>
      </c>
      <c r="H2110" s="1458">
        <v>0</v>
      </c>
      <c r="I2110" s="1458">
        <v>0</v>
      </c>
      <c r="J2110" s="1473">
        <v>0</v>
      </c>
      <c r="K2110" s="1462"/>
      <c r="L2110" s="1456">
        <v>13269950300</v>
      </c>
      <c r="M2110" s="1457">
        <v>0</v>
      </c>
      <c r="N2110" s="1457">
        <v>0</v>
      </c>
      <c r="O2110" s="1458">
        <v>0</v>
      </c>
    </row>
    <row r="2111" spans="3:15" ht="13.5">
      <c r="C2111" s="1463" t="s">
        <v>5903</v>
      </c>
      <c r="D2111" s="1460">
        <v>0</v>
      </c>
      <c r="E2111" s="1460">
        <v>0</v>
      </c>
      <c r="F2111" s="1461">
        <v>0</v>
      </c>
      <c r="G2111" s="1472" t="s">
        <v>5903</v>
      </c>
      <c r="H2111" s="1458">
        <v>0</v>
      </c>
      <c r="I2111" s="1458">
        <v>1</v>
      </c>
      <c r="J2111" s="1473">
        <v>1</v>
      </c>
      <c r="K2111" s="1462"/>
      <c r="L2111" s="1456">
        <v>13271950100</v>
      </c>
      <c r="M2111" s="1457">
        <v>0</v>
      </c>
      <c r="N2111" s="1457">
        <v>1</v>
      </c>
      <c r="O2111" s="1458">
        <v>1</v>
      </c>
    </row>
    <row r="2112" spans="3:15" ht="13.5">
      <c r="C2112" s="1463" t="s">
        <v>5904</v>
      </c>
      <c r="D2112" s="1460">
        <v>0</v>
      </c>
      <c r="E2112" s="1460">
        <v>0</v>
      </c>
      <c r="F2112" s="1461">
        <v>0</v>
      </c>
      <c r="G2112" s="1472" t="s">
        <v>5904</v>
      </c>
      <c r="H2112" s="1458">
        <v>0</v>
      </c>
      <c r="I2112" s="1458">
        <v>1</v>
      </c>
      <c r="J2112" s="1473">
        <v>1</v>
      </c>
      <c r="K2112" s="1462"/>
      <c r="L2112" s="1456">
        <v>13271950200</v>
      </c>
      <c r="M2112" s="1457">
        <v>0</v>
      </c>
      <c r="N2112" s="1457">
        <v>1</v>
      </c>
      <c r="O2112" s="1458">
        <v>1</v>
      </c>
    </row>
    <row r="2113" spans="3:15" ht="13.5">
      <c r="C2113" s="1463" t="s">
        <v>5905</v>
      </c>
      <c r="D2113" s="1460">
        <v>0</v>
      </c>
      <c r="E2113" s="1460">
        <v>0</v>
      </c>
      <c r="F2113" s="1461">
        <v>0</v>
      </c>
      <c r="G2113" s="1472" t="s">
        <v>5905</v>
      </c>
      <c r="H2113" s="1458">
        <v>0</v>
      </c>
      <c r="I2113" s="1458">
        <v>0</v>
      </c>
      <c r="J2113" s="1473">
        <v>0</v>
      </c>
      <c r="K2113" s="1462"/>
      <c r="L2113" s="1456">
        <v>13271950500</v>
      </c>
      <c r="M2113" s="1457">
        <v>0</v>
      </c>
      <c r="N2113" s="1457">
        <v>0</v>
      </c>
      <c r="O2113" s="1458">
        <v>0</v>
      </c>
    </row>
    <row r="2114" spans="3:15" ht="13.5">
      <c r="C2114" s="1463" t="s">
        <v>5906</v>
      </c>
      <c r="D2114" s="1460">
        <v>0</v>
      </c>
      <c r="E2114" s="1460">
        <v>0</v>
      </c>
      <c r="F2114" s="1461">
        <v>0</v>
      </c>
      <c r="G2114" s="1472" t="s">
        <v>5906</v>
      </c>
      <c r="H2114" s="1458">
        <v>0</v>
      </c>
      <c r="I2114" s="1458">
        <v>0</v>
      </c>
      <c r="J2114" s="1473">
        <v>0</v>
      </c>
      <c r="K2114" s="1462"/>
      <c r="L2114" s="1456">
        <v>13273120200</v>
      </c>
      <c r="M2114" s="1457">
        <v>0</v>
      </c>
      <c r="N2114" s="1457">
        <v>0</v>
      </c>
      <c r="O2114" s="1458">
        <v>0</v>
      </c>
    </row>
    <row r="2115" spans="3:15" ht="13.5">
      <c r="C2115" s="1463" t="s">
        <v>5907</v>
      </c>
      <c r="D2115" s="1460">
        <v>0</v>
      </c>
      <c r="E2115" s="1460">
        <v>0</v>
      </c>
      <c r="F2115" s="1461">
        <v>0</v>
      </c>
      <c r="G2115" s="1472" t="s">
        <v>5907</v>
      </c>
      <c r="H2115" s="1458">
        <v>0</v>
      </c>
      <c r="I2115" s="1458">
        <v>0</v>
      </c>
      <c r="J2115" s="1473">
        <v>0</v>
      </c>
      <c r="K2115" s="1462"/>
      <c r="L2115" s="1456">
        <v>13273120300</v>
      </c>
      <c r="M2115" s="1457">
        <v>0</v>
      </c>
      <c r="N2115" s="1457">
        <v>0</v>
      </c>
      <c r="O2115" s="1458">
        <v>0</v>
      </c>
    </row>
    <row r="2116" spans="3:15" ht="13.5">
      <c r="C2116" s="1463" t="s">
        <v>5908</v>
      </c>
      <c r="D2116" s="1460">
        <v>0</v>
      </c>
      <c r="E2116" s="1460">
        <v>0</v>
      </c>
      <c r="F2116" s="1461">
        <v>0</v>
      </c>
      <c r="G2116" s="1472" t="s">
        <v>5908</v>
      </c>
      <c r="H2116" s="1458">
        <v>0</v>
      </c>
      <c r="I2116" s="1458">
        <v>0</v>
      </c>
      <c r="J2116" s="1473">
        <v>0</v>
      </c>
      <c r="K2116" s="1462"/>
      <c r="L2116" s="1456">
        <v>13273120400</v>
      </c>
      <c r="M2116" s="1457">
        <v>0</v>
      </c>
      <c r="N2116" s="1457">
        <v>0</v>
      </c>
      <c r="O2116" s="1458">
        <v>0</v>
      </c>
    </row>
    <row r="2117" spans="3:15" ht="13.5">
      <c r="C2117" s="1463" t="s">
        <v>5909</v>
      </c>
      <c r="D2117" s="1460">
        <v>0</v>
      </c>
      <c r="E2117" s="1460">
        <v>0</v>
      </c>
      <c r="F2117" s="1461">
        <v>0</v>
      </c>
      <c r="G2117" s="1472" t="s">
        <v>5909</v>
      </c>
      <c r="H2117" s="1458">
        <v>0</v>
      </c>
      <c r="I2117" s="1458">
        <v>0</v>
      </c>
      <c r="J2117" s="1473">
        <v>0</v>
      </c>
      <c r="K2117" s="1462"/>
      <c r="L2117" s="1456">
        <v>13273120500</v>
      </c>
      <c r="M2117" s="1457">
        <v>0</v>
      </c>
      <c r="N2117" s="1457">
        <v>0</v>
      </c>
      <c r="O2117" s="1458">
        <v>0</v>
      </c>
    </row>
    <row r="2118" spans="3:15" ht="13.5">
      <c r="C2118" s="1463" t="s">
        <v>5910</v>
      </c>
      <c r="D2118" s="1460">
        <v>0</v>
      </c>
      <c r="E2118" s="1460">
        <v>0</v>
      </c>
      <c r="F2118" s="1461">
        <v>0</v>
      </c>
      <c r="G2118" s="1472" t="s">
        <v>5910</v>
      </c>
      <c r="H2118" s="1458">
        <v>0</v>
      </c>
      <c r="I2118" s="1458">
        <v>0</v>
      </c>
      <c r="J2118" s="1473">
        <v>0</v>
      </c>
      <c r="K2118" s="1462"/>
      <c r="L2118" s="1456">
        <v>13275960100</v>
      </c>
      <c r="M2118" s="1457">
        <v>0</v>
      </c>
      <c r="N2118" s="1457">
        <v>0</v>
      </c>
      <c r="O2118" s="1458">
        <v>0</v>
      </c>
    </row>
    <row r="2119" spans="3:15" ht="13.5">
      <c r="C2119" s="1463" t="s">
        <v>5911</v>
      </c>
      <c r="D2119" s="1460">
        <v>0</v>
      </c>
      <c r="E2119" s="1460">
        <v>0</v>
      </c>
      <c r="F2119" s="1461">
        <v>0</v>
      </c>
      <c r="G2119" s="1472" t="s">
        <v>5911</v>
      </c>
      <c r="H2119" s="1458">
        <v>0</v>
      </c>
      <c r="I2119" s="1458">
        <v>0</v>
      </c>
      <c r="J2119" s="1473">
        <v>0</v>
      </c>
      <c r="K2119" s="1462"/>
      <c r="L2119" s="1456">
        <v>13275960200</v>
      </c>
      <c r="M2119" s="1457">
        <v>0</v>
      </c>
      <c r="N2119" s="1457">
        <v>0</v>
      </c>
      <c r="O2119" s="1458">
        <v>0</v>
      </c>
    </row>
    <row r="2120" spans="3:15" ht="13.5">
      <c r="C2120" s="1463" t="s">
        <v>5912</v>
      </c>
      <c r="D2120" s="1460">
        <v>0</v>
      </c>
      <c r="E2120" s="1460">
        <v>0</v>
      </c>
      <c r="F2120" s="1461">
        <v>0</v>
      </c>
      <c r="G2120" s="1472" t="s">
        <v>5912</v>
      </c>
      <c r="H2120" s="1458">
        <v>0</v>
      </c>
      <c r="I2120" s="1458">
        <v>0</v>
      </c>
      <c r="J2120" s="1473">
        <v>0</v>
      </c>
      <c r="K2120" s="1462"/>
      <c r="L2120" s="1456">
        <v>13275960300</v>
      </c>
      <c r="M2120" s="1457">
        <v>0</v>
      </c>
      <c r="N2120" s="1457">
        <v>0</v>
      </c>
      <c r="O2120" s="1458">
        <v>0</v>
      </c>
    </row>
    <row r="2121" spans="3:15" ht="13.5">
      <c r="C2121" s="1463" t="s">
        <v>5913</v>
      </c>
      <c r="D2121" s="1460">
        <v>0</v>
      </c>
      <c r="E2121" s="1460">
        <v>0</v>
      </c>
      <c r="F2121" s="1461">
        <v>0</v>
      </c>
      <c r="G2121" s="1472" t="s">
        <v>5913</v>
      </c>
      <c r="H2121" s="1458">
        <v>0</v>
      </c>
      <c r="I2121" s="1458">
        <v>0</v>
      </c>
      <c r="J2121" s="1473">
        <v>0</v>
      </c>
      <c r="K2121" s="1462"/>
      <c r="L2121" s="1456">
        <v>13275960400</v>
      </c>
      <c r="M2121" s="1457">
        <v>0</v>
      </c>
      <c r="N2121" s="1457">
        <v>0</v>
      </c>
      <c r="O2121" s="1458">
        <v>0</v>
      </c>
    </row>
    <row r="2122" spans="3:15" ht="13.5">
      <c r="C2122" s="1463" t="s">
        <v>5914</v>
      </c>
      <c r="D2122" s="1460">
        <v>0</v>
      </c>
      <c r="E2122" s="1460">
        <v>0</v>
      </c>
      <c r="F2122" s="1461">
        <v>0</v>
      </c>
      <c r="G2122" s="1472" t="s">
        <v>5914</v>
      </c>
      <c r="H2122" s="1458">
        <v>0</v>
      </c>
      <c r="I2122" s="1458">
        <v>0</v>
      </c>
      <c r="J2122" s="1473">
        <v>0</v>
      </c>
      <c r="K2122" s="1462"/>
      <c r="L2122" s="1456">
        <v>13275960500</v>
      </c>
      <c r="M2122" s="1457">
        <v>0</v>
      </c>
      <c r="N2122" s="1457">
        <v>0</v>
      </c>
      <c r="O2122" s="1458">
        <v>0</v>
      </c>
    </row>
    <row r="2123" spans="3:15" ht="13.5">
      <c r="C2123" s="1463" t="s">
        <v>5915</v>
      </c>
      <c r="D2123" s="1460">
        <v>1</v>
      </c>
      <c r="E2123" s="1460">
        <v>0</v>
      </c>
      <c r="F2123" s="1461">
        <v>1</v>
      </c>
      <c r="G2123" s="1472" t="s">
        <v>5915</v>
      </c>
      <c r="H2123" s="1458">
        <v>0</v>
      </c>
      <c r="I2123" s="1458">
        <v>0</v>
      </c>
      <c r="J2123" s="1473">
        <v>0</v>
      </c>
      <c r="K2123" s="1462"/>
      <c r="L2123" s="1456">
        <v>13275960600</v>
      </c>
      <c r="M2123" s="1457">
        <v>1</v>
      </c>
      <c r="N2123" s="1457">
        <v>0</v>
      </c>
      <c r="O2123" s="1458">
        <v>1</v>
      </c>
    </row>
    <row r="2124" spans="3:15" ht="13.5">
      <c r="C2124" s="1463" t="s">
        <v>5916</v>
      </c>
      <c r="D2124" s="1460">
        <v>0</v>
      </c>
      <c r="E2124" s="1460">
        <v>0</v>
      </c>
      <c r="F2124" s="1461">
        <v>0</v>
      </c>
      <c r="G2124" s="1472" t="s">
        <v>5916</v>
      </c>
      <c r="H2124" s="1458">
        <v>0</v>
      </c>
      <c r="I2124" s="1458">
        <v>0</v>
      </c>
      <c r="J2124" s="1473">
        <v>0</v>
      </c>
      <c r="K2124" s="1462"/>
      <c r="L2124" s="1456">
        <v>13275960700</v>
      </c>
      <c r="M2124" s="1457">
        <v>0</v>
      </c>
      <c r="N2124" s="1457">
        <v>0</v>
      </c>
      <c r="O2124" s="1458">
        <v>0</v>
      </c>
    </row>
    <row r="2125" spans="3:15" ht="13.5">
      <c r="C2125" s="1463" t="s">
        <v>5917</v>
      </c>
      <c r="D2125" s="1460">
        <v>0</v>
      </c>
      <c r="E2125" s="1460">
        <v>0</v>
      </c>
      <c r="F2125" s="1461">
        <v>0</v>
      </c>
      <c r="G2125" s="1472" t="s">
        <v>5917</v>
      </c>
      <c r="H2125" s="1458">
        <v>0</v>
      </c>
      <c r="I2125" s="1458">
        <v>0</v>
      </c>
      <c r="J2125" s="1473">
        <v>0</v>
      </c>
      <c r="K2125" s="1462"/>
      <c r="L2125" s="1456">
        <v>13275960800</v>
      </c>
      <c r="M2125" s="1457">
        <v>0</v>
      </c>
      <c r="N2125" s="1457">
        <v>0</v>
      </c>
      <c r="O2125" s="1458">
        <v>0</v>
      </c>
    </row>
    <row r="2126" spans="3:15" ht="13.5">
      <c r="C2126" s="1463" t="s">
        <v>5918</v>
      </c>
      <c r="D2126" s="1460">
        <v>0</v>
      </c>
      <c r="E2126" s="1460">
        <v>0</v>
      </c>
      <c r="F2126" s="1461">
        <v>0</v>
      </c>
      <c r="G2126" s="1472" t="s">
        <v>5918</v>
      </c>
      <c r="H2126" s="1458">
        <v>0</v>
      </c>
      <c r="I2126" s="1458">
        <v>0</v>
      </c>
      <c r="J2126" s="1473">
        <v>0</v>
      </c>
      <c r="K2126" s="1462"/>
      <c r="L2126" s="1456">
        <v>13275960900</v>
      </c>
      <c r="M2126" s="1457">
        <v>0</v>
      </c>
      <c r="N2126" s="1457">
        <v>0</v>
      </c>
      <c r="O2126" s="1458">
        <v>0</v>
      </c>
    </row>
    <row r="2127" spans="3:15" ht="13.5">
      <c r="C2127" s="1463" t="s">
        <v>5919</v>
      </c>
      <c r="D2127" s="1460">
        <v>0</v>
      </c>
      <c r="E2127" s="1460">
        <v>0</v>
      </c>
      <c r="F2127" s="1461">
        <v>0</v>
      </c>
      <c r="G2127" s="1472" t="s">
        <v>5919</v>
      </c>
      <c r="H2127" s="1458">
        <v>1</v>
      </c>
      <c r="I2127" s="1458">
        <v>1</v>
      </c>
      <c r="J2127" s="1473">
        <v>2</v>
      </c>
      <c r="K2127" s="1462"/>
      <c r="L2127" s="1456">
        <v>13275961000</v>
      </c>
      <c r="M2127" s="1457">
        <v>1</v>
      </c>
      <c r="N2127" s="1457">
        <v>1</v>
      </c>
      <c r="O2127" s="1458">
        <v>2</v>
      </c>
    </row>
    <row r="2128" spans="3:15" ht="13.5">
      <c r="C2128" s="1463" t="s">
        <v>5920</v>
      </c>
      <c r="D2128" s="1460">
        <v>0</v>
      </c>
      <c r="E2128" s="1460">
        <v>0</v>
      </c>
      <c r="F2128" s="1461">
        <v>0</v>
      </c>
      <c r="G2128" s="1472" t="s">
        <v>5920</v>
      </c>
      <c r="H2128" s="1458">
        <v>0</v>
      </c>
      <c r="I2128" s="1458">
        <v>1</v>
      </c>
      <c r="J2128" s="1473">
        <v>1</v>
      </c>
      <c r="K2128" s="1462"/>
      <c r="L2128" s="1456">
        <v>13275961100</v>
      </c>
      <c r="M2128" s="1457">
        <v>0</v>
      </c>
      <c r="N2128" s="1457">
        <v>1</v>
      </c>
      <c r="O2128" s="1458">
        <v>1</v>
      </c>
    </row>
    <row r="2129" spans="3:15" ht="13.5">
      <c r="C2129" s="1463" t="s">
        <v>5921</v>
      </c>
      <c r="D2129" s="1460">
        <v>1</v>
      </c>
      <c r="E2129" s="1460">
        <v>1</v>
      </c>
      <c r="F2129" s="1461">
        <v>2</v>
      </c>
      <c r="G2129" s="1472" t="s">
        <v>5921</v>
      </c>
      <c r="H2129" s="1458">
        <v>1</v>
      </c>
      <c r="I2129" s="1458">
        <v>0</v>
      </c>
      <c r="J2129" s="1473">
        <v>1</v>
      </c>
      <c r="K2129" s="1462"/>
      <c r="L2129" s="1456">
        <v>13277960100</v>
      </c>
      <c r="M2129" s="1457">
        <v>1</v>
      </c>
      <c r="N2129" s="1457">
        <v>1</v>
      </c>
      <c r="O2129" s="1458">
        <v>2</v>
      </c>
    </row>
    <row r="2130" spans="3:15" ht="13.5">
      <c r="C2130" s="1463" t="s">
        <v>5922</v>
      </c>
      <c r="D2130" s="1460">
        <v>1</v>
      </c>
      <c r="E2130" s="1460">
        <v>0</v>
      </c>
      <c r="F2130" s="1461">
        <v>1</v>
      </c>
      <c r="G2130" s="1472" t="s">
        <v>5922</v>
      </c>
      <c r="H2130" s="1458">
        <v>0</v>
      </c>
      <c r="I2130" s="1458">
        <v>0</v>
      </c>
      <c r="J2130" s="1473">
        <v>0</v>
      </c>
      <c r="K2130" s="1462"/>
      <c r="L2130" s="1456">
        <v>13277960200</v>
      </c>
      <c r="M2130" s="1457">
        <v>1</v>
      </c>
      <c r="N2130" s="1457">
        <v>0</v>
      </c>
      <c r="O2130" s="1458">
        <v>1</v>
      </c>
    </row>
    <row r="2131" spans="3:15" ht="13.5">
      <c r="C2131" s="1463" t="s">
        <v>5923</v>
      </c>
      <c r="D2131" s="1460">
        <v>0</v>
      </c>
      <c r="E2131" s="1460">
        <v>0</v>
      </c>
      <c r="F2131" s="1461">
        <v>0</v>
      </c>
      <c r="G2131" s="1472" t="s">
        <v>5923</v>
      </c>
      <c r="H2131" s="1458">
        <v>1</v>
      </c>
      <c r="I2131" s="1458">
        <v>0</v>
      </c>
      <c r="J2131" s="1473">
        <v>1</v>
      </c>
      <c r="K2131" s="1462"/>
      <c r="L2131" s="1456">
        <v>13277960300</v>
      </c>
      <c r="M2131" s="1457">
        <v>1</v>
      </c>
      <c r="N2131" s="1457">
        <v>0</v>
      </c>
      <c r="O2131" s="1458">
        <v>1</v>
      </c>
    </row>
    <row r="2132" spans="3:15" ht="13.5">
      <c r="C2132" s="1463" t="s">
        <v>5924</v>
      </c>
      <c r="D2132" s="1460">
        <v>0</v>
      </c>
      <c r="E2132" s="1460">
        <v>0</v>
      </c>
      <c r="F2132" s="1461">
        <v>0</v>
      </c>
      <c r="G2132" s="1472" t="s">
        <v>5924</v>
      </c>
      <c r="H2132" s="1458">
        <v>0</v>
      </c>
      <c r="I2132" s="1458">
        <v>0</v>
      </c>
      <c r="J2132" s="1473">
        <v>0</v>
      </c>
      <c r="K2132" s="1462"/>
      <c r="L2132" s="1456">
        <v>13277960400</v>
      </c>
      <c r="M2132" s="1457">
        <v>0</v>
      </c>
      <c r="N2132" s="1457">
        <v>0</v>
      </c>
      <c r="O2132" s="1458">
        <v>0</v>
      </c>
    </row>
    <row r="2133" spans="3:15" ht="13.5">
      <c r="C2133" s="1463" t="s">
        <v>5925</v>
      </c>
      <c r="D2133" s="1460">
        <v>1</v>
      </c>
      <c r="E2133" s="1460">
        <v>0</v>
      </c>
      <c r="F2133" s="1461">
        <v>1</v>
      </c>
      <c r="G2133" s="1472" t="s">
        <v>5925</v>
      </c>
      <c r="H2133" s="1458">
        <v>1</v>
      </c>
      <c r="I2133" s="1458">
        <v>1</v>
      </c>
      <c r="J2133" s="1473">
        <v>2</v>
      </c>
      <c r="K2133" s="1462"/>
      <c r="L2133" s="1456">
        <v>13277960500</v>
      </c>
      <c r="M2133" s="1457">
        <v>1</v>
      </c>
      <c r="N2133" s="1457">
        <v>1</v>
      </c>
      <c r="O2133" s="1458">
        <v>2</v>
      </c>
    </row>
    <row r="2134" spans="3:15" ht="13.5">
      <c r="C2134" s="1463" t="s">
        <v>5926</v>
      </c>
      <c r="D2134" s="1460">
        <v>0</v>
      </c>
      <c r="E2134" s="1460">
        <v>0</v>
      </c>
      <c r="F2134" s="1461">
        <v>0</v>
      </c>
      <c r="G2134" s="1472" t="s">
        <v>5926</v>
      </c>
      <c r="H2134" s="1458">
        <v>0</v>
      </c>
      <c r="I2134" s="1458">
        <v>0</v>
      </c>
      <c r="J2134" s="1473">
        <v>0</v>
      </c>
      <c r="K2134" s="1462"/>
      <c r="L2134" s="1456">
        <v>13277960600</v>
      </c>
      <c r="M2134" s="1457">
        <v>0</v>
      </c>
      <c r="N2134" s="1457">
        <v>0</v>
      </c>
      <c r="O2134" s="1458">
        <v>0</v>
      </c>
    </row>
    <row r="2135" spans="3:15" ht="13.5">
      <c r="C2135" s="1463" t="s">
        <v>5927</v>
      </c>
      <c r="D2135" s="1460">
        <v>0</v>
      </c>
      <c r="E2135" s="1460">
        <v>0</v>
      </c>
      <c r="F2135" s="1461">
        <v>0</v>
      </c>
      <c r="G2135" s="1472" t="s">
        <v>5927</v>
      </c>
      <c r="H2135" s="1458">
        <v>0</v>
      </c>
      <c r="I2135" s="1458">
        <v>0</v>
      </c>
      <c r="J2135" s="1473">
        <v>0</v>
      </c>
      <c r="K2135" s="1462"/>
      <c r="L2135" s="1456">
        <v>13277960700</v>
      </c>
      <c r="M2135" s="1457">
        <v>0</v>
      </c>
      <c r="N2135" s="1457">
        <v>0</v>
      </c>
      <c r="O2135" s="1458">
        <v>0</v>
      </c>
    </row>
    <row r="2136" spans="3:15" ht="13.5">
      <c r="C2136" s="1463" t="s">
        <v>5928</v>
      </c>
      <c r="D2136" s="1460">
        <v>0</v>
      </c>
      <c r="E2136" s="1460">
        <v>0</v>
      </c>
      <c r="F2136" s="1461">
        <v>0</v>
      </c>
      <c r="G2136" s="1472" t="s">
        <v>5928</v>
      </c>
      <c r="H2136" s="1458">
        <v>0</v>
      </c>
      <c r="I2136" s="1458">
        <v>0</v>
      </c>
      <c r="J2136" s="1473">
        <v>0</v>
      </c>
      <c r="K2136" s="1462"/>
      <c r="L2136" s="1456">
        <v>13277960800</v>
      </c>
      <c r="M2136" s="1457">
        <v>0</v>
      </c>
      <c r="N2136" s="1457">
        <v>0</v>
      </c>
      <c r="O2136" s="1458">
        <v>0</v>
      </c>
    </row>
    <row r="2137" spans="3:15" ht="13.5">
      <c r="C2137" s="1463" t="s">
        <v>5929</v>
      </c>
      <c r="D2137" s="1460">
        <v>0</v>
      </c>
      <c r="E2137" s="1460">
        <v>0</v>
      </c>
      <c r="F2137" s="1461">
        <v>0</v>
      </c>
      <c r="G2137" s="1472" t="s">
        <v>5929</v>
      </c>
      <c r="H2137" s="1458">
        <v>0</v>
      </c>
      <c r="I2137" s="1458">
        <v>0</v>
      </c>
      <c r="J2137" s="1473">
        <v>0</v>
      </c>
      <c r="K2137" s="1462"/>
      <c r="L2137" s="1456">
        <v>13277960900</v>
      </c>
      <c r="M2137" s="1457">
        <v>0</v>
      </c>
      <c r="N2137" s="1457">
        <v>0</v>
      </c>
      <c r="O2137" s="1458">
        <v>0</v>
      </c>
    </row>
    <row r="2138" spans="3:15" ht="13.5">
      <c r="C2138" s="1463" t="s">
        <v>5930</v>
      </c>
      <c r="D2138" s="1460">
        <v>0</v>
      </c>
      <c r="E2138" s="1460">
        <v>0</v>
      </c>
      <c r="F2138" s="1461">
        <v>0</v>
      </c>
      <c r="G2138" s="1472" t="s">
        <v>5930</v>
      </c>
      <c r="H2138" s="1458">
        <v>0</v>
      </c>
      <c r="I2138" s="1458">
        <v>0</v>
      </c>
      <c r="J2138" s="1473">
        <v>0</v>
      </c>
      <c r="K2138" s="1462"/>
      <c r="L2138" s="1456">
        <v>13279970100</v>
      </c>
      <c r="M2138" s="1457">
        <v>0</v>
      </c>
      <c r="N2138" s="1457">
        <v>0</v>
      </c>
      <c r="O2138" s="1458">
        <v>0</v>
      </c>
    </row>
    <row r="2139" spans="3:15" ht="13.5">
      <c r="C2139" s="1463" t="s">
        <v>5931</v>
      </c>
      <c r="D2139" s="1460">
        <v>0</v>
      </c>
      <c r="E2139" s="1460">
        <v>0</v>
      </c>
      <c r="F2139" s="1461">
        <v>0</v>
      </c>
      <c r="G2139" s="1472" t="s">
        <v>5931</v>
      </c>
      <c r="H2139" s="1458">
        <v>0</v>
      </c>
      <c r="I2139" s="1458">
        <v>0</v>
      </c>
      <c r="J2139" s="1473">
        <v>0</v>
      </c>
      <c r="K2139" s="1462"/>
      <c r="L2139" s="1456">
        <v>13279970200</v>
      </c>
      <c r="M2139" s="1457">
        <v>0</v>
      </c>
      <c r="N2139" s="1457">
        <v>0</v>
      </c>
      <c r="O2139" s="1458">
        <v>0</v>
      </c>
    </row>
    <row r="2140" spans="3:15" ht="13.5">
      <c r="C2140" s="1463" t="s">
        <v>5932</v>
      </c>
      <c r="D2140" s="1460">
        <v>0</v>
      </c>
      <c r="E2140" s="1460">
        <v>0</v>
      </c>
      <c r="F2140" s="1461">
        <v>0</v>
      </c>
      <c r="G2140" s="1472" t="s">
        <v>5932</v>
      </c>
      <c r="H2140" s="1458">
        <v>0</v>
      </c>
      <c r="I2140" s="1458">
        <v>0</v>
      </c>
      <c r="J2140" s="1473">
        <v>0</v>
      </c>
      <c r="K2140" s="1462"/>
      <c r="L2140" s="1456">
        <v>13279970300</v>
      </c>
      <c r="M2140" s="1457">
        <v>0</v>
      </c>
      <c r="N2140" s="1457">
        <v>0</v>
      </c>
      <c r="O2140" s="1458">
        <v>0</v>
      </c>
    </row>
    <row r="2141" spans="3:15" ht="13.5">
      <c r="C2141" s="1463" t="s">
        <v>5933</v>
      </c>
      <c r="D2141" s="1460">
        <v>0</v>
      </c>
      <c r="E2141" s="1460">
        <v>0</v>
      </c>
      <c r="F2141" s="1461">
        <v>0</v>
      </c>
      <c r="G2141" s="1472" t="s">
        <v>5933</v>
      </c>
      <c r="H2141" s="1458">
        <v>0</v>
      </c>
      <c r="I2141" s="1458">
        <v>0</v>
      </c>
      <c r="J2141" s="1473">
        <v>0</v>
      </c>
      <c r="K2141" s="1462"/>
      <c r="L2141" s="1456">
        <v>13279970400</v>
      </c>
      <c r="M2141" s="1457">
        <v>0</v>
      </c>
      <c r="N2141" s="1457">
        <v>0</v>
      </c>
      <c r="O2141" s="1458">
        <v>0</v>
      </c>
    </row>
    <row r="2142" spans="3:15" ht="13.5">
      <c r="C2142" s="1463" t="s">
        <v>5934</v>
      </c>
      <c r="D2142" s="1460">
        <v>0</v>
      </c>
      <c r="E2142" s="1460">
        <v>0</v>
      </c>
      <c r="F2142" s="1461">
        <v>0</v>
      </c>
      <c r="G2142" s="1472" t="s">
        <v>5934</v>
      </c>
      <c r="H2142" s="1458">
        <v>0</v>
      </c>
      <c r="I2142" s="1458">
        <v>0</v>
      </c>
      <c r="J2142" s="1473">
        <v>0</v>
      </c>
      <c r="K2142" s="1462"/>
      <c r="L2142" s="1456">
        <v>13279970500</v>
      </c>
      <c r="M2142" s="1457">
        <v>0</v>
      </c>
      <c r="N2142" s="1457">
        <v>0</v>
      </c>
      <c r="O2142" s="1458">
        <v>0</v>
      </c>
    </row>
    <row r="2143" spans="3:15" ht="13.5">
      <c r="C2143" s="1463" t="s">
        <v>5935</v>
      </c>
      <c r="D2143" s="1460">
        <v>0</v>
      </c>
      <c r="E2143" s="1460">
        <v>0</v>
      </c>
      <c r="F2143" s="1461">
        <v>0</v>
      </c>
      <c r="G2143" s="1472" t="s">
        <v>5935</v>
      </c>
      <c r="H2143" s="1458">
        <v>0</v>
      </c>
      <c r="I2143" s="1458">
        <v>0</v>
      </c>
      <c r="J2143" s="1473">
        <v>0</v>
      </c>
      <c r="K2143" s="1462"/>
      <c r="L2143" s="1456">
        <v>13279970600</v>
      </c>
      <c r="M2143" s="1457">
        <v>0</v>
      </c>
      <c r="N2143" s="1457">
        <v>0</v>
      </c>
      <c r="O2143" s="1458">
        <v>0</v>
      </c>
    </row>
    <row r="2144" spans="3:15" ht="13.5">
      <c r="C2144" s="1463" t="s">
        <v>5936</v>
      </c>
      <c r="D2144" s="1460">
        <v>0</v>
      </c>
      <c r="E2144" s="1460">
        <v>0</v>
      </c>
      <c r="F2144" s="1461">
        <v>0</v>
      </c>
      <c r="G2144" s="1472" t="s">
        <v>5936</v>
      </c>
      <c r="H2144" s="1458">
        <v>0</v>
      </c>
      <c r="I2144" s="1458">
        <v>1</v>
      </c>
      <c r="J2144" s="1473">
        <v>1</v>
      </c>
      <c r="K2144" s="1462"/>
      <c r="L2144" s="1456">
        <v>13281960100</v>
      </c>
      <c r="M2144" s="1457">
        <v>0</v>
      </c>
      <c r="N2144" s="1457">
        <v>1</v>
      </c>
      <c r="O2144" s="1458">
        <v>1</v>
      </c>
    </row>
    <row r="2145" spans="3:15" ht="13.5">
      <c r="C2145" s="1463" t="s">
        <v>5937</v>
      </c>
      <c r="D2145" s="1460">
        <v>1</v>
      </c>
      <c r="E2145" s="1460">
        <v>1</v>
      </c>
      <c r="F2145" s="1461">
        <v>2</v>
      </c>
      <c r="G2145" s="1472" t="s">
        <v>5937</v>
      </c>
      <c r="H2145" s="1458">
        <v>0</v>
      </c>
      <c r="I2145" s="1458">
        <v>1</v>
      </c>
      <c r="J2145" s="1473">
        <v>1</v>
      </c>
      <c r="K2145" s="1462"/>
      <c r="L2145" s="1456">
        <v>13281960200</v>
      </c>
      <c r="M2145" s="1457">
        <v>1</v>
      </c>
      <c r="N2145" s="1457">
        <v>1</v>
      </c>
      <c r="O2145" s="1458">
        <v>2</v>
      </c>
    </row>
    <row r="2146" spans="3:15" ht="13.5">
      <c r="C2146" s="1463" t="s">
        <v>5938</v>
      </c>
      <c r="D2146" s="1460">
        <v>0</v>
      </c>
      <c r="E2146" s="1460">
        <v>0</v>
      </c>
      <c r="F2146" s="1461">
        <v>0</v>
      </c>
      <c r="G2146" s="1472" t="s">
        <v>5938</v>
      </c>
      <c r="H2146" s="1458">
        <v>0</v>
      </c>
      <c r="I2146" s="1458">
        <v>0</v>
      </c>
      <c r="J2146" s="1473">
        <v>0</v>
      </c>
      <c r="K2146" s="1462"/>
      <c r="L2146" s="1456">
        <v>13281960300</v>
      </c>
      <c r="M2146" s="1457">
        <v>0</v>
      </c>
      <c r="N2146" s="1457">
        <v>0</v>
      </c>
      <c r="O2146" s="1458">
        <v>0</v>
      </c>
    </row>
    <row r="2147" spans="3:15" ht="13.5">
      <c r="C2147" s="1463" t="s">
        <v>5939</v>
      </c>
      <c r="D2147" s="1460">
        <v>0</v>
      </c>
      <c r="E2147" s="1460">
        <v>0</v>
      </c>
      <c r="F2147" s="1461">
        <v>0</v>
      </c>
      <c r="G2147" s="1472" t="s">
        <v>5939</v>
      </c>
      <c r="H2147" s="1458">
        <v>0</v>
      </c>
      <c r="I2147" s="1458">
        <v>0</v>
      </c>
      <c r="J2147" s="1473">
        <v>0</v>
      </c>
      <c r="K2147" s="1462"/>
      <c r="L2147" s="1456">
        <v>13283960100</v>
      </c>
      <c r="M2147" s="1457">
        <v>0</v>
      </c>
      <c r="N2147" s="1457">
        <v>0</v>
      </c>
      <c r="O2147" s="1458">
        <v>0</v>
      </c>
    </row>
    <row r="2148" spans="3:15" ht="13.5">
      <c r="C2148" s="1463" t="s">
        <v>5940</v>
      </c>
      <c r="D2148" s="1460">
        <v>0</v>
      </c>
      <c r="E2148" s="1460">
        <v>0</v>
      </c>
      <c r="F2148" s="1461">
        <v>0</v>
      </c>
      <c r="G2148" s="1472" t="s">
        <v>5940</v>
      </c>
      <c r="H2148" s="1458">
        <v>0</v>
      </c>
      <c r="I2148" s="1458">
        <v>0</v>
      </c>
      <c r="J2148" s="1473">
        <v>0</v>
      </c>
      <c r="K2148" s="1462"/>
      <c r="L2148" s="1456">
        <v>13283960200</v>
      </c>
      <c r="M2148" s="1457">
        <v>0</v>
      </c>
      <c r="N2148" s="1457">
        <v>0</v>
      </c>
      <c r="O2148" s="1458">
        <v>0</v>
      </c>
    </row>
    <row r="2149" spans="3:15" ht="13.5">
      <c r="C2149" s="1463" t="s">
        <v>5941</v>
      </c>
      <c r="D2149" s="1460">
        <v>0</v>
      </c>
      <c r="E2149" s="1460">
        <v>0</v>
      </c>
      <c r="F2149" s="1461">
        <v>0</v>
      </c>
      <c r="G2149" s="1472" t="s">
        <v>5941</v>
      </c>
      <c r="H2149" s="1458">
        <v>0</v>
      </c>
      <c r="I2149" s="1458">
        <v>0</v>
      </c>
      <c r="J2149" s="1473">
        <v>0</v>
      </c>
      <c r="K2149" s="1462"/>
      <c r="L2149" s="1456">
        <v>13285960100</v>
      </c>
      <c r="M2149" s="1457">
        <v>0</v>
      </c>
      <c r="N2149" s="1457">
        <v>0</v>
      </c>
      <c r="O2149" s="1458">
        <v>0</v>
      </c>
    </row>
    <row r="2150" spans="3:15" ht="13.5">
      <c r="C2150" s="1463" t="s">
        <v>5942</v>
      </c>
      <c r="D2150" s="1460">
        <v>1</v>
      </c>
      <c r="E2150" s="1460">
        <v>1</v>
      </c>
      <c r="F2150" s="1461">
        <v>2</v>
      </c>
      <c r="G2150" s="1472" t="s">
        <v>5942</v>
      </c>
      <c r="H2150" s="1458">
        <v>1</v>
      </c>
      <c r="I2150" s="1458">
        <v>1</v>
      </c>
      <c r="J2150" s="1473">
        <v>2</v>
      </c>
      <c r="K2150" s="1462"/>
      <c r="L2150" s="1456">
        <v>13285960201</v>
      </c>
      <c r="M2150" s="1457">
        <v>1</v>
      </c>
      <c r="N2150" s="1457">
        <v>1</v>
      </c>
      <c r="O2150" s="1458">
        <v>2</v>
      </c>
    </row>
    <row r="2151" spans="3:15" ht="13.5">
      <c r="C2151" s="1463" t="s">
        <v>5943</v>
      </c>
      <c r="D2151" s="1460">
        <v>1</v>
      </c>
      <c r="E2151" s="1460">
        <v>1</v>
      </c>
      <c r="F2151" s="1461">
        <v>2</v>
      </c>
      <c r="G2151" s="1472" t="s">
        <v>5943</v>
      </c>
      <c r="H2151" s="1458">
        <v>1</v>
      </c>
      <c r="I2151" s="1458">
        <v>1</v>
      </c>
      <c r="J2151" s="1473">
        <v>2</v>
      </c>
      <c r="K2151" s="1462"/>
      <c r="L2151" s="1456">
        <v>13285960202</v>
      </c>
      <c r="M2151" s="1457">
        <v>1</v>
      </c>
      <c r="N2151" s="1457">
        <v>1</v>
      </c>
      <c r="O2151" s="1458">
        <v>2</v>
      </c>
    </row>
    <row r="2152" spans="3:15" ht="13.5">
      <c r="C2152" s="1463" t="s">
        <v>5944</v>
      </c>
      <c r="D2152" s="1460">
        <v>1</v>
      </c>
      <c r="E2152" s="1460">
        <v>1</v>
      </c>
      <c r="F2152" s="1461">
        <v>2</v>
      </c>
      <c r="G2152" s="1472" t="s">
        <v>5944</v>
      </c>
      <c r="H2152" s="1458">
        <v>1</v>
      </c>
      <c r="I2152" s="1458">
        <v>1</v>
      </c>
      <c r="J2152" s="1473">
        <v>2</v>
      </c>
      <c r="K2152" s="1462"/>
      <c r="L2152" s="1456">
        <v>13285960300</v>
      </c>
      <c r="M2152" s="1457">
        <v>1</v>
      </c>
      <c r="N2152" s="1457">
        <v>1</v>
      </c>
      <c r="O2152" s="1458">
        <v>2</v>
      </c>
    </row>
    <row r="2153" spans="3:15" ht="13.5">
      <c r="C2153" s="1463" t="s">
        <v>5945</v>
      </c>
      <c r="D2153" s="1460">
        <v>0</v>
      </c>
      <c r="E2153" s="1460">
        <v>0</v>
      </c>
      <c r="F2153" s="1461">
        <v>0</v>
      </c>
      <c r="G2153" s="1472" t="s">
        <v>5945</v>
      </c>
      <c r="H2153" s="1458">
        <v>0</v>
      </c>
      <c r="I2153" s="1458">
        <v>0</v>
      </c>
      <c r="J2153" s="1473">
        <v>0</v>
      </c>
      <c r="K2153" s="1462"/>
      <c r="L2153" s="1456">
        <v>13285960400</v>
      </c>
      <c r="M2153" s="1457">
        <v>0</v>
      </c>
      <c r="N2153" s="1457">
        <v>0</v>
      </c>
      <c r="O2153" s="1458">
        <v>0</v>
      </c>
    </row>
    <row r="2154" spans="3:15" ht="13.5">
      <c r="C2154" s="1463" t="s">
        <v>5946</v>
      </c>
      <c r="D2154" s="1460">
        <v>0</v>
      </c>
      <c r="E2154" s="1460">
        <v>0</v>
      </c>
      <c r="F2154" s="1461">
        <v>0</v>
      </c>
      <c r="G2154" s="1472" t="s">
        <v>5946</v>
      </c>
      <c r="H2154" s="1458">
        <v>0</v>
      </c>
      <c r="I2154" s="1458">
        <v>0</v>
      </c>
      <c r="J2154" s="1473">
        <v>0</v>
      </c>
      <c r="K2154" s="1462"/>
      <c r="L2154" s="1456">
        <v>13285960501</v>
      </c>
      <c r="M2154" s="1457">
        <v>0</v>
      </c>
      <c r="N2154" s="1457">
        <v>0</v>
      </c>
      <c r="O2154" s="1458">
        <v>0</v>
      </c>
    </row>
    <row r="2155" spans="3:15" ht="13.5">
      <c r="C2155" s="1463" t="s">
        <v>5947</v>
      </c>
      <c r="D2155" s="1460">
        <v>0</v>
      </c>
      <c r="E2155" s="1460">
        <v>0</v>
      </c>
      <c r="F2155" s="1461">
        <v>0</v>
      </c>
      <c r="G2155" s="1472" t="s">
        <v>5947</v>
      </c>
      <c r="H2155" s="1458">
        <v>0</v>
      </c>
      <c r="I2155" s="1458">
        <v>1</v>
      </c>
      <c r="J2155" s="1473">
        <v>1</v>
      </c>
      <c r="K2155" s="1462"/>
      <c r="L2155" s="1456">
        <v>13285960502</v>
      </c>
      <c r="M2155" s="1457">
        <v>0</v>
      </c>
      <c r="N2155" s="1457">
        <v>1</v>
      </c>
      <c r="O2155" s="1458">
        <v>1</v>
      </c>
    </row>
    <row r="2156" spans="3:15" ht="13.5">
      <c r="C2156" s="1463" t="s">
        <v>5948</v>
      </c>
      <c r="D2156" s="1460">
        <v>0</v>
      </c>
      <c r="E2156" s="1460">
        <v>0</v>
      </c>
      <c r="F2156" s="1461">
        <v>0</v>
      </c>
      <c r="G2156" s="1472" t="s">
        <v>5948</v>
      </c>
      <c r="H2156" s="1458">
        <v>0</v>
      </c>
      <c r="I2156" s="1458">
        <v>0</v>
      </c>
      <c r="J2156" s="1473">
        <v>0</v>
      </c>
      <c r="K2156" s="1462"/>
      <c r="L2156" s="1456">
        <v>13285960600</v>
      </c>
      <c r="M2156" s="1457">
        <v>0</v>
      </c>
      <c r="N2156" s="1457">
        <v>0</v>
      </c>
      <c r="O2156" s="1458">
        <v>0</v>
      </c>
    </row>
    <row r="2157" spans="3:15" ht="13.5">
      <c r="C2157" s="1463" t="s">
        <v>5949</v>
      </c>
      <c r="D2157" s="1460">
        <v>0</v>
      </c>
      <c r="E2157" s="1460">
        <v>0</v>
      </c>
      <c r="F2157" s="1461">
        <v>0</v>
      </c>
      <c r="G2157" s="1472" t="s">
        <v>5949</v>
      </c>
      <c r="H2157" s="1458">
        <v>0</v>
      </c>
      <c r="I2157" s="1458">
        <v>1</v>
      </c>
      <c r="J2157" s="1473">
        <v>1</v>
      </c>
      <c r="K2157" s="1462"/>
      <c r="L2157" s="1456">
        <v>13285960700</v>
      </c>
      <c r="M2157" s="1457">
        <v>0</v>
      </c>
      <c r="N2157" s="1457">
        <v>1</v>
      </c>
      <c r="O2157" s="1458">
        <v>1</v>
      </c>
    </row>
    <row r="2158" spans="3:15" ht="13.5">
      <c r="C2158" s="1463" t="s">
        <v>5950</v>
      </c>
      <c r="D2158" s="1460">
        <v>0</v>
      </c>
      <c r="E2158" s="1460">
        <v>0</v>
      </c>
      <c r="F2158" s="1461">
        <v>0</v>
      </c>
      <c r="G2158" s="1472" t="s">
        <v>5950</v>
      </c>
      <c r="H2158" s="1458">
        <v>0</v>
      </c>
      <c r="I2158" s="1458">
        <v>0</v>
      </c>
      <c r="J2158" s="1473">
        <v>0</v>
      </c>
      <c r="K2158" s="1462"/>
      <c r="L2158" s="1456">
        <v>13285960800</v>
      </c>
      <c r="M2158" s="1457">
        <v>0</v>
      </c>
      <c r="N2158" s="1457">
        <v>0</v>
      </c>
      <c r="O2158" s="1458">
        <v>0</v>
      </c>
    </row>
    <row r="2159" spans="3:15" ht="13.5">
      <c r="C2159" s="1463" t="s">
        <v>5951</v>
      </c>
      <c r="D2159" s="1460">
        <v>0</v>
      </c>
      <c r="E2159" s="1460">
        <v>0</v>
      </c>
      <c r="F2159" s="1461">
        <v>0</v>
      </c>
      <c r="G2159" s="1472" t="s">
        <v>5951</v>
      </c>
      <c r="H2159" s="1458">
        <v>0</v>
      </c>
      <c r="I2159" s="1458">
        <v>0</v>
      </c>
      <c r="J2159" s="1473">
        <v>0</v>
      </c>
      <c r="K2159" s="1462"/>
      <c r="L2159" s="1456">
        <v>13285960901</v>
      </c>
      <c r="M2159" s="1457">
        <v>0</v>
      </c>
      <c r="N2159" s="1457">
        <v>0</v>
      </c>
      <c r="O2159" s="1458">
        <v>0</v>
      </c>
    </row>
    <row r="2160" spans="3:15" ht="13.5">
      <c r="C2160" s="1463" t="s">
        <v>5952</v>
      </c>
      <c r="D2160" s="1460">
        <v>1</v>
      </c>
      <c r="E2160" s="1460">
        <v>1</v>
      </c>
      <c r="F2160" s="1461">
        <v>2</v>
      </c>
      <c r="G2160" s="1472" t="s">
        <v>5952</v>
      </c>
      <c r="H2160" s="1458">
        <v>0</v>
      </c>
      <c r="I2160" s="1458">
        <v>0</v>
      </c>
      <c r="J2160" s="1473">
        <v>0</v>
      </c>
      <c r="K2160" s="1462"/>
      <c r="L2160" s="1456">
        <v>13285960902</v>
      </c>
      <c r="M2160" s="1457">
        <v>1</v>
      </c>
      <c r="N2160" s="1457">
        <v>1</v>
      </c>
      <c r="O2160" s="1458">
        <v>2</v>
      </c>
    </row>
    <row r="2161" spans="3:15" ht="13.5">
      <c r="C2161" s="1463" t="s">
        <v>5953</v>
      </c>
      <c r="D2161" s="1460">
        <v>0</v>
      </c>
      <c r="E2161" s="1460">
        <v>0</v>
      </c>
      <c r="F2161" s="1461">
        <v>0</v>
      </c>
      <c r="G2161" s="1472" t="s">
        <v>5953</v>
      </c>
      <c r="H2161" s="1458">
        <v>0</v>
      </c>
      <c r="I2161" s="1458">
        <v>0</v>
      </c>
      <c r="J2161" s="1473">
        <v>0</v>
      </c>
      <c r="K2161" s="1462"/>
      <c r="L2161" s="1456">
        <v>13285961000</v>
      </c>
      <c r="M2161" s="1457">
        <v>0</v>
      </c>
      <c r="N2161" s="1457">
        <v>0</v>
      </c>
      <c r="O2161" s="1458">
        <v>0</v>
      </c>
    </row>
    <row r="2162" spans="3:15" ht="13.5">
      <c r="C2162" s="1463" t="s">
        <v>5954</v>
      </c>
      <c r="D2162" s="1460">
        <v>1</v>
      </c>
      <c r="E2162" s="1460">
        <v>0</v>
      </c>
      <c r="F2162" s="1461">
        <v>1</v>
      </c>
      <c r="G2162" s="1472" t="s">
        <v>5954</v>
      </c>
      <c r="H2162" s="1458">
        <v>0</v>
      </c>
      <c r="I2162" s="1458">
        <v>1</v>
      </c>
      <c r="J2162" s="1473">
        <v>1</v>
      </c>
      <c r="K2162" s="1462"/>
      <c r="L2162" s="1456">
        <v>13285961100</v>
      </c>
      <c r="M2162" s="1457">
        <v>1</v>
      </c>
      <c r="N2162" s="1457">
        <v>1</v>
      </c>
      <c r="O2162" s="1458">
        <v>1</v>
      </c>
    </row>
    <row r="2163" spans="3:15" ht="13.5">
      <c r="C2163" s="1463" t="s">
        <v>5955</v>
      </c>
      <c r="D2163" s="1460">
        <v>0</v>
      </c>
      <c r="E2163" s="1460">
        <v>0</v>
      </c>
      <c r="F2163" s="1461">
        <v>0</v>
      </c>
      <c r="G2163" s="1472" t="s">
        <v>5955</v>
      </c>
      <c r="H2163" s="1458">
        <v>0</v>
      </c>
      <c r="I2163" s="1458">
        <v>0</v>
      </c>
      <c r="J2163" s="1473">
        <v>0</v>
      </c>
      <c r="K2163" s="1462"/>
      <c r="L2163" s="1456">
        <v>13287970200</v>
      </c>
      <c r="M2163" s="1457">
        <v>0</v>
      </c>
      <c r="N2163" s="1457">
        <v>0</v>
      </c>
      <c r="O2163" s="1458">
        <v>0</v>
      </c>
    </row>
    <row r="2164" spans="3:15" ht="13.5">
      <c r="C2164" s="1463" t="s">
        <v>5956</v>
      </c>
      <c r="D2164" s="1460">
        <v>0</v>
      </c>
      <c r="E2164" s="1460">
        <v>1</v>
      </c>
      <c r="F2164" s="1461">
        <v>1</v>
      </c>
      <c r="G2164" s="1472" t="s">
        <v>5956</v>
      </c>
      <c r="H2164" s="1458">
        <v>0</v>
      </c>
      <c r="I2164" s="1458">
        <v>0</v>
      </c>
      <c r="J2164" s="1473">
        <v>0</v>
      </c>
      <c r="K2164" s="1462"/>
      <c r="L2164" s="1456">
        <v>13287970300</v>
      </c>
      <c r="M2164" s="1457">
        <v>0</v>
      </c>
      <c r="N2164" s="1457">
        <v>1</v>
      </c>
      <c r="O2164" s="1458">
        <v>1</v>
      </c>
    </row>
    <row r="2165" spans="3:15" ht="13.5">
      <c r="C2165" s="1463" t="s">
        <v>5957</v>
      </c>
      <c r="D2165" s="1460">
        <v>0</v>
      </c>
      <c r="E2165" s="1460">
        <v>0</v>
      </c>
      <c r="F2165" s="1461">
        <v>0</v>
      </c>
      <c r="G2165" s="1472" t="s">
        <v>5957</v>
      </c>
      <c r="H2165" s="1458">
        <v>0</v>
      </c>
      <c r="I2165" s="1458">
        <v>0</v>
      </c>
      <c r="J2165" s="1473">
        <v>0</v>
      </c>
      <c r="K2165" s="1462"/>
      <c r="L2165" s="1456">
        <v>13289060100</v>
      </c>
      <c r="M2165" s="1457">
        <v>0</v>
      </c>
      <c r="N2165" s="1457">
        <v>0</v>
      </c>
      <c r="O2165" s="1458">
        <v>0</v>
      </c>
    </row>
    <row r="2166" spans="3:15" ht="13.5">
      <c r="C2166" s="1463" t="s">
        <v>5958</v>
      </c>
      <c r="D2166" s="1460">
        <v>0</v>
      </c>
      <c r="E2166" s="1460">
        <v>0</v>
      </c>
      <c r="F2166" s="1461">
        <v>0</v>
      </c>
      <c r="G2166" s="1472" t="s">
        <v>5958</v>
      </c>
      <c r="H2166" s="1458">
        <v>0</v>
      </c>
      <c r="I2166" s="1458">
        <v>0</v>
      </c>
      <c r="J2166" s="1473">
        <v>0</v>
      </c>
      <c r="K2166" s="1462"/>
      <c r="L2166" s="1456">
        <v>13289060200</v>
      </c>
      <c r="M2166" s="1457">
        <v>0</v>
      </c>
      <c r="N2166" s="1457">
        <v>0</v>
      </c>
      <c r="O2166" s="1458">
        <v>0</v>
      </c>
    </row>
    <row r="2167" spans="3:15" ht="13.5">
      <c r="C2167" s="1463" t="s">
        <v>5959</v>
      </c>
      <c r="D2167" s="1460">
        <v>0</v>
      </c>
      <c r="E2167" s="1460">
        <v>0</v>
      </c>
      <c r="F2167" s="1461">
        <v>0</v>
      </c>
      <c r="G2167" s="1472" t="s">
        <v>5959</v>
      </c>
      <c r="H2167" s="1458">
        <v>0</v>
      </c>
      <c r="I2167" s="1458">
        <v>0</v>
      </c>
      <c r="J2167" s="1473">
        <v>0</v>
      </c>
      <c r="K2167" s="1462"/>
      <c r="L2167" s="1456">
        <v>13291000101</v>
      </c>
      <c r="M2167" s="1457">
        <v>0</v>
      </c>
      <c r="N2167" s="1457">
        <v>0</v>
      </c>
      <c r="O2167" s="1458">
        <v>0</v>
      </c>
    </row>
    <row r="2168" spans="3:15" ht="13.5">
      <c r="C2168" s="1463" t="s">
        <v>5960</v>
      </c>
      <c r="D2168" s="1460">
        <v>0</v>
      </c>
      <c r="E2168" s="1460">
        <v>1</v>
      </c>
      <c r="F2168" s="1461">
        <v>1</v>
      </c>
      <c r="G2168" s="1472" t="s">
        <v>5960</v>
      </c>
      <c r="H2168" s="1458">
        <v>0</v>
      </c>
      <c r="I2168" s="1458" t="s">
        <v>3911</v>
      </c>
      <c r="J2168" s="1473">
        <v>0</v>
      </c>
      <c r="K2168" s="1462"/>
      <c r="L2168" s="1456">
        <v>13291000102</v>
      </c>
      <c r="M2168" s="1457">
        <v>0</v>
      </c>
      <c r="N2168" s="1457">
        <v>1</v>
      </c>
      <c r="O2168" s="1458">
        <v>1</v>
      </c>
    </row>
    <row r="2169" spans="3:15" ht="13.5">
      <c r="C2169" s="1463" t="s">
        <v>5961</v>
      </c>
      <c r="D2169" s="1460">
        <v>1</v>
      </c>
      <c r="E2169" s="1460">
        <v>1</v>
      </c>
      <c r="F2169" s="1461">
        <v>2</v>
      </c>
      <c r="G2169" s="1472" t="s">
        <v>5961</v>
      </c>
      <c r="H2169" s="1458">
        <v>0</v>
      </c>
      <c r="I2169" s="1458">
        <v>1</v>
      </c>
      <c r="J2169" s="1473">
        <v>1</v>
      </c>
      <c r="K2169" s="1462"/>
      <c r="L2169" s="1456">
        <v>13291000201</v>
      </c>
      <c r="M2169" s="1457">
        <v>1</v>
      </c>
      <c r="N2169" s="1457">
        <v>1</v>
      </c>
      <c r="O2169" s="1458">
        <v>2</v>
      </c>
    </row>
    <row r="2170" spans="3:15" ht="13.5">
      <c r="C2170" s="1463" t="s">
        <v>5962</v>
      </c>
      <c r="D2170" s="1460">
        <v>0</v>
      </c>
      <c r="E2170" s="1460">
        <v>1</v>
      </c>
      <c r="F2170" s="1461">
        <v>1</v>
      </c>
      <c r="G2170" s="1472" t="s">
        <v>5962</v>
      </c>
      <c r="H2170" s="1458">
        <v>0</v>
      </c>
      <c r="I2170" s="1458" t="s">
        <v>3911</v>
      </c>
      <c r="J2170" s="1473">
        <v>0</v>
      </c>
      <c r="K2170" s="1462"/>
      <c r="L2170" s="1456">
        <v>13291000203</v>
      </c>
      <c r="M2170" s="1457">
        <v>0</v>
      </c>
      <c r="N2170" s="1457">
        <v>1</v>
      </c>
      <c r="O2170" s="1458">
        <v>1</v>
      </c>
    </row>
    <row r="2171" spans="3:15" ht="13.5">
      <c r="C2171" s="1463" t="s">
        <v>5963</v>
      </c>
      <c r="D2171" s="1460">
        <v>0</v>
      </c>
      <c r="E2171" s="1460">
        <v>0</v>
      </c>
      <c r="F2171" s="1461">
        <v>0</v>
      </c>
      <c r="G2171" s="1472" t="s">
        <v>5963</v>
      </c>
      <c r="H2171" s="1458">
        <v>1</v>
      </c>
      <c r="I2171" s="1458">
        <v>0</v>
      </c>
      <c r="J2171" s="1473">
        <v>1</v>
      </c>
      <c r="K2171" s="1462"/>
      <c r="L2171" s="1456">
        <v>13291000204</v>
      </c>
      <c r="M2171" s="1457">
        <v>1</v>
      </c>
      <c r="N2171" s="1457">
        <v>0</v>
      </c>
      <c r="O2171" s="1458">
        <v>1</v>
      </c>
    </row>
    <row r="2172" spans="3:15" ht="13.5">
      <c r="C2172" s="1463" t="s">
        <v>5964</v>
      </c>
      <c r="D2172" s="1460">
        <v>0</v>
      </c>
      <c r="E2172" s="1460">
        <v>0</v>
      </c>
      <c r="F2172" s="1461">
        <v>0</v>
      </c>
      <c r="G2172" s="1472" t="s">
        <v>5964</v>
      </c>
      <c r="H2172" s="1458">
        <v>1</v>
      </c>
      <c r="I2172" s="1458">
        <v>0</v>
      </c>
      <c r="J2172" s="1473">
        <v>1</v>
      </c>
      <c r="K2172" s="1462"/>
      <c r="L2172" s="1456">
        <v>13291000205</v>
      </c>
      <c r="M2172" s="1457">
        <v>1</v>
      </c>
      <c r="N2172" s="1457">
        <v>0</v>
      </c>
      <c r="O2172" s="1458">
        <v>1</v>
      </c>
    </row>
    <row r="2173" spans="3:15" ht="13.5">
      <c r="C2173" s="1463" t="s">
        <v>5965</v>
      </c>
      <c r="D2173" s="1460">
        <v>0</v>
      </c>
      <c r="E2173" s="1460">
        <v>0</v>
      </c>
      <c r="F2173" s="1461">
        <v>0</v>
      </c>
      <c r="G2173" s="1472" t="s">
        <v>5965</v>
      </c>
      <c r="H2173" s="1458">
        <v>0</v>
      </c>
      <c r="I2173" s="1458">
        <v>0</v>
      </c>
      <c r="J2173" s="1473">
        <v>0</v>
      </c>
      <c r="K2173" s="1462"/>
      <c r="L2173" s="1456">
        <v>13293010100</v>
      </c>
      <c r="M2173" s="1457">
        <v>0</v>
      </c>
      <c r="N2173" s="1457">
        <v>0</v>
      </c>
      <c r="O2173" s="1458">
        <v>0</v>
      </c>
    </row>
    <row r="2174" spans="3:15" ht="13.5">
      <c r="C2174" s="1463" t="s">
        <v>5966</v>
      </c>
      <c r="D2174" s="1460">
        <v>0</v>
      </c>
      <c r="E2174" s="1460">
        <v>0</v>
      </c>
      <c r="F2174" s="1461">
        <v>0</v>
      </c>
      <c r="G2174" s="1472" t="s">
        <v>5966</v>
      </c>
      <c r="H2174" s="1458">
        <v>0</v>
      </c>
      <c r="I2174" s="1458">
        <v>0</v>
      </c>
      <c r="J2174" s="1473">
        <v>0</v>
      </c>
      <c r="K2174" s="1462"/>
      <c r="L2174" s="1456">
        <v>13293010201</v>
      </c>
      <c r="M2174" s="1457">
        <v>0</v>
      </c>
      <c r="N2174" s="1457">
        <v>0</v>
      </c>
      <c r="O2174" s="1458">
        <v>0</v>
      </c>
    </row>
    <row r="2175" spans="3:15" ht="13.5">
      <c r="C2175" s="1463" t="s">
        <v>5967</v>
      </c>
      <c r="D2175" s="1460">
        <v>0</v>
      </c>
      <c r="E2175" s="1460">
        <v>0</v>
      </c>
      <c r="F2175" s="1461">
        <v>0</v>
      </c>
      <c r="G2175" s="1472" t="s">
        <v>5967</v>
      </c>
      <c r="H2175" s="1458">
        <v>0</v>
      </c>
      <c r="I2175" s="1458">
        <v>1</v>
      </c>
      <c r="J2175" s="1473">
        <v>1</v>
      </c>
      <c r="K2175" s="1462"/>
      <c r="L2175" s="1456">
        <v>13293010202</v>
      </c>
      <c r="M2175" s="1457">
        <v>0</v>
      </c>
      <c r="N2175" s="1457">
        <v>1</v>
      </c>
      <c r="O2175" s="1458">
        <v>1</v>
      </c>
    </row>
    <row r="2176" spans="3:15" ht="13.5">
      <c r="C2176" s="1463" t="s">
        <v>5968</v>
      </c>
      <c r="D2176" s="1460">
        <v>0</v>
      </c>
      <c r="E2176" s="1460">
        <v>1</v>
      </c>
      <c r="F2176" s="1461">
        <v>1</v>
      </c>
      <c r="G2176" s="1472" t="s">
        <v>5968</v>
      </c>
      <c r="H2176" s="1458">
        <v>0</v>
      </c>
      <c r="I2176" s="1458">
        <v>0</v>
      </c>
      <c r="J2176" s="1473">
        <v>0</v>
      </c>
      <c r="K2176" s="1462"/>
      <c r="L2176" s="1456">
        <v>13293010300</v>
      </c>
      <c r="M2176" s="1457">
        <v>0</v>
      </c>
      <c r="N2176" s="1457">
        <v>1</v>
      </c>
      <c r="O2176" s="1458">
        <v>1</v>
      </c>
    </row>
    <row r="2177" spans="3:15" ht="13.5">
      <c r="C2177" s="1463" t="s">
        <v>5969</v>
      </c>
      <c r="D2177" s="1460">
        <v>0</v>
      </c>
      <c r="E2177" s="1460">
        <v>0</v>
      </c>
      <c r="F2177" s="1461">
        <v>0</v>
      </c>
      <c r="G2177" s="1472" t="s">
        <v>5969</v>
      </c>
      <c r="H2177" s="1458">
        <v>0</v>
      </c>
      <c r="I2177" s="1458">
        <v>0</v>
      </c>
      <c r="J2177" s="1473">
        <v>0</v>
      </c>
      <c r="K2177" s="1462"/>
      <c r="L2177" s="1456">
        <v>13293010400</v>
      </c>
      <c r="M2177" s="1457">
        <v>0</v>
      </c>
      <c r="N2177" s="1457">
        <v>0</v>
      </c>
      <c r="O2177" s="1458">
        <v>0</v>
      </c>
    </row>
    <row r="2178" spans="3:15" ht="13.5">
      <c r="C2178" s="1463" t="s">
        <v>5970</v>
      </c>
      <c r="D2178" s="1460">
        <v>0</v>
      </c>
      <c r="E2178" s="1460">
        <v>0</v>
      </c>
      <c r="F2178" s="1461">
        <v>0</v>
      </c>
      <c r="G2178" s="1472" t="s">
        <v>5970</v>
      </c>
      <c r="H2178" s="1458">
        <v>0</v>
      </c>
      <c r="I2178" s="1458">
        <v>0</v>
      </c>
      <c r="J2178" s="1473">
        <v>0</v>
      </c>
      <c r="K2178" s="1462"/>
      <c r="L2178" s="1456">
        <v>13293010500</v>
      </c>
      <c r="M2178" s="1457">
        <v>0</v>
      </c>
      <c r="N2178" s="1457">
        <v>0</v>
      </c>
      <c r="O2178" s="1458">
        <v>0</v>
      </c>
    </row>
    <row r="2179" spans="3:15" ht="13.5">
      <c r="C2179" s="1463" t="s">
        <v>5971</v>
      </c>
      <c r="D2179" s="1460">
        <v>0</v>
      </c>
      <c r="E2179" s="1460">
        <v>0</v>
      </c>
      <c r="F2179" s="1461">
        <v>0</v>
      </c>
      <c r="G2179" s="1472" t="s">
        <v>5971</v>
      </c>
      <c r="H2179" s="1458">
        <v>0</v>
      </c>
      <c r="I2179" s="1458">
        <v>0</v>
      </c>
      <c r="J2179" s="1473">
        <v>0</v>
      </c>
      <c r="K2179" s="1462"/>
      <c r="L2179" s="1456">
        <v>13293010600</v>
      </c>
      <c r="M2179" s="1457">
        <v>0</v>
      </c>
      <c r="N2179" s="1457">
        <v>0</v>
      </c>
      <c r="O2179" s="1458">
        <v>0</v>
      </c>
    </row>
    <row r="2180" spans="3:15" ht="13.5">
      <c r="C2180" s="1463" t="s">
        <v>5972</v>
      </c>
      <c r="D2180" s="1460">
        <v>0</v>
      </c>
      <c r="E2180" s="1460">
        <v>0</v>
      </c>
      <c r="F2180" s="1461">
        <v>0</v>
      </c>
      <c r="G2180" s="1472" t="s">
        <v>5972</v>
      </c>
      <c r="H2180" s="1458">
        <v>0</v>
      </c>
      <c r="I2180" s="1458">
        <v>0</v>
      </c>
      <c r="J2180" s="1473">
        <v>0</v>
      </c>
      <c r="K2180" s="1462"/>
      <c r="L2180" s="1456">
        <v>13295020100</v>
      </c>
      <c r="M2180" s="1457">
        <v>0</v>
      </c>
      <c r="N2180" s="1457">
        <v>0</v>
      </c>
      <c r="O2180" s="1458">
        <v>0</v>
      </c>
    </row>
    <row r="2181" spans="3:15" ht="13.5">
      <c r="C2181" s="1463" t="s">
        <v>5973</v>
      </c>
      <c r="D2181" s="1460">
        <v>0</v>
      </c>
      <c r="E2181" s="1460">
        <v>0</v>
      </c>
      <c r="F2181" s="1461">
        <v>0</v>
      </c>
      <c r="G2181" s="1472" t="s">
        <v>5973</v>
      </c>
      <c r="H2181" s="1458">
        <v>0</v>
      </c>
      <c r="I2181" s="1458">
        <v>0</v>
      </c>
      <c r="J2181" s="1473">
        <v>0</v>
      </c>
      <c r="K2181" s="1462"/>
      <c r="L2181" s="1456">
        <v>13295020200</v>
      </c>
      <c r="M2181" s="1457">
        <v>0</v>
      </c>
      <c r="N2181" s="1457">
        <v>0</v>
      </c>
      <c r="O2181" s="1458">
        <v>0</v>
      </c>
    </row>
    <row r="2182" spans="3:15" ht="13.5">
      <c r="C2182" s="1463" t="s">
        <v>5974</v>
      </c>
      <c r="D2182" s="1460">
        <v>0</v>
      </c>
      <c r="E2182" s="1460">
        <v>0</v>
      </c>
      <c r="F2182" s="1461">
        <v>0</v>
      </c>
      <c r="G2182" s="1472" t="s">
        <v>5974</v>
      </c>
      <c r="H2182" s="1458">
        <v>0</v>
      </c>
      <c r="I2182" s="1458">
        <v>0</v>
      </c>
      <c r="J2182" s="1473">
        <v>0</v>
      </c>
      <c r="K2182" s="1462"/>
      <c r="L2182" s="1456">
        <v>13295020301</v>
      </c>
      <c r="M2182" s="1457">
        <v>0</v>
      </c>
      <c r="N2182" s="1457">
        <v>0</v>
      </c>
      <c r="O2182" s="1458">
        <v>0</v>
      </c>
    </row>
    <row r="2183" spans="3:15" ht="13.5">
      <c r="C2183" s="1463" t="s">
        <v>5975</v>
      </c>
      <c r="D2183" s="1460">
        <v>0</v>
      </c>
      <c r="E2183" s="1460">
        <v>0</v>
      </c>
      <c r="F2183" s="1461">
        <v>0</v>
      </c>
      <c r="G2183" s="1472" t="s">
        <v>5975</v>
      </c>
      <c r="H2183" s="1458">
        <v>0</v>
      </c>
      <c r="I2183" s="1458">
        <v>0</v>
      </c>
      <c r="J2183" s="1473">
        <v>0</v>
      </c>
      <c r="K2183" s="1462"/>
      <c r="L2183" s="1456">
        <v>13295020302</v>
      </c>
      <c r="M2183" s="1457">
        <v>0</v>
      </c>
      <c r="N2183" s="1457">
        <v>0</v>
      </c>
      <c r="O2183" s="1458">
        <v>0</v>
      </c>
    </row>
    <row r="2184" spans="3:15" ht="13.5">
      <c r="C2184" s="1463" t="s">
        <v>5976</v>
      </c>
      <c r="D2184" s="1460">
        <v>1</v>
      </c>
      <c r="E2184" s="1460">
        <v>1</v>
      </c>
      <c r="F2184" s="1461">
        <v>2</v>
      </c>
      <c r="G2184" s="1472" t="s">
        <v>5976</v>
      </c>
      <c r="H2184" s="1458">
        <v>1</v>
      </c>
      <c r="I2184" s="1458">
        <v>1</v>
      </c>
      <c r="J2184" s="1473">
        <v>2</v>
      </c>
      <c r="K2184" s="1462"/>
      <c r="L2184" s="1456">
        <v>13295020400</v>
      </c>
      <c r="M2184" s="1457">
        <v>1</v>
      </c>
      <c r="N2184" s="1457">
        <v>1</v>
      </c>
      <c r="O2184" s="1458">
        <v>2</v>
      </c>
    </row>
    <row r="2185" spans="3:15" ht="13.5">
      <c r="C2185" s="1463" t="s">
        <v>5977</v>
      </c>
      <c r="D2185" s="1460">
        <v>1</v>
      </c>
      <c r="E2185" s="1460">
        <v>0</v>
      </c>
      <c r="F2185" s="1461">
        <v>1</v>
      </c>
      <c r="G2185" s="1472" t="s">
        <v>5977</v>
      </c>
      <c r="H2185" s="1458">
        <v>0</v>
      </c>
      <c r="I2185" s="1458">
        <v>0</v>
      </c>
      <c r="J2185" s="1473">
        <v>0</v>
      </c>
      <c r="K2185" s="1462"/>
      <c r="L2185" s="1456">
        <v>13295020501</v>
      </c>
      <c r="M2185" s="1457">
        <v>1</v>
      </c>
      <c r="N2185" s="1457">
        <v>0</v>
      </c>
      <c r="O2185" s="1458">
        <v>1</v>
      </c>
    </row>
    <row r="2186" spans="3:15" ht="13.5">
      <c r="C2186" s="1463" t="s">
        <v>5978</v>
      </c>
      <c r="D2186" s="1460">
        <v>0</v>
      </c>
      <c r="E2186" s="1460">
        <v>1</v>
      </c>
      <c r="F2186" s="1461">
        <v>1</v>
      </c>
      <c r="G2186" s="1472" t="s">
        <v>5978</v>
      </c>
      <c r="H2186" s="1458">
        <v>1</v>
      </c>
      <c r="I2186" s="1458">
        <v>1</v>
      </c>
      <c r="J2186" s="1473">
        <v>2</v>
      </c>
      <c r="K2186" s="1462"/>
      <c r="L2186" s="1456">
        <v>13295020502</v>
      </c>
      <c r="M2186" s="1457">
        <v>1</v>
      </c>
      <c r="N2186" s="1457">
        <v>1</v>
      </c>
      <c r="O2186" s="1458">
        <v>2</v>
      </c>
    </row>
    <row r="2187" spans="3:15" ht="13.5">
      <c r="C2187" s="1463" t="s">
        <v>5979</v>
      </c>
      <c r="D2187" s="1460">
        <v>0</v>
      </c>
      <c r="E2187" s="1460">
        <v>1</v>
      </c>
      <c r="F2187" s="1461">
        <v>1</v>
      </c>
      <c r="G2187" s="1472" t="s">
        <v>5979</v>
      </c>
      <c r="H2187" s="1458">
        <v>0</v>
      </c>
      <c r="I2187" s="1458">
        <v>1</v>
      </c>
      <c r="J2187" s="1473">
        <v>1</v>
      </c>
      <c r="K2187" s="1462"/>
      <c r="L2187" s="1456">
        <v>13295020601</v>
      </c>
      <c r="M2187" s="1457">
        <v>0</v>
      </c>
      <c r="N2187" s="1457">
        <v>1</v>
      </c>
      <c r="O2187" s="1458">
        <v>1</v>
      </c>
    </row>
    <row r="2188" spans="3:15" ht="13.5">
      <c r="C2188" s="1463" t="s">
        <v>5980</v>
      </c>
      <c r="D2188" s="1460">
        <v>0</v>
      </c>
      <c r="E2188" s="1460">
        <v>0</v>
      </c>
      <c r="F2188" s="1461">
        <v>0</v>
      </c>
      <c r="G2188" s="1472" t="s">
        <v>5980</v>
      </c>
      <c r="H2188" s="1458">
        <v>0</v>
      </c>
      <c r="I2188" s="1458">
        <v>0</v>
      </c>
      <c r="J2188" s="1473">
        <v>0</v>
      </c>
      <c r="K2188" s="1462"/>
      <c r="L2188" s="1456">
        <v>13295020602</v>
      </c>
      <c r="M2188" s="1457">
        <v>0</v>
      </c>
      <c r="N2188" s="1457">
        <v>0</v>
      </c>
      <c r="O2188" s="1458">
        <v>0</v>
      </c>
    </row>
    <row r="2189" spans="3:15" ht="13.5">
      <c r="C2189" s="1463" t="s">
        <v>5981</v>
      </c>
      <c r="D2189" s="1460">
        <v>0</v>
      </c>
      <c r="E2189" s="1460">
        <v>0</v>
      </c>
      <c r="F2189" s="1461">
        <v>0</v>
      </c>
      <c r="G2189" s="1472" t="s">
        <v>5981</v>
      </c>
      <c r="H2189" s="1458">
        <v>0</v>
      </c>
      <c r="I2189" s="1458">
        <v>0</v>
      </c>
      <c r="J2189" s="1473">
        <v>0</v>
      </c>
      <c r="K2189" s="1462"/>
      <c r="L2189" s="1456">
        <v>13295020700</v>
      </c>
      <c r="M2189" s="1457">
        <v>0</v>
      </c>
      <c r="N2189" s="1457">
        <v>0</v>
      </c>
      <c r="O2189" s="1458">
        <v>0</v>
      </c>
    </row>
    <row r="2190" spans="3:15" ht="13.5">
      <c r="C2190" s="1463" t="s">
        <v>5982</v>
      </c>
      <c r="D2190" s="1460">
        <v>0</v>
      </c>
      <c r="E2190" s="1460">
        <v>0</v>
      </c>
      <c r="F2190" s="1461">
        <v>0</v>
      </c>
      <c r="G2190" s="1472" t="s">
        <v>5982</v>
      </c>
      <c r="H2190" s="1458">
        <v>0</v>
      </c>
      <c r="I2190" s="1458">
        <v>0</v>
      </c>
      <c r="J2190" s="1473">
        <v>0</v>
      </c>
      <c r="K2190" s="1462"/>
      <c r="L2190" s="1456">
        <v>13295020800</v>
      </c>
      <c r="M2190" s="1457">
        <v>0</v>
      </c>
      <c r="N2190" s="1457">
        <v>0</v>
      </c>
      <c r="O2190" s="1458">
        <v>0</v>
      </c>
    </row>
    <row r="2191" spans="3:15" ht="13.5">
      <c r="C2191" s="1463" t="s">
        <v>5983</v>
      </c>
      <c r="D2191" s="1460">
        <v>0</v>
      </c>
      <c r="E2191" s="1460">
        <v>0</v>
      </c>
      <c r="F2191" s="1461">
        <v>0</v>
      </c>
      <c r="G2191" s="1472" t="s">
        <v>5983</v>
      </c>
      <c r="H2191" s="1458">
        <v>1</v>
      </c>
      <c r="I2191" s="1458">
        <v>1</v>
      </c>
      <c r="J2191" s="1473">
        <v>2</v>
      </c>
      <c r="K2191" s="1462"/>
      <c r="L2191" s="1456">
        <v>13295020901</v>
      </c>
      <c r="M2191" s="1457">
        <v>1</v>
      </c>
      <c r="N2191" s="1457">
        <v>1</v>
      </c>
      <c r="O2191" s="1458">
        <v>2</v>
      </c>
    </row>
    <row r="2192" spans="3:15" ht="13.5">
      <c r="C2192" s="1463" t="s">
        <v>5984</v>
      </c>
      <c r="D2192" s="1460">
        <v>0</v>
      </c>
      <c r="E2192" s="1460">
        <v>0</v>
      </c>
      <c r="F2192" s="1461">
        <v>0</v>
      </c>
      <c r="G2192" s="1472" t="s">
        <v>5984</v>
      </c>
      <c r="H2192" s="1458">
        <v>0</v>
      </c>
      <c r="I2192" s="1458">
        <v>1</v>
      </c>
      <c r="J2192" s="1473">
        <v>1</v>
      </c>
      <c r="K2192" s="1462"/>
      <c r="L2192" s="1456">
        <v>13295020902</v>
      </c>
      <c r="M2192" s="1457">
        <v>0</v>
      </c>
      <c r="N2192" s="1457">
        <v>1</v>
      </c>
      <c r="O2192" s="1458">
        <v>1</v>
      </c>
    </row>
    <row r="2193" spans="3:15" ht="13.5">
      <c r="C2193" s="1463" t="s">
        <v>5985</v>
      </c>
      <c r="D2193" s="1460">
        <v>1</v>
      </c>
      <c r="E2193" s="1460">
        <v>1</v>
      </c>
      <c r="F2193" s="1461">
        <v>2</v>
      </c>
      <c r="G2193" s="1472" t="s">
        <v>5985</v>
      </c>
      <c r="H2193" s="1458">
        <v>1</v>
      </c>
      <c r="I2193" s="1458">
        <v>1</v>
      </c>
      <c r="J2193" s="1473">
        <v>2</v>
      </c>
      <c r="K2193" s="1462"/>
      <c r="L2193" s="1456">
        <v>13297110100</v>
      </c>
      <c r="M2193" s="1457">
        <v>1</v>
      </c>
      <c r="N2193" s="1457">
        <v>1</v>
      </c>
      <c r="O2193" s="1458">
        <v>2</v>
      </c>
    </row>
    <row r="2194" spans="3:15" ht="13.5">
      <c r="C2194" s="1463" t="s">
        <v>5986</v>
      </c>
      <c r="D2194" s="1460">
        <v>1</v>
      </c>
      <c r="E2194" s="1460">
        <v>1</v>
      </c>
      <c r="F2194" s="1461">
        <v>2</v>
      </c>
      <c r="G2194" s="1472" t="s">
        <v>5986</v>
      </c>
      <c r="H2194" s="1458">
        <v>1</v>
      </c>
      <c r="I2194" s="1458">
        <v>0</v>
      </c>
      <c r="J2194" s="1473">
        <v>1</v>
      </c>
      <c r="K2194" s="1462"/>
      <c r="L2194" s="1456">
        <v>13297110200</v>
      </c>
      <c r="M2194" s="1457">
        <v>1</v>
      </c>
      <c r="N2194" s="1457">
        <v>1</v>
      </c>
      <c r="O2194" s="1458">
        <v>2</v>
      </c>
    </row>
    <row r="2195" spans="3:15" ht="13.5">
      <c r="C2195" s="1463" t="s">
        <v>5987</v>
      </c>
      <c r="D2195" s="1460">
        <v>0</v>
      </c>
      <c r="E2195" s="1460">
        <v>0</v>
      </c>
      <c r="F2195" s="1461">
        <v>0</v>
      </c>
      <c r="G2195" s="1472" t="s">
        <v>5987</v>
      </c>
      <c r="H2195" s="1458">
        <v>0</v>
      </c>
      <c r="I2195" s="1458">
        <v>0</v>
      </c>
      <c r="J2195" s="1473">
        <v>0</v>
      </c>
      <c r="K2195" s="1462"/>
      <c r="L2195" s="1456">
        <v>13297110300</v>
      </c>
      <c r="M2195" s="1457">
        <v>0</v>
      </c>
      <c r="N2195" s="1457">
        <v>0</v>
      </c>
      <c r="O2195" s="1458">
        <v>0</v>
      </c>
    </row>
    <row r="2196" spans="3:15" ht="13.5">
      <c r="C2196" s="1463" t="s">
        <v>5988</v>
      </c>
      <c r="D2196" s="1460">
        <v>0</v>
      </c>
      <c r="E2196" s="1460">
        <v>0</v>
      </c>
      <c r="F2196" s="1461">
        <v>0</v>
      </c>
      <c r="G2196" s="1472" t="s">
        <v>5988</v>
      </c>
      <c r="H2196" s="1458">
        <v>0</v>
      </c>
      <c r="I2196" s="1458">
        <v>0</v>
      </c>
      <c r="J2196" s="1473">
        <v>0</v>
      </c>
      <c r="K2196" s="1462"/>
      <c r="L2196" s="1456">
        <v>13297110400</v>
      </c>
      <c r="M2196" s="1457">
        <v>0</v>
      </c>
      <c r="N2196" s="1457">
        <v>0</v>
      </c>
      <c r="O2196" s="1458">
        <v>0</v>
      </c>
    </row>
    <row r="2197" spans="3:15" ht="13.5">
      <c r="C2197" s="1463" t="s">
        <v>5989</v>
      </c>
      <c r="D2197" s="1460">
        <v>1</v>
      </c>
      <c r="E2197" s="1460">
        <v>1</v>
      </c>
      <c r="F2197" s="1461">
        <v>2</v>
      </c>
      <c r="G2197" s="1472" t="s">
        <v>5989</v>
      </c>
      <c r="H2197" s="1458">
        <v>1</v>
      </c>
      <c r="I2197" s="1458">
        <v>1</v>
      </c>
      <c r="J2197" s="1473">
        <v>2</v>
      </c>
      <c r="K2197" s="1462"/>
      <c r="L2197" s="1456">
        <v>13297110503</v>
      </c>
      <c r="M2197" s="1457">
        <v>1</v>
      </c>
      <c r="N2197" s="1457">
        <v>1</v>
      </c>
      <c r="O2197" s="1458">
        <v>2</v>
      </c>
    </row>
    <row r="2198" spans="3:15" ht="13.5">
      <c r="C2198" s="1463" t="s">
        <v>5990</v>
      </c>
      <c r="D2198" s="1460">
        <v>1</v>
      </c>
      <c r="E2198" s="1460">
        <v>1</v>
      </c>
      <c r="F2198" s="1461">
        <v>2</v>
      </c>
      <c r="G2198" s="1472" t="s">
        <v>5990</v>
      </c>
      <c r="H2198" s="1458">
        <v>1</v>
      </c>
      <c r="I2198" s="1458">
        <v>1</v>
      </c>
      <c r="J2198" s="1473">
        <v>2</v>
      </c>
      <c r="K2198" s="1462"/>
      <c r="L2198" s="1456">
        <v>13297110504</v>
      </c>
      <c r="M2198" s="1457">
        <v>1</v>
      </c>
      <c r="N2198" s="1457">
        <v>1</v>
      </c>
      <c r="O2198" s="1458">
        <v>2</v>
      </c>
    </row>
    <row r="2199" spans="3:15" ht="13.5">
      <c r="C2199" s="1463" t="s">
        <v>5991</v>
      </c>
      <c r="D2199" s="1460">
        <v>1</v>
      </c>
      <c r="E2199" s="1460">
        <v>1</v>
      </c>
      <c r="F2199" s="1461">
        <v>2</v>
      </c>
      <c r="G2199" s="1472" t="s">
        <v>5991</v>
      </c>
      <c r="H2199" s="1458">
        <v>1</v>
      </c>
      <c r="I2199" s="1458">
        <v>0</v>
      </c>
      <c r="J2199" s="1473">
        <v>1</v>
      </c>
      <c r="K2199" s="1462"/>
      <c r="L2199" s="1456">
        <v>13297110505</v>
      </c>
      <c r="M2199" s="1457">
        <v>1</v>
      </c>
      <c r="N2199" s="1457">
        <v>1</v>
      </c>
      <c r="O2199" s="1458">
        <v>2</v>
      </c>
    </row>
    <row r="2200" spans="3:15" ht="13.5">
      <c r="C2200" s="1463" t="s">
        <v>5992</v>
      </c>
      <c r="D2200" s="1460">
        <v>1</v>
      </c>
      <c r="E2200" s="1460">
        <v>1</v>
      </c>
      <c r="F2200" s="1461">
        <v>2</v>
      </c>
      <c r="G2200" s="1472" t="s">
        <v>5992</v>
      </c>
      <c r="H2200" s="1458">
        <v>1</v>
      </c>
      <c r="I2200" s="1458">
        <v>1</v>
      </c>
      <c r="J2200" s="1473">
        <v>2</v>
      </c>
      <c r="K2200" s="1462"/>
      <c r="L2200" s="1456">
        <v>13297110506</v>
      </c>
      <c r="M2200" s="1457">
        <v>1</v>
      </c>
      <c r="N2200" s="1457">
        <v>1</v>
      </c>
      <c r="O2200" s="1458">
        <v>2</v>
      </c>
    </row>
    <row r="2201" spans="3:15" ht="13.5">
      <c r="C2201" s="1463" t="s">
        <v>5993</v>
      </c>
      <c r="D2201" s="1460">
        <v>1</v>
      </c>
      <c r="E2201" s="1460">
        <v>1</v>
      </c>
      <c r="F2201" s="1461">
        <v>2</v>
      </c>
      <c r="G2201" s="1472" t="s">
        <v>5993</v>
      </c>
      <c r="H2201" s="1458">
        <v>1</v>
      </c>
      <c r="I2201" s="1458">
        <v>1</v>
      </c>
      <c r="J2201" s="1473">
        <v>2</v>
      </c>
      <c r="K2201" s="1462"/>
      <c r="L2201" s="1456">
        <v>13297110507</v>
      </c>
      <c r="M2201" s="1457">
        <v>1</v>
      </c>
      <c r="N2201" s="1457">
        <v>1</v>
      </c>
      <c r="O2201" s="1458">
        <v>2</v>
      </c>
    </row>
    <row r="2202" spans="3:15" ht="13.5">
      <c r="C2202" s="1463" t="s">
        <v>5994</v>
      </c>
      <c r="D2202" s="1460">
        <v>1</v>
      </c>
      <c r="E2202" s="1460">
        <v>1</v>
      </c>
      <c r="F2202" s="1461">
        <v>2</v>
      </c>
      <c r="G2202" s="1472" t="s">
        <v>5994</v>
      </c>
      <c r="H2202" s="1458">
        <v>0</v>
      </c>
      <c r="I2202" s="1458">
        <v>1</v>
      </c>
      <c r="J2202" s="1473">
        <v>1</v>
      </c>
      <c r="K2202" s="1462"/>
      <c r="L2202" s="1456">
        <v>13297110508</v>
      </c>
      <c r="M2202" s="1457">
        <v>1</v>
      </c>
      <c r="N2202" s="1457">
        <v>1</v>
      </c>
      <c r="O2202" s="1458">
        <v>2</v>
      </c>
    </row>
    <row r="2203" spans="3:15" ht="13.5">
      <c r="C2203" s="1463" t="s">
        <v>5995</v>
      </c>
      <c r="D2203" s="1460">
        <v>1</v>
      </c>
      <c r="E2203" s="1460">
        <v>1</v>
      </c>
      <c r="F2203" s="1461">
        <v>2</v>
      </c>
      <c r="G2203" s="1472" t="s">
        <v>5995</v>
      </c>
      <c r="H2203" s="1458">
        <v>1</v>
      </c>
      <c r="I2203" s="1458">
        <v>1</v>
      </c>
      <c r="J2203" s="1473">
        <v>2</v>
      </c>
      <c r="K2203" s="1462"/>
      <c r="L2203" s="1456">
        <v>13297110601</v>
      </c>
      <c r="M2203" s="1457">
        <v>1</v>
      </c>
      <c r="N2203" s="1457">
        <v>1</v>
      </c>
      <c r="O2203" s="1458">
        <v>2</v>
      </c>
    </row>
    <row r="2204" spans="3:15" ht="13.5">
      <c r="C2204" s="1463" t="s">
        <v>5996</v>
      </c>
      <c r="D2204" s="1460">
        <v>1</v>
      </c>
      <c r="E2204" s="1460">
        <v>1</v>
      </c>
      <c r="F2204" s="1461">
        <v>2</v>
      </c>
      <c r="G2204" s="1472" t="s">
        <v>5996</v>
      </c>
      <c r="H2204" s="1458">
        <v>1</v>
      </c>
      <c r="I2204" s="1458">
        <v>1</v>
      </c>
      <c r="J2204" s="1473">
        <v>2</v>
      </c>
      <c r="K2204" s="1462"/>
      <c r="L2204" s="1456">
        <v>13297110602</v>
      </c>
      <c r="M2204" s="1457">
        <v>1</v>
      </c>
      <c r="N2204" s="1457">
        <v>1</v>
      </c>
      <c r="O2204" s="1458">
        <v>2</v>
      </c>
    </row>
    <row r="2205" spans="3:15" ht="13.5">
      <c r="C2205" s="1463" t="s">
        <v>5997</v>
      </c>
      <c r="D2205" s="1460">
        <v>0</v>
      </c>
      <c r="E2205" s="1460">
        <v>1</v>
      </c>
      <c r="F2205" s="1461">
        <v>1</v>
      </c>
      <c r="G2205" s="1472" t="s">
        <v>5997</v>
      </c>
      <c r="H2205" s="1458">
        <v>0</v>
      </c>
      <c r="I2205" s="1458">
        <v>0</v>
      </c>
      <c r="J2205" s="1473">
        <v>0</v>
      </c>
      <c r="K2205" s="1462"/>
      <c r="L2205" s="1456">
        <v>13297110603</v>
      </c>
      <c r="M2205" s="1457">
        <v>0</v>
      </c>
      <c r="N2205" s="1457">
        <v>1</v>
      </c>
      <c r="O2205" s="1458">
        <v>1</v>
      </c>
    </row>
    <row r="2206" spans="3:15" ht="13.5">
      <c r="C2206" s="1463" t="s">
        <v>5998</v>
      </c>
      <c r="D2206" s="1460">
        <v>0</v>
      </c>
      <c r="E2206" s="1460">
        <v>0</v>
      </c>
      <c r="F2206" s="1461">
        <v>0</v>
      </c>
      <c r="G2206" s="1472" t="s">
        <v>5998</v>
      </c>
      <c r="H2206" s="1458">
        <v>0</v>
      </c>
      <c r="I2206" s="1458">
        <v>0</v>
      </c>
      <c r="J2206" s="1473">
        <v>0</v>
      </c>
      <c r="K2206" s="1462"/>
      <c r="L2206" s="1456">
        <v>13297110700</v>
      </c>
      <c r="M2206" s="1457">
        <v>0</v>
      </c>
      <c r="N2206" s="1457">
        <v>0</v>
      </c>
      <c r="O2206" s="1458">
        <v>0</v>
      </c>
    </row>
    <row r="2207" spans="3:15" ht="13.5">
      <c r="C2207" s="1463" t="s">
        <v>5999</v>
      </c>
      <c r="D2207" s="1460">
        <v>1</v>
      </c>
      <c r="E2207" s="1460">
        <v>0</v>
      </c>
      <c r="F2207" s="1461">
        <v>1</v>
      </c>
      <c r="G2207" s="1472" t="s">
        <v>5999</v>
      </c>
      <c r="H2207" s="1458">
        <v>1</v>
      </c>
      <c r="I2207" s="1458">
        <v>0</v>
      </c>
      <c r="J2207" s="1473">
        <v>1</v>
      </c>
      <c r="K2207" s="1462"/>
      <c r="L2207" s="1456">
        <v>13297110800</v>
      </c>
      <c r="M2207" s="1457">
        <v>1</v>
      </c>
      <c r="N2207" s="1457">
        <v>0</v>
      </c>
      <c r="O2207" s="1458">
        <v>1</v>
      </c>
    </row>
    <row r="2208" spans="3:15" ht="13.5">
      <c r="C2208" s="1463" t="s">
        <v>6000</v>
      </c>
      <c r="D2208" s="1460">
        <v>1</v>
      </c>
      <c r="E2208" s="1460">
        <v>0</v>
      </c>
      <c r="F2208" s="1461">
        <v>1</v>
      </c>
      <c r="G2208" s="1472" t="s">
        <v>6000</v>
      </c>
      <c r="H2208" s="1458">
        <v>0</v>
      </c>
      <c r="I2208" s="1458">
        <v>0</v>
      </c>
      <c r="J2208" s="1473">
        <v>0</v>
      </c>
      <c r="K2208" s="1462"/>
      <c r="L2208" s="1456">
        <v>13299950100</v>
      </c>
      <c r="M2208" s="1457">
        <v>1</v>
      </c>
      <c r="N2208" s="1457">
        <v>0</v>
      </c>
      <c r="O2208" s="1458">
        <v>1</v>
      </c>
    </row>
    <row r="2209" spans="3:15" ht="13.5">
      <c r="C2209" s="1463" t="s">
        <v>6001</v>
      </c>
      <c r="D2209" s="1460">
        <v>0</v>
      </c>
      <c r="E2209" s="1460">
        <v>0</v>
      </c>
      <c r="F2209" s="1461">
        <v>0</v>
      </c>
      <c r="G2209" s="1472" t="s">
        <v>6001</v>
      </c>
      <c r="H2209" s="1458">
        <v>0</v>
      </c>
      <c r="I2209" s="1458">
        <v>0</v>
      </c>
      <c r="J2209" s="1473">
        <v>0</v>
      </c>
      <c r="K2209" s="1462"/>
      <c r="L2209" s="1456">
        <v>13299950200</v>
      </c>
      <c r="M2209" s="1457">
        <v>0</v>
      </c>
      <c r="N2209" s="1457">
        <v>0</v>
      </c>
      <c r="O2209" s="1458">
        <v>0</v>
      </c>
    </row>
    <row r="2210" spans="3:15" ht="13.5">
      <c r="C2210" s="1463" t="s">
        <v>6002</v>
      </c>
      <c r="D2210" s="1460">
        <v>0</v>
      </c>
      <c r="E2210" s="1460">
        <v>0</v>
      </c>
      <c r="F2210" s="1461">
        <v>0</v>
      </c>
      <c r="G2210" s="1472" t="s">
        <v>6002</v>
      </c>
      <c r="H2210" s="1458">
        <v>0</v>
      </c>
      <c r="I2210" s="1458">
        <v>0</v>
      </c>
      <c r="J2210" s="1473">
        <v>0</v>
      </c>
      <c r="K2210" s="1462"/>
      <c r="L2210" s="1456">
        <v>13299950300</v>
      </c>
      <c r="M2210" s="1457">
        <v>0</v>
      </c>
      <c r="N2210" s="1457">
        <v>0</v>
      </c>
      <c r="O2210" s="1458">
        <v>0</v>
      </c>
    </row>
    <row r="2211" spans="3:15" ht="13.5">
      <c r="C2211" s="1463" t="s">
        <v>6003</v>
      </c>
      <c r="D2211" s="1460">
        <v>0</v>
      </c>
      <c r="E2211" s="1460">
        <v>0</v>
      </c>
      <c r="F2211" s="1461">
        <v>0</v>
      </c>
      <c r="G2211" s="1472" t="s">
        <v>6003</v>
      </c>
      <c r="H2211" s="1458">
        <v>0</v>
      </c>
      <c r="I2211" s="1458">
        <v>0</v>
      </c>
      <c r="J2211" s="1473">
        <v>0</v>
      </c>
      <c r="K2211" s="1462"/>
      <c r="L2211" s="1456">
        <v>13299950400</v>
      </c>
      <c r="M2211" s="1457">
        <v>0</v>
      </c>
      <c r="N2211" s="1457">
        <v>0</v>
      </c>
      <c r="O2211" s="1458">
        <v>0</v>
      </c>
    </row>
    <row r="2212" spans="3:15" ht="13.5">
      <c r="C2212" s="1463" t="s">
        <v>6004</v>
      </c>
      <c r="D2212" s="1460">
        <v>1</v>
      </c>
      <c r="E2212" s="1460">
        <v>0</v>
      </c>
      <c r="F2212" s="1461">
        <v>1</v>
      </c>
      <c r="G2212" s="1472" t="s">
        <v>6004</v>
      </c>
      <c r="H2212" s="1458">
        <v>1</v>
      </c>
      <c r="I2212" s="1458">
        <v>0</v>
      </c>
      <c r="J2212" s="1473">
        <v>1</v>
      </c>
      <c r="K2212" s="1462"/>
      <c r="L2212" s="1456">
        <v>13299950500</v>
      </c>
      <c r="M2212" s="1457">
        <v>1</v>
      </c>
      <c r="N2212" s="1457">
        <v>0</v>
      </c>
      <c r="O2212" s="1458">
        <v>1</v>
      </c>
    </row>
    <row r="2213" spans="3:15" ht="13.5">
      <c r="C2213" s="1463" t="s">
        <v>6005</v>
      </c>
      <c r="D2213" s="1460">
        <v>1</v>
      </c>
      <c r="E2213" s="1460">
        <v>0</v>
      </c>
      <c r="F2213" s="1461">
        <v>1</v>
      </c>
      <c r="G2213" s="1472" t="s">
        <v>6005</v>
      </c>
      <c r="H2213" s="1458">
        <v>1</v>
      </c>
      <c r="I2213" s="1458">
        <v>0</v>
      </c>
      <c r="J2213" s="1473">
        <v>1</v>
      </c>
      <c r="K2213" s="1462"/>
      <c r="L2213" s="1456">
        <v>13299950600</v>
      </c>
      <c r="M2213" s="1457">
        <v>1</v>
      </c>
      <c r="N2213" s="1457">
        <v>0</v>
      </c>
      <c r="O2213" s="1458">
        <v>1</v>
      </c>
    </row>
    <row r="2214" spans="3:15" ht="13.5">
      <c r="C2214" s="1463" t="s">
        <v>6006</v>
      </c>
      <c r="D2214" s="1460">
        <v>0</v>
      </c>
      <c r="E2214" s="1460">
        <v>0</v>
      </c>
      <c r="F2214" s="1461">
        <v>0</v>
      </c>
      <c r="G2214" s="1472" t="s">
        <v>6006</v>
      </c>
      <c r="H2214" s="1458">
        <v>0</v>
      </c>
      <c r="I2214" s="1458">
        <v>0</v>
      </c>
      <c r="J2214" s="1473">
        <v>0</v>
      </c>
      <c r="K2214" s="1462"/>
      <c r="L2214" s="1456">
        <v>13299950700</v>
      </c>
      <c r="M2214" s="1457">
        <v>0</v>
      </c>
      <c r="N2214" s="1457">
        <v>0</v>
      </c>
      <c r="O2214" s="1458">
        <v>0</v>
      </c>
    </row>
    <row r="2215" spans="3:15" ht="13.5">
      <c r="C2215" s="1463" t="s">
        <v>6007</v>
      </c>
      <c r="D2215" s="1460">
        <v>0</v>
      </c>
      <c r="E2215" s="1460">
        <v>0</v>
      </c>
      <c r="F2215" s="1461">
        <v>0</v>
      </c>
      <c r="G2215" s="1472" t="s">
        <v>6007</v>
      </c>
      <c r="H2215" s="1458">
        <v>0</v>
      </c>
      <c r="I2215" s="1458">
        <v>0</v>
      </c>
      <c r="J2215" s="1473">
        <v>0</v>
      </c>
      <c r="K2215" s="1462"/>
      <c r="L2215" s="1456">
        <v>13299950800</v>
      </c>
      <c r="M2215" s="1457">
        <v>0</v>
      </c>
      <c r="N2215" s="1457">
        <v>0</v>
      </c>
      <c r="O2215" s="1458">
        <v>0</v>
      </c>
    </row>
    <row r="2216" spans="3:15" ht="13.5">
      <c r="C2216" s="1463" t="s">
        <v>6008</v>
      </c>
      <c r="D2216" s="1460">
        <v>0</v>
      </c>
      <c r="E2216" s="1460">
        <v>0</v>
      </c>
      <c r="F2216" s="1461">
        <v>0</v>
      </c>
      <c r="G2216" s="1472" t="s">
        <v>6008</v>
      </c>
      <c r="H2216" s="1458">
        <v>0</v>
      </c>
      <c r="I2216" s="1458">
        <v>0</v>
      </c>
      <c r="J2216" s="1473">
        <v>0</v>
      </c>
      <c r="K2216" s="1462"/>
      <c r="L2216" s="1456">
        <v>13299950900</v>
      </c>
      <c r="M2216" s="1457">
        <v>0</v>
      </c>
      <c r="N2216" s="1457">
        <v>0</v>
      </c>
      <c r="O2216" s="1458">
        <v>0</v>
      </c>
    </row>
    <row r="2217" spans="3:15" ht="13.5">
      <c r="C2217" s="1463" t="s">
        <v>6009</v>
      </c>
      <c r="D2217" s="1460">
        <v>0</v>
      </c>
      <c r="E2217" s="1460">
        <v>0</v>
      </c>
      <c r="F2217" s="1461">
        <v>0</v>
      </c>
      <c r="G2217" s="1472" t="s">
        <v>6009</v>
      </c>
      <c r="H2217" s="1458">
        <v>0</v>
      </c>
      <c r="I2217" s="1458">
        <v>0</v>
      </c>
      <c r="J2217" s="1473">
        <v>0</v>
      </c>
      <c r="K2217" s="1462"/>
      <c r="L2217" s="1456">
        <v>13301970400</v>
      </c>
      <c r="M2217" s="1457">
        <v>0</v>
      </c>
      <c r="N2217" s="1457">
        <v>0</v>
      </c>
      <c r="O2217" s="1458">
        <v>0</v>
      </c>
    </row>
    <row r="2218" spans="3:15" ht="13.5">
      <c r="C2218" s="1463" t="s">
        <v>6010</v>
      </c>
      <c r="D2218" s="1460">
        <v>0</v>
      </c>
      <c r="E2218" s="1460">
        <v>0</v>
      </c>
      <c r="F2218" s="1461">
        <v>0</v>
      </c>
      <c r="G2218" s="1472" t="s">
        <v>6010</v>
      </c>
      <c r="H2218" s="1458">
        <v>0</v>
      </c>
      <c r="I2218" s="1458">
        <v>0</v>
      </c>
      <c r="J2218" s="1473">
        <v>0</v>
      </c>
      <c r="K2218" s="1462"/>
      <c r="L2218" s="1456">
        <v>13301970500</v>
      </c>
      <c r="M2218" s="1457">
        <v>0</v>
      </c>
      <c r="N2218" s="1457">
        <v>0</v>
      </c>
      <c r="O2218" s="1458">
        <v>0</v>
      </c>
    </row>
    <row r="2219" spans="3:15" ht="13.5">
      <c r="C2219" s="1463" t="s">
        <v>6011</v>
      </c>
      <c r="D2219" s="1460">
        <v>0</v>
      </c>
      <c r="E2219" s="1460">
        <v>0</v>
      </c>
      <c r="F2219" s="1461">
        <v>0</v>
      </c>
      <c r="G2219" s="1472" t="s">
        <v>6011</v>
      </c>
      <c r="H2219" s="1458">
        <v>0</v>
      </c>
      <c r="I2219" s="1458">
        <v>1</v>
      </c>
      <c r="J2219" s="1473">
        <v>1</v>
      </c>
      <c r="K2219" s="1462"/>
      <c r="L2219" s="1456">
        <v>13303950100</v>
      </c>
      <c r="M2219" s="1457">
        <v>0</v>
      </c>
      <c r="N2219" s="1457">
        <v>1</v>
      </c>
      <c r="O2219" s="1458">
        <v>1</v>
      </c>
    </row>
    <row r="2220" spans="3:15" ht="13.5">
      <c r="C2220" s="1463" t="s">
        <v>6012</v>
      </c>
      <c r="D2220" s="1460">
        <v>0</v>
      </c>
      <c r="E2220" s="1460">
        <v>0</v>
      </c>
      <c r="F2220" s="1461">
        <v>0</v>
      </c>
      <c r="G2220" s="1472" t="s">
        <v>6012</v>
      </c>
      <c r="H2220" s="1458">
        <v>0</v>
      </c>
      <c r="I2220" s="1458">
        <v>0</v>
      </c>
      <c r="J2220" s="1473">
        <v>0</v>
      </c>
      <c r="K2220" s="1462"/>
      <c r="L2220" s="1456">
        <v>13303950300</v>
      </c>
      <c r="M2220" s="1457">
        <v>0</v>
      </c>
      <c r="N2220" s="1457">
        <v>0</v>
      </c>
      <c r="O2220" s="1458">
        <v>0</v>
      </c>
    </row>
    <row r="2221" spans="3:15" ht="13.5">
      <c r="C2221" s="1463" t="s">
        <v>6013</v>
      </c>
      <c r="D2221" s="1460">
        <v>0</v>
      </c>
      <c r="E2221" s="1460">
        <v>0</v>
      </c>
      <c r="F2221" s="1461">
        <v>0</v>
      </c>
      <c r="G2221" s="1472" t="s">
        <v>6013</v>
      </c>
      <c r="H2221" s="1458">
        <v>0</v>
      </c>
      <c r="I2221" s="1458">
        <v>0</v>
      </c>
      <c r="J2221" s="1473">
        <v>0</v>
      </c>
      <c r="K2221" s="1462"/>
      <c r="L2221" s="1456">
        <v>13303950400</v>
      </c>
      <c r="M2221" s="1457">
        <v>0</v>
      </c>
      <c r="N2221" s="1457">
        <v>0</v>
      </c>
      <c r="O2221" s="1458">
        <v>0</v>
      </c>
    </row>
    <row r="2222" spans="3:15" ht="13.5">
      <c r="C2222" s="1463" t="s">
        <v>6014</v>
      </c>
      <c r="D2222" s="1460">
        <v>0</v>
      </c>
      <c r="E2222" s="1460">
        <v>0</v>
      </c>
      <c r="F2222" s="1461">
        <v>0</v>
      </c>
      <c r="G2222" s="1472" t="s">
        <v>6014</v>
      </c>
      <c r="H2222" s="1458">
        <v>0</v>
      </c>
      <c r="I2222" s="1458">
        <v>0</v>
      </c>
      <c r="J2222" s="1473">
        <v>0</v>
      </c>
      <c r="K2222" s="1462"/>
      <c r="L2222" s="1456">
        <v>13303950500</v>
      </c>
      <c r="M2222" s="1457">
        <v>0</v>
      </c>
      <c r="N2222" s="1457">
        <v>0</v>
      </c>
      <c r="O2222" s="1458">
        <v>0</v>
      </c>
    </row>
    <row r="2223" spans="3:15" ht="13.5">
      <c r="C2223" s="1463" t="s">
        <v>6015</v>
      </c>
      <c r="D2223" s="1460">
        <v>0</v>
      </c>
      <c r="E2223" s="1460">
        <v>0</v>
      </c>
      <c r="F2223" s="1461">
        <v>0</v>
      </c>
      <c r="G2223" s="1472" t="s">
        <v>6015</v>
      </c>
      <c r="H2223" s="1458">
        <v>0</v>
      </c>
      <c r="I2223" s="1458">
        <v>1</v>
      </c>
      <c r="J2223" s="1473">
        <v>1</v>
      </c>
      <c r="K2223" s="1462"/>
      <c r="L2223" s="1456">
        <v>13303950700</v>
      </c>
      <c r="M2223" s="1457">
        <v>0</v>
      </c>
      <c r="N2223" s="1457">
        <v>1</v>
      </c>
      <c r="O2223" s="1458">
        <v>1</v>
      </c>
    </row>
    <row r="2224" spans="3:15" ht="13.5">
      <c r="C2224" s="1463" t="s">
        <v>6016</v>
      </c>
      <c r="D2224" s="1460">
        <v>0</v>
      </c>
      <c r="E2224" s="1460">
        <v>0</v>
      </c>
      <c r="F2224" s="1461">
        <v>0</v>
      </c>
      <c r="G2224" s="1472" t="s">
        <v>6016</v>
      </c>
      <c r="H2224" s="1458">
        <v>0</v>
      </c>
      <c r="I2224" s="1458">
        <v>0</v>
      </c>
      <c r="J2224" s="1473">
        <v>0</v>
      </c>
      <c r="K2224" s="1462"/>
      <c r="L2224" s="1456">
        <v>13305970100</v>
      </c>
      <c r="M2224" s="1457">
        <v>0</v>
      </c>
      <c r="N2224" s="1457">
        <v>0</v>
      </c>
      <c r="O2224" s="1458">
        <v>0</v>
      </c>
    </row>
    <row r="2225" spans="3:15" ht="13.5">
      <c r="C2225" s="1463" t="s">
        <v>6017</v>
      </c>
      <c r="D2225" s="1460">
        <v>0</v>
      </c>
      <c r="E2225" s="1460">
        <v>0</v>
      </c>
      <c r="F2225" s="1461">
        <v>0</v>
      </c>
      <c r="G2225" s="1472" t="s">
        <v>6017</v>
      </c>
      <c r="H2225" s="1458">
        <v>0</v>
      </c>
      <c r="I2225" s="1458">
        <v>0</v>
      </c>
      <c r="J2225" s="1473">
        <v>0</v>
      </c>
      <c r="K2225" s="1462"/>
      <c r="L2225" s="1456">
        <v>13305970200</v>
      </c>
      <c r="M2225" s="1457">
        <v>0</v>
      </c>
      <c r="N2225" s="1457">
        <v>0</v>
      </c>
      <c r="O2225" s="1458">
        <v>0</v>
      </c>
    </row>
    <row r="2226" spans="3:15" ht="13.5">
      <c r="C2226" s="1463" t="s">
        <v>6018</v>
      </c>
      <c r="D2226" s="1460">
        <v>0</v>
      </c>
      <c r="E2226" s="1460">
        <v>0</v>
      </c>
      <c r="F2226" s="1461">
        <v>0</v>
      </c>
      <c r="G2226" s="1472" t="s">
        <v>6018</v>
      </c>
      <c r="H2226" s="1458">
        <v>0</v>
      </c>
      <c r="I2226" s="1458">
        <v>0</v>
      </c>
      <c r="J2226" s="1473">
        <v>0</v>
      </c>
      <c r="K2226" s="1462"/>
      <c r="L2226" s="1456">
        <v>13305970300</v>
      </c>
      <c r="M2226" s="1457">
        <v>0</v>
      </c>
      <c r="N2226" s="1457">
        <v>0</v>
      </c>
      <c r="O2226" s="1458">
        <v>0</v>
      </c>
    </row>
    <row r="2227" spans="3:15" ht="13.5">
      <c r="C2227" s="1463" t="s">
        <v>6019</v>
      </c>
      <c r="D2227" s="1460">
        <v>0</v>
      </c>
      <c r="E2227" s="1460">
        <v>0</v>
      </c>
      <c r="F2227" s="1461">
        <v>0</v>
      </c>
      <c r="G2227" s="1472" t="s">
        <v>6019</v>
      </c>
      <c r="H2227" s="1458">
        <v>0</v>
      </c>
      <c r="I2227" s="1458">
        <v>0</v>
      </c>
      <c r="J2227" s="1473">
        <v>0</v>
      </c>
      <c r="K2227" s="1462"/>
      <c r="L2227" s="1456">
        <v>13305970400</v>
      </c>
      <c r="M2227" s="1457">
        <v>0</v>
      </c>
      <c r="N2227" s="1457">
        <v>0</v>
      </c>
      <c r="O2227" s="1458">
        <v>0</v>
      </c>
    </row>
    <row r="2228" spans="3:15" ht="13.5">
      <c r="C2228" s="1463" t="s">
        <v>6020</v>
      </c>
      <c r="D2228" s="1460">
        <v>0</v>
      </c>
      <c r="E2228" s="1460">
        <v>0</v>
      </c>
      <c r="F2228" s="1461">
        <v>0</v>
      </c>
      <c r="G2228" s="1472" t="s">
        <v>6020</v>
      </c>
      <c r="H2228" s="1458">
        <v>0</v>
      </c>
      <c r="I2228" s="1458">
        <v>0</v>
      </c>
      <c r="J2228" s="1473">
        <v>0</v>
      </c>
      <c r="K2228" s="1462"/>
      <c r="L2228" s="1456">
        <v>13305970500</v>
      </c>
      <c r="M2228" s="1457">
        <v>0</v>
      </c>
      <c r="N2228" s="1457">
        <v>0</v>
      </c>
      <c r="O2228" s="1458">
        <v>0</v>
      </c>
    </row>
    <row r="2229" spans="3:15" ht="13.5">
      <c r="C2229" s="1463" t="s">
        <v>6021</v>
      </c>
      <c r="D2229" s="1460">
        <v>0</v>
      </c>
      <c r="E2229" s="1460">
        <v>0</v>
      </c>
      <c r="F2229" s="1461">
        <v>0</v>
      </c>
      <c r="G2229" s="1472" t="s">
        <v>6021</v>
      </c>
      <c r="H2229" s="1458">
        <v>0</v>
      </c>
      <c r="I2229" s="1458">
        <v>0</v>
      </c>
      <c r="J2229" s="1473">
        <v>0</v>
      </c>
      <c r="K2229" s="1462"/>
      <c r="L2229" s="1456">
        <v>13305970600</v>
      </c>
      <c r="M2229" s="1457">
        <v>0</v>
      </c>
      <c r="N2229" s="1457">
        <v>0</v>
      </c>
      <c r="O2229" s="1458">
        <v>0</v>
      </c>
    </row>
    <row r="2230" spans="3:15" ht="13.5">
      <c r="C2230" s="1463" t="s">
        <v>6022</v>
      </c>
      <c r="D2230" s="1460">
        <v>0</v>
      </c>
      <c r="E2230" s="1460">
        <v>0</v>
      </c>
      <c r="F2230" s="1461">
        <v>0</v>
      </c>
      <c r="G2230" s="1472" t="s">
        <v>6022</v>
      </c>
      <c r="H2230" s="1458">
        <v>0</v>
      </c>
      <c r="I2230" s="1458">
        <v>1</v>
      </c>
      <c r="J2230" s="1473">
        <v>1</v>
      </c>
      <c r="K2230" s="1462"/>
      <c r="L2230" s="1456">
        <v>13307960100</v>
      </c>
      <c r="M2230" s="1457">
        <v>0</v>
      </c>
      <c r="N2230" s="1457">
        <v>1</v>
      </c>
      <c r="O2230" s="1458">
        <v>1</v>
      </c>
    </row>
    <row r="2231" spans="3:15" ht="13.5">
      <c r="C2231" s="1463" t="s">
        <v>6023</v>
      </c>
      <c r="D2231" s="1460">
        <v>0</v>
      </c>
      <c r="E2231" s="1460">
        <v>0</v>
      </c>
      <c r="F2231" s="1461">
        <v>0</v>
      </c>
      <c r="G2231" s="1472" t="s">
        <v>6023</v>
      </c>
      <c r="H2231" s="1458">
        <v>0</v>
      </c>
      <c r="I2231" s="1458">
        <v>0</v>
      </c>
      <c r="J2231" s="1473">
        <v>0</v>
      </c>
      <c r="K2231" s="1462"/>
      <c r="L2231" s="1456">
        <v>13307960200</v>
      </c>
      <c r="M2231" s="1457">
        <v>0</v>
      </c>
      <c r="N2231" s="1457">
        <v>0</v>
      </c>
      <c r="O2231" s="1458">
        <v>0</v>
      </c>
    </row>
    <row r="2232" spans="3:15" ht="13.5">
      <c r="C2232" s="1463" t="s">
        <v>6024</v>
      </c>
      <c r="D2232" s="1460">
        <v>0</v>
      </c>
      <c r="E2232" s="1460">
        <v>0</v>
      </c>
      <c r="F2232" s="1461">
        <v>0</v>
      </c>
      <c r="G2232" s="1472" t="s">
        <v>6024</v>
      </c>
      <c r="H2232" s="1458">
        <v>0</v>
      </c>
      <c r="I2232" s="1458">
        <v>0</v>
      </c>
      <c r="J2232" s="1473">
        <v>0</v>
      </c>
      <c r="K2232" s="1462"/>
      <c r="L2232" s="1456">
        <v>13309780100</v>
      </c>
      <c r="M2232" s="1457">
        <v>0</v>
      </c>
      <c r="N2232" s="1457">
        <v>0</v>
      </c>
      <c r="O2232" s="1458">
        <v>0</v>
      </c>
    </row>
    <row r="2233" spans="3:15" ht="13.5">
      <c r="C2233" s="1463" t="s">
        <v>6025</v>
      </c>
      <c r="D2233" s="1460">
        <v>0</v>
      </c>
      <c r="E2233" s="1460">
        <v>0</v>
      </c>
      <c r="F2233" s="1461">
        <v>0</v>
      </c>
      <c r="G2233" s="1472" t="s">
        <v>6025</v>
      </c>
      <c r="H2233" s="1458">
        <v>0</v>
      </c>
      <c r="I2233" s="1458">
        <v>1</v>
      </c>
      <c r="J2233" s="1473">
        <v>1</v>
      </c>
      <c r="K2233" s="1462"/>
      <c r="L2233" s="1456">
        <v>13309780200</v>
      </c>
      <c r="M2233" s="1457">
        <v>0</v>
      </c>
      <c r="N2233" s="1457">
        <v>1</v>
      </c>
      <c r="O2233" s="1458">
        <v>1</v>
      </c>
    </row>
    <row r="2234" spans="3:15" ht="13.5">
      <c r="C2234" s="1463" t="s">
        <v>6026</v>
      </c>
      <c r="D2234" s="1460">
        <v>1</v>
      </c>
      <c r="E2234" s="1460">
        <v>0</v>
      </c>
      <c r="F2234" s="1461">
        <v>1</v>
      </c>
      <c r="G2234" s="1472" t="s">
        <v>6026</v>
      </c>
      <c r="H2234" s="1458">
        <v>1</v>
      </c>
      <c r="I2234" s="1458">
        <v>0</v>
      </c>
      <c r="J2234" s="1473">
        <v>1</v>
      </c>
      <c r="K2234" s="1462"/>
      <c r="L2234" s="1456">
        <v>13311950100</v>
      </c>
      <c r="M2234" s="1457">
        <v>1</v>
      </c>
      <c r="N2234" s="1457">
        <v>0</v>
      </c>
      <c r="O2234" s="1458">
        <v>1</v>
      </c>
    </row>
    <row r="2235" spans="3:15" ht="13.5">
      <c r="C2235" s="1463" t="s">
        <v>6027</v>
      </c>
      <c r="D2235" s="1460">
        <v>0</v>
      </c>
      <c r="E2235" s="1460">
        <v>0</v>
      </c>
      <c r="F2235" s="1461">
        <v>0</v>
      </c>
      <c r="G2235" s="1472" t="s">
        <v>6027</v>
      </c>
      <c r="H2235" s="1458">
        <v>0</v>
      </c>
      <c r="I2235" s="1458">
        <v>0</v>
      </c>
      <c r="J2235" s="1473">
        <v>0</v>
      </c>
      <c r="K2235" s="1462"/>
      <c r="L2235" s="1456">
        <v>13311950201</v>
      </c>
      <c r="M2235" s="1457">
        <v>0</v>
      </c>
      <c r="N2235" s="1457">
        <v>0</v>
      </c>
      <c r="O2235" s="1458">
        <v>0</v>
      </c>
    </row>
    <row r="2236" spans="3:15" ht="13.5">
      <c r="C2236" s="1463" t="s">
        <v>6028</v>
      </c>
      <c r="D2236" s="1460">
        <v>1</v>
      </c>
      <c r="E2236" s="1460">
        <v>1</v>
      </c>
      <c r="F2236" s="1461">
        <v>2</v>
      </c>
      <c r="G2236" s="1472" t="s">
        <v>6028</v>
      </c>
      <c r="H2236" s="1458">
        <v>0</v>
      </c>
      <c r="I2236" s="1458">
        <v>1</v>
      </c>
      <c r="J2236" s="1473">
        <v>1</v>
      </c>
      <c r="K2236" s="1462"/>
      <c r="L2236" s="1456">
        <v>13311950202</v>
      </c>
      <c r="M2236" s="1457">
        <v>1</v>
      </c>
      <c r="N2236" s="1457">
        <v>1</v>
      </c>
      <c r="O2236" s="1458">
        <v>2</v>
      </c>
    </row>
    <row r="2237" spans="3:15" ht="13.5">
      <c r="C2237" s="1463" t="s">
        <v>6029</v>
      </c>
      <c r="D2237" s="1460">
        <v>1</v>
      </c>
      <c r="E2237" s="1460">
        <v>0</v>
      </c>
      <c r="F2237" s="1461">
        <v>1</v>
      </c>
      <c r="G2237" s="1472" t="s">
        <v>6029</v>
      </c>
      <c r="H2237" s="1458">
        <v>0</v>
      </c>
      <c r="I2237" s="1458">
        <v>1</v>
      </c>
      <c r="J2237" s="1473">
        <v>1</v>
      </c>
      <c r="K2237" s="1462"/>
      <c r="L2237" s="1456">
        <v>13311950203</v>
      </c>
      <c r="M2237" s="1457">
        <v>1</v>
      </c>
      <c r="N2237" s="1457">
        <v>1</v>
      </c>
      <c r="O2237" s="1458">
        <v>1</v>
      </c>
    </row>
    <row r="2238" spans="3:15" ht="13.5">
      <c r="C2238" s="1463" t="s">
        <v>6030</v>
      </c>
      <c r="D2238" s="1460">
        <v>0</v>
      </c>
      <c r="E2238" s="1460">
        <v>1</v>
      </c>
      <c r="F2238" s="1461">
        <v>1</v>
      </c>
      <c r="G2238" s="1472" t="s">
        <v>6030</v>
      </c>
      <c r="H2238" s="1458">
        <v>0</v>
      </c>
      <c r="I2238" s="1458">
        <v>1</v>
      </c>
      <c r="J2238" s="1473">
        <v>1</v>
      </c>
      <c r="K2238" s="1462"/>
      <c r="L2238" s="1456">
        <v>13311950300</v>
      </c>
      <c r="M2238" s="1457">
        <v>0</v>
      </c>
      <c r="N2238" s="1457">
        <v>1</v>
      </c>
      <c r="O2238" s="1458">
        <v>1</v>
      </c>
    </row>
    <row r="2239" spans="3:15" ht="13.5">
      <c r="C2239" s="1463" t="s">
        <v>6031</v>
      </c>
      <c r="D2239" s="1460">
        <v>0</v>
      </c>
      <c r="E2239" s="1460">
        <v>0</v>
      </c>
      <c r="F2239" s="1461">
        <v>0</v>
      </c>
      <c r="G2239" s="1472" t="s">
        <v>6031</v>
      </c>
      <c r="H2239" s="1458">
        <v>0</v>
      </c>
      <c r="I2239" s="1458">
        <v>1</v>
      </c>
      <c r="J2239" s="1473">
        <v>1</v>
      </c>
      <c r="K2239" s="1462"/>
      <c r="L2239" s="1456">
        <v>13313000101</v>
      </c>
      <c r="M2239" s="1457">
        <v>0</v>
      </c>
      <c r="N2239" s="1457">
        <v>1</v>
      </c>
      <c r="O2239" s="1458">
        <v>1</v>
      </c>
    </row>
    <row r="2240" spans="3:15" ht="13.5">
      <c r="C2240" s="1463" t="s">
        <v>6032</v>
      </c>
      <c r="D2240" s="1460">
        <v>0</v>
      </c>
      <c r="E2240" s="1460">
        <v>1</v>
      </c>
      <c r="F2240" s="1461">
        <v>1</v>
      </c>
      <c r="G2240" s="1472" t="s">
        <v>6032</v>
      </c>
      <c r="H2240" s="1458">
        <v>0</v>
      </c>
      <c r="I2240" s="1458">
        <v>0</v>
      </c>
      <c r="J2240" s="1473">
        <v>0</v>
      </c>
      <c r="K2240" s="1462"/>
      <c r="L2240" s="1456">
        <v>13313000102</v>
      </c>
      <c r="M2240" s="1457">
        <v>0</v>
      </c>
      <c r="N2240" s="1457">
        <v>1</v>
      </c>
      <c r="O2240" s="1458">
        <v>1</v>
      </c>
    </row>
    <row r="2241" spans="3:15" ht="13.5">
      <c r="C2241" s="1463" t="s">
        <v>6033</v>
      </c>
      <c r="D2241" s="1460">
        <v>0</v>
      </c>
      <c r="E2241" s="1460">
        <v>1</v>
      </c>
      <c r="F2241" s="1461">
        <v>1</v>
      </c>
      <c r="G2241" s="1472" t="s">
        <v>6033</v>
      </c>
      <c r="H2241" s="1458">
        <v>0</v>
      </c>
      <c r="I2241" s="1458">
        <v>1</v>
      </c>
      <c r="J2241" s="1473">
        <v>1</v>
      </c>
      <c r="K2241" s="1462"/>
      <c r="L2241" s="1456">
        <v>13313000200</v>
      </c>
      <c r="M2241" s="1457">
        <v>0</v>
      </c>
      <c r="N2241" s="1457">
        <v>1</v>
      </c>
      <c r="O2241" s="1458">
        <v>1</v>
      </c>
    </row>
    <row r="2242" spans="3:15" ht="13.5">
      <c r="C2242" s="1463" t="s">
        <v>6034</v>
      </c>
      <c r="D2242" s="1460">
        <v>0</v>
      </c>
      <c r="E2242" s="1460">
        <v>0</v>
      </c>
      <c r="F2242" s="1461">
        <v>0</v>
      </c>
      <c r="G2242" s="1472" t="s">
        <v>6034</v>
      </c>
      <c r="H2242" s="1458">
        <v>0</v>
      </c>
      <c r="I2242" s="1458">
        <v>0</v>
      </c>
      <c r="J2242" s="1473">
        <v>0</v>
      </c>
      <c r="K2242" s="1462"/>
      <c r="L2242" s="1456">
        <v>13313000301</v>
      </c>
      <c r="M2242" s="1457">
        <v>0</v>
      </c>
      <c r="N2242" s="1457">
        <v>0</v>
      </c>
      <c r="O2242" s="1458">
        <v>0</v>
      </c>
    </row>
    <row r="2243" spans="3:15" ht="13.5">
      <c r="C2243" s="1463" t="s">
        <v>6035</v>
      </c>
      <c r="D2243" s="1460">
        <v>0</v>
      </c>
      <c r="E2243" s="1460">
        <v>1</v>
      </c>
      <c r="F2243" s="1461">
        <v>1</v>
      </c>
      <c r="G2243" s="1472" t="s">
        <v>6035</v>
      </c>
      <c r="H2243" s="1458">
        <v>1</v>
      </c>
      <c r="I2243" s="1458">
        <v>1</v>
      </c>
      <c r="J2243" s="1473">
        <v>2</v>
      </c>
      <c r="K2243" s="1462"/>
      <c r="L2243" s="1456">
        <v>13313000302</v>
      </c>
      <c r="M2243" s="1457">
        <v>1</v>
      </c>
      <c r="N2243" s="1457">
        <v>1</v>
      </c>
      <c r="O2243" s="1458">
        <v>2</v>
      </c>
    </row>
    <row r="2244" spans="3:15" ht="13.5">
      <c r="C2244" s="1463" t="s">
        <v>6036</v>
      </c>
      <c r="D2244" s="1460">
        <v>0</v>
      </c>
      <c r="E2244" s="1460">
        <v>0</v>
      </c>
      <c r="F2244" s="1461">
        <v>0</v>
      </c>
      <c r="G2244" s="1472" t="s">
        <v>6036</v>
      </c>
      <c r="H2244" s="1458">
        <v>0</v>
      </c>
      <c r="I2244" s="1458">
        <v>0</v>
      </c>
      <c r="J2244" s="1473">
        <v>0</v>
      </c>
      <c r="K2244" s="1462"/>
      <c r="L2244" s="1456">
        <v>13313000400</v>
      </c>
      <c r="M2244" s="1457">
        <v>0</v>
      </c>
      <c r="N2244" s="1457">
        <v>0</v>
      </c>
      <c r="O2244" s="1458">
        <v>0</v>
      </c>
    </row>
    <row r="2245" spans="3:15" ht="13.5">
      <c r="C2245" s="1463" t="s">
        <v>6037</v>
      </c>
      <c r="D2245" s="1460">
        <v>1</v>
      </c>
      <c r="E2245" s="1460">
        <v>0</v>
      </c>
      <c r="F2245" s="1461">
        <v>1</v>
      </c>
      <c r="G2245" s="1472" t="s">
        <v>6037</v>
      </c>
      <c r="H2245" s="1458">
        <v>1</v>
      </c>
      <c r="I2245" s="1458">
        <v>1</v>
      </c>
      <c r="J2245" s="1473">
        <v>2</v>
      </c>
      <c r="K2245" s="1462"/>
      <c r="L2245" s="1456">
        <v>13313000501</v>
      </c>
      <c r="M2245" s="1457">
        <v>1</v>
      </c>
      <c r="N2245" s="1457">
        <v>1</v>
      </c>
      <c r="O2245" s="1458">
        <v>2</v>
      </c>
    </row>
    <row r="2246" spans="3:15" ht="13.5">
      <c r="C2246" s="1463" t="s">
        <v>6038</v>
      </c>
      <c r="D2246" s="1460">
        <v>0</v>
      </c>
      <c r="E2246" s="1460">
        <v>0</v>
      </c>
      <c r="F2246" s="1461">
        <v>0</v>
      </c>
      <c r="G2246" s="1472" t="s">
        <v>6038</v>
      </c>
      <c r="H2246" s="1458">
        <v>0</v>
      </c>
      <c r="I2246" s="1458">
        <v>0</v>
      </c>
      <c r="J2246" s="1473">
        <v>0</v>
      </c>
      <c r="K2246" s="1462"/>
      <c r="L2246" s="1456">
        <v>13313000502</v>
      </c>
      <c r="M2246" s="1457">
        <v>0</v>
      </c>
      <c r="N2246" s="1457">
        <v>0</v>
      </c>
      <c r="O2246" s="1458">
        <v>0</v>
      </c>
    </row>
    <row r="2247" spans="3:15" ht="13.5">
      <c r="C2247" s="1463" t="s">
        <v>6039</v>
      </c>
      <c r="D2247" s="1460">
        <v>0</v>
      </c>
      <c r="E2247" s="1460">
        <v>1</v>
      </c>
      <c r="F2247" s="1461">
        <v>1</v>
      </c>
      <c r="G2247" s="1472" t="s">
        <v>6039</v>
      </c>
      <c r="H2247" s="1458">
        <v>0</v>
      </c>
      <c r="I2247" s="1458">
        <v>0</v>
      </c>
      <c r="J2247" s="1473">
        <v>0</v>
      </c>
      <c r="K2247" s="1462"/>
      <c r="L2247" s="1456">
        <v>13313000600</v>
      </c>
      <c r="M2247" s="1457">
        <v>0</v>
      </c>
      <c r="N2247" s="1457">
        <v>1</v>
      </c>
      <c r="O2247" s="1458">
        <v>1</v>
      </c>
    </row>
    <row r="2248" spans="3:15" ht="13.5">
      <c r="C2248" s="1463" t="s">
        <v>6040</v>
      </c>
      <c r="D2248" s="1460">
        <v>0</v>
      </c>
      <c r="E2248" s="1460">
        <v>1</v>
      </c>
      <c r="F2248" s="1461">
        <v>1</v>
      </c>
      <c r="G2248" s="1472" t="s">
        <v>6040</v>
      </c>
      <c r="H2248" s="1458">
        <v>0</v>
      </c>
      <c r="I2248" s="1458">
        <v>1</v>
      </c>
      <c r="J2248" s="1473">
        <v>1</v>
      </c>
      <c r="K2248" s="1462"/>
      <c r="L2248" s="1456">
        <v>13313000700</v>
      </c>
      <c r="M2248" s="1457">
        <v>0</v>
      </c>
      <c r="N2248" s="1457">
        <v>1</v>
      </c>
      <c r="O2248" s="1458">
        <v>1</v>
      </c>
    </row>
    <row r="2249" spans="3:15" ht="13.5">
      <c r="C2249" s="1463" t="s">
        <v>6041</v>
      </c>
      <c r="D2249" s="1460">
        <v>1</v>
      </c>
      <c r="E2249" s="1460">
        <v>0</v>
      </c>
      <c r="F2249" s="1461">
        <v>1</v>
      </c>
      <c r="G2249" s="1472" t="s">
        <v>6041</v>
      </c>
      <c r="H2249" s="1458">
        <v>1</v>
      </c>
      <c r="I2249" s="1458">
        <v>0</v>
      </c>
      <c r="J2249" s="1473">
        <v>1</v>
      </c>
      <c r="K2249" s="1462"/>
      <c r="L2249" s="1456">
        <v>13313000800</v>
      </c>
      <c r="M2249" s="1457">
        <v>1</v>
      </c>
      <c r="N2249" s="1457">
        <v>0</v>
      </c>
      <c r="O2249" s="1458">
        <v>1</v>
      </c>
    </row>
    <row r="2250" spans="3:15" ht="13.5">
      <c r="C2250" s="1463" t="s">
        <v>6042</v>
      </c>
      <c r="D2250" s="1460">
        <v>1</v>
      </c>
      <c r="E2250" s="1460">
        <v>1</v>
      </c>
      <c r="F2250" s="1461">
        <v>2</v>
      </c>
      <c r="G2250" s="1472" t="s">
        <v>6042</v>
      </c>
      <c r="H2250" s="1458">
        <v>1</v>
      </c>
      <c r="I2250" s="1458">
        <v>1</v>
      </c>
      <c r="J2250" s="1473">
        <v>2</v>
      </c>
      <c r="K2250" s="1462"/>
      <c r="L2250" s="1456">
        <v>13313000900</v>
      </c>
      <c r="M2250" s="1457">
        <v>1</v>
      </c>
      <c r="N2250" s="1457">
        <v>1</v>
      </c>
      <c r="O2250" s="1458">
        <v>2</v>
      </c>
    </row>
    <row r="2251" spans="3:15" ht="13.5">
      <c r="C2251" s="1463" t="s">
        <v>6043</v>
      </c>
      <c r="D2251" s="1460">
        <v>0</v>
      </c>
      <c r="E2251" s="1460">
        <v>0</v>
      </c>
      <c r="F2251" s="1461">
        <v>0</v>
      </c>
      <c r="G2251" s="1472" t="s">
        <v>6043</v>
      </c>
      <c r="H2251" s="1458">
        <v>1</v>
      </c>
      <c r="I2251" s="1458">
        <v>0</v>
      </c>
      <c r="J2251" s="1473">
        <v>0</v>
      </c>
      <c r="K2251" s="1462"/>
      <c r="L2251" s="1456">
        <v>13313001000</v>
      </c>
      <c r="M2251" s="1457">
        <v>1</v>
      </c>
      <c r="N2251" s="1457">
        <v>0</v>
      </c>
      <c r="O2251" s="1458">
        <v>0</v>
      </c>
    </row>
    <row r="2252" spans="3:15" ht="13.5">
      <c r="C2252" s="1463" t="s">
        <v>6044</v>
      </c>
      <c r="D2252" s="1460">
        <v>0</v>
      </c>
      <c r="E2252" s="1460">
        <v>0</v>
      </c>
      <c r="F2252" s="1461">
        <v>0</v>
      </c>
      <c r="G2252" s="1472" t="s">
        <v>6044</v>
      </c>
      <c r="H2252" s="1458">
        <v>0</v>
      </c>
      <c r="I2252" s="1458">
        <v>0</v>
      </c>
      <c r="J2252" s="1473">
        <v>0</v>
      </c>
      <c r="K2252" s="1462"/>
      <c r="L2252" s="1456">
        <v>13313001100</v>
      </c>
      <c r="M2252" s="1457">
        <v>0</v>
      </c>
      <c r="N2252" s="1457">
        <v>0</v>
      </c>
      <c r="O2252" s="1458">
        <v>0</v>
      </c>
    </row>
    <row r="2253" spans="3:15" ht="13.5">
      <c r="C2253" s="1463" t="s">
        <v>6045</v>
      </c>
      <c r="D2253" s="1460">
        <v>0</v>
      </c>
      <c r="E2253" s="1460">
        <v>0</v>
      </c>
      <c r="F2253" s="1461">
        <v>0</v>
      </c>
      <c r="G2253" s="1472" t="s">
        <v>6045</v>
      </c>
      <c r="H2253" s="1458">
        <v>0</v>
      </c>
      <c r="I2253" s="1458">
        <v>0</v>
      </c>
      <c r="J2253" s="1473">
        <v>0</v>
      </c>
      <c r="K2253" s="1462"/>
      <c r="L2253" s="1456">
        <v>13313001200</v>
      </c>
      <c r="M2253" s="1457">
        <v>0</v>
      </c>
      <c r="N2253" s="1457">
        <v>0</v>
      </c>
      <c r="O2253" s="1458">
        <v>0</v>
      </c>
    </row>
    <row r="2254" spans="3:15" ht="13.5">
      <c r="C2254" s="1463" t="s">
        <v>6046</v>
      </c>
      <c r="D2254" s="1460">
        <v>0</v>
      </c>
      <c r="E2254" s="1460">
        <v>0</v>
      </c>
      <c r="F2254" s="1461">
        <v>0</v>
      </c>
      <c r="G2254" s="1472" t="s">
        <v>6046</v>
      </c>
      <c r="H2254" s="1458">
        <v>0</v>
      </c>
      <c r="I2254" s="1458">
        <v>0</v>
      </c>
      <c r="J2254" s="1473">
        <v>0</v>
      </c>
      <c r="K2254" s="1462"/>
      <c r="L2254" s="1456">
        <v>13313001300</v>
      </c>
      <c r="M2254" s="1457">
        <v>0</v>
      </c>
      <c r="N2254" s="1457">
        <v>0</v>
      </c>
      <c r="O2254" s="1458">
        <v>0</v>
      </c>
    </row>
    <row r="2255" spans="3:15" ht="13.5">
      <c r="C2255" s="1463" t="s">
        <v>6047</v>
      </c>
      <c r="D2255" s="1460">
        <v>0</v>
      </c>
      <c r="E2255" s="1460">
        <v>0</v>
      </c>
      <c r="F2255" s="1461">
        <v>0</v>
      </c>
      <c r="G2255" s="1472" t="s">
        <v>6047</v>
      </c>
      <c r="H2255" s="1458">
        <v>0</v>
      </c>
      <c r="I2255" s="1458">
        <v>0</v>
      </c>
      <c r="J2255" s="1473">
        <v>0</v>
      </c>
      <c r="K2255" s="1462"/>
      <c r="L2255" s="1456">
        <v>13313001400</v>
      </c>
      <c r="M2255" s="1457">
        <v>0</v>
      </c>
      <c r="N2255" s="1457">
        <v>0</v>
      </c>
      <c r="O2255" s="1458">
        <v>0</v>
      </c>
    </row>
    <row r="2256" spans="3:15" ht="13.5">
      <c r="C2256" s="1463" t="s">
        <v>6048</v>
      </c>
      <c r="D2256" s="1460">
        <v>1</v>
      </c>
      <c r="E2256" s="1460">
        <v>0</v>
      </c>
      <c r="F2256" s="1461">
        <v>1</v>
      </c>
      <c r="G2256" s="1472" t="s">
        <v>6048</v>
      </c>
      <c r="H2256" s="1458">
        <v>0</v>
      </c>
      <c r="I2256" s="1458">
        <v>0</v>
      </c>
      <c r="J2256" s="1473">
        <v>0</v>
      </c>
      <c r="K2256" s="1462"/>
      <c r="L2256" s="1456">
        <v>13313001500</v>
      </c>
      <c r="M2256" s="1457">
        <v>1</v>
      </c>
      <c r="N2256" s="1457">
        <v>0</v>
      </c>
      <c r="O2256" s="1458">
        <v>1</v>
      </c>
    </row>
    <row r="2257" spans="3:15" ht="13.5">
      <c r="C2257" s="1463" t="s">
        <v>6049</v>
      </c>
      <c r="D2257" s="1460">
        <v>0</v>
      </c>
      <c r="E2257" s="1460">
        <v>0</v>
      </c>
      <c r="F2257" s="1461">
        <v>0</v>
      </c>
      <c r="G2257" s="1472" t="s">
        <v>6049</v>
      </c>
      <c r="H2257" s="1458">
        <v>0</v>
      </c>
      <c r="I2257" s="1458">
        <v>0</v>
      </c>
      <c r="J2257" s="1473">
        <v>0</v>
      </c>
      <c r="K2257" s="1462"/>
      <c r="L2257" s="1456">
        <v>13315960100</v>
      </c>
      <c r="M2257" s="1457">
        <v>0</v>
      </c>
      <c r="N2257" s="1457">
        <v>0</v>
      </c>
      <c r="O2257" s="1458">
        <v>0</v>
      </c>
    </row>
    <row r="2258" spans="3:15" ht="13.5">
      <c r="C2258" s="1463" t="s">
        <v>6050</v>
      </c>
      <c r="D2258" s="1460">
        <v>0</v>
      </c>
      <c r="E2258" s="1460">
        <v>0</v>
      </c>
      <c r="F2258" s="1461">
        <v>0</v>
      </c>
      <c r="G2258" s="1472" t="s">
        <v>6050</v>
      </c>
      <c r="H2258" s="1458">
        <v>0</v>
      </c>
      <c r="I2258" s="1458">
        <v>0</v>
      </c>
      <c r="J2258" s="1473">
        <v>0</v>
      </c>
      <c r="K2258" s="1462"/>
      <c r="L2258" s="1456">
        <v>13315960200</v>
      </c>
      <c r="M2258" s="1457">
        <v>0</v>
      </c>
      <c r="N2258" s="1457">
        <v>0</v>
      </c>
      <c r="O2258" s="1458">
        <v>0</v>
      </c>
    </row>
    <row r="2259" spans="3:15" ht="13.5">
      <c r="C2259" s="1463" t="s">
        <v>6051</v>
      </c>
      <c r="D2259" s="1460">
        <v>0</v>
      </c>
      <c r="E2259" s="1460">
        <v>0</v>
      </c>
      <c r="F2259" s="1461">
        <v>0</v>
      </c>
      <c r="G2259" s="1472" t="s">
        <v>6051</v>
      </c>
      <c r="H2259" s="1458">
        <v>0</v>
      </c>
      <c r="I2259" s="1458">
        <v>0</v>
      </c>
      <c r="J2259" s="1473">
        <v>0</v>
      </c>
      <c r="K2259" s="1462"/>
      <c r="L2259" s="1456">
        <v>13315960300</v>
      </c>
      <c r="M2259" s="1457">
        <v>0</v>
      </c>
      <c r="N2259" s="1457">
        <v>0</v>
      </c>
      <c r="O2259" s="1458">
        <v>0</v>
      </c>
    </row>
    <row r="2260" spans="3:15" ht="13.5">
      <c r="C2260" s="1463" t="s">
        <v>6052</v>
      </c>
      <c r="D2260" s="1460">
        <v>0</v>
      </c>
      <c r="E2260" s="1460">
        <v>0</v>
      </c>
      <c r="F2260" s="1461">
        <v>0</v>
      </c>
      <c r="G2260" s="1472" t="s">
        <v>6052</v>
      </c>
      <c r="H2260" s="1458">
        <v>0</v>
      </c>
      <c r="I2260" s="1458">
        <v>0</v>
      </c>
      <c r="J2260" s="1473">
        <v>0</v>
      </c>
      <c r="K2260" s="1462"/>
      <c r="L2260" s="1456">
        <v>13315960400</v>
      </c>
      <c r="M2260" s="1457">
        <v>0</v>
      </c>
      <c r="N2260" s="1457">
        <v>0</v>
      </c>
      <c r="O2260" s="1458">
        <v>0</v>
      </c>
    </row>
    <row r="2261" spans="3:15" ht="13.5">
      <c r="C2261" s="1463" t="s">
        <v>6053</v>
      </c>
      <c r="D2261" s="1460">
        <v>0</v>
      </c>
      <c r="E2261" s="1460">
        <v>0</v>
      </c>
      <c r="F2261" s="1461">
        <v>0</v>
      </c>
      <c r="G2261" s="1472" t="s">
        <v>6053</v>
      </c>
      <c r="H2261" s="1458">
        <v>0</v>
      </c>
      <c r="I2261" s="1458">
        <v>1</v>
      </c>
      <c r="J2261" s="1473">
        <v>1</v>
      </c>
      <c r="K2261" s="1462"/>
      <c r="L2261" s="1456">
        <v>13317010101</v>
      </c>
      <c r="M2261" s="1457">
        <v>0</v>
      </c>
      <c r="N2261" s="1457">
        <v>1</v>
      </c>
      <c r="O2261" s="1458">
        <v>1</v>
      </c>
    </row>
    <row r="2262" spans="3:15" ht="13.5">
      <c r="C2262" s="1463" t="s">
        <v>6054</v>
      </c>
      <c r="D2262" s="1460">
        <v>0</v>
      </c>
      <c r="E2262" s="1460">
        <v>0</v>
      </c>
      <c r="F2262" s="1461">
        <v>0</v>
      </c>
      <c r="G2262" s="1472" t="s">
        <v>6054</v>
      </c>
      <c r="H2262" s="1458">
        <v>0</v>
      </c>
      <c r="I2262" s="1458">
        <v>0</v>
      </c>
      <c r="J2262" s="1473">
        <v>0</v>
      </c>
      <c r="K2262" s="1462"/>
      <c r="L2262" s="1456">
        <v>13317010102</v>
      </c>
      <c r="M2262" s="1457">
        <v>0</v>
      </c>
      <c r="N2262" s="1457">
        <v>0</v>
      </c>
      <c r="O2262" s="1458">
        <v>0</v>
      </c>
    </row>
    <row r="2263" spans="3:15" ht="13.5">
      <c r="C2263" s="1463" t="s">
        <v>6055</v>
      </c>
      <c r="D2263" s="1460">
        <v>1</v>
      </c>
      <c r="E2263" s="1460">
        <v>0</v>
      </c>
      <c r="F2263" s="1461">
        <v>1</v>
      </c>
      <c r="G2263" s="1472" t="s">
        <v>6055</v>
      </c>
      <c r="H2263" s="1458">
        <v>0</v>
      </c>
      <c r="I2263" s="1458">
        <v>0</v>
      </c>
      <c r="J2263" s="1473">
        <v>0</v>
      </c>
      <c r="K2263" s="1462"/>
      <c r="L2263" s="1456">
        <v>13317010301</v>
      </c>
      <c r="M2263" s="1457">
        <v>1</v>
      </c>
      <c r="N2263" s="1457">
        <v>0</v>
      </c>
      <c r="O2263" s="1458">
        <v>1</v>
      </c>
    </row>
    <row r="2264" spans="3:15" ht="13.5">
      <c r="C2264" s="1463" t="s">
        <v>6056</v>
      </c>
      <c r="D2264" s="1460">
        <v>0</v>
      </c>
      <c r="E2264" s="1460">
        <v>0</v>
      </c>
      <c r="F2264" s="1461">
        <v>0</v>
      </c>
      <c r="G2264" s="1472" t="s">
        <v>6056</v>
      </c>
      <c r="H2264" s="1458">
        <v>0</v>
      </c>
      <c r="I2264" s="1458">
        <v>0</v>
      </c>
      <c r="J2264" s="1473">
        <v>0</v>
      </c>
      <c r="K2264" s="1462"/>
      <c r="L2264" s="1456">
        <v>13317010302</v>
      </c>
      <c r="M2264" s="1457">
        <v>0</v>
      </c>
      <c r="N2264" s="1457">
        <v>0</v>
      </c>
      <c r="O2264" s="1458">
        <v>0</v>
      </c>
    </row>
    <row r="2265" spans="3:15" ht="13.5">
      <c r="C2265" s="1463" t="s">
        <v>6057</v>
      </c>
      <c r="D2265" s="1460">
        <v>0</v>
      </c>
      <c r="E2265" s="1460">
        <v>0</v>
      </c>
      <c r="F2265" s="1461">
        <v>0</v>
      </c>
      <c r="G2265" s="1472" t="s">
        <v>6057</v>
      </c>
      <c r="H2265" s="1458">
        <v>0</v>
      </c>
      <c r="I2265" s="1458">
        <v>0</v>
      </c>
      <c r="J2265" s="1473">
        <v>0</v>
      </c>
      <c r="K2265" s="1462"/>
      <c r="L2265" s="1456">
        <v>13319960200</v>
      </c>
      <c r="M2265" s="1457">
        <v>0</v>
      </c>
      <c r="N2265" s="1457">
        <v>0</v>
      </c>
      <c r="O2265" s="1458">
        <v>0</v>
      </c>
    </row>
    <row r="2266" spans="3:15" ht="13.5">
      <c r="C2266" s="1463" t="s">
        <v>6058</v>
      </c>
      <c r="D2266" s="1460">
        <v>0</v>
      </c>
      <c r="E2266" s="1460">
        <v>0</v>
      </c>
      <c r="F2266" s="1461">
        <v>0</v>
      </c>
      <c r="G2266" s="1472" t="s">
        <v>6058</v>
      </c>
      <c r="H2266" s="1458">
        <v>0</v>
      </c>
      <c r="I2266" s="1458">
        <v>1</v>
      </c>
      <c r="J2266" s="1473">
        <v>1</v>
      </c>
      <c r="K2266" s="1462"/>
      <c r="L2266" s="1456">
        <v>13319960300</v>
      </c>
      <c r="M2266" s="1457">
        <v>0</v>
      </c>
      <c r="N2266" s="1457">
        <v>1</v>
      </c>
      <c r="O2266" s="1458">
        <v>1</v>
      </c>
    </row>
    <row r="2267" spans="3:15" ht="13.5">
      <c r="C2267" s="1463" t="s">
        <v>6059</v>
      </c>
      <c r="D2267" s="1460">
        <v>0</v>
      </c>
      <c r="E2267" s="1460">
        <v>0</v>
      </c>
      <c r="F2267" s="1461">
        <v>0</v>
      </c>
      <c r="G2267" s="1472" t="s">
        <v>6059</v>
      </c>
      <c r="H2267" s="1458">
        <v>0</v>
      </c>
      <c r="I2267" s="1458">
        <v>0</v>
      </c>
      <c r="J2267" s="1473">
        <v>0</v>
      </c>
      <c r="K2267" s="1462"/>
      <c r="L2267" s="1456">
        <v>13319960400</v>
      </c>
      <c r="M2267" s="1457">
        <v>0</v>
      </c>
      <c r="N2267" s="1457">
        <v>0</v>
      </c>
      <c r="O2267" s="1458">
        <v>0</v>
      </c>
    </row>
    <row r="2268" spans="3:15" ht="13.5">
      <c r="C2268" s="1463" t="s">
        <v>6060</v>
      </c>
      <c r="D2268" s="1460">
        <v>0</v>
      </c>
      <c r="E2268" s="1460">
        <v>0</v>
      </c>
      <c r="F2268" s="1461">
        <v>0</v>
      </c>
      <c r="G2268" s="1472" t="s">
        <v>6060</v>
      </c>
      <c r="H2268" s="1458">
        <v>0</v>
      </c>
      <c r="I2268" s="1458">
        <v>0</v>
      </c>
      <c r="J2268" s="1473">
        <v>0</v>
      </c>
      <c r="K2268" s="1462"/>
      <c r="L2268" s="1456">
        <v>13321950100</v>
      </c>
      <c r="M2268" s="1457">
        <v>0</v>
      </c>
      <c r="N2268" s="1457">
        <v>0</v>
      </c>
      <c r="O2268" s="1458">
        <v>0</v>
      </c>
    </row>
    <row r="2269" spans="3:15" ht="13.5">
      <c r="C2269" s="1463" t="s">
        <v>6061</v>
      </c>
      <c r="D2269" s="1460">
        <v>0</v>
      </c>
      <c r="E2269" s="1460">
        <v>0</v>
      </c>
      <c r="F2269" s="1461">
        <v>0</v>
      </c>
      <c r="G2269" s="1472" t="s">
        <v>6061</v>
      </c>
      <c r="H2269" s="1458">
        <v>0</v>
      </c>
      <c r="I2269" s="1458">
        <v>0</v>
      </c>
      <c r="J2269" s="1473">
        <v>0</v>
      </c>
      <c r="K2269" s="1462"/>
      <c r="L2269" s="1456">
        <v>13321950200</v>
      </c>
      <c r="M2269" s="1457">
        <v>0</v>
      </c>
      <c r="N2269" s="1457">
        <v>0</v>
      </c>
      <c r="O2269" s="1458">
        <v>0</v>
      </c>
    </row>
    <row r="2270" spans="3:15" ht="13.5">
      <c r="C2270" s="1463" t="s">
        <v>6062</v>
      </c>
      <c r="D2270" s="1460">
        <v>0</v>
      </c>
      <c r="E2270" s="1460">
        <v>0</v>
      </c>
      <c r="F2270" s="1461">
        <v>0</v>
      </c>
      <c r="G2270" s="1472" t="s">
        <v>6062</v>
      </c>
      <c r="H2270" s="1458">
        <v>0</v>
      </c>
      <c r="I2270" s="1458">
        <v>0</v>
      </c>
      <c r="J2270" s="1473">
        <v>0</v>
      </c>
      <c r="K2270" s="1462"/>
      <c r="L2270" s="1456">
        <v>13321950400</v>
      </c>
      <c r="M2270" s="1457">
        <v>0</v>
      </c>
      <c r="N2270" s="1457">
        <v>0</v>
      </c>
      <c r="O2270" s="1458">
        <v>0</v>
      </c>
    </row>
    <row r="2271" spans="3:15" ht="13.5">
      <c r="C2271" s="1463" t="s">
        <v>6063</v>
      </c>
      <c r="D2271" s="1460">
        <v>0</v>
      </c>
      <c r="E2271" s="1460">
        <v>0</v>
      </c>
      <c r="F2271" s="1461">
        <v>0</v>
      </c>
      <c r="G2271" s="1472" t="s">
        <v>6063</v>
      </c>
      <c r="H2271" s="1458">
        <v>0</v>
      </c>
      <c r="I2271" s="1458">
        <v>0</v>
      </c>
      <c r="J2271" s="1473">
        <v>0</v>
      </c>
      <c r="K2271" s="1462"/>
      <c r="L2271" s="1456">
        <v>13321950500</v>
      </c>
      <c r="M2271" s="1457">
        <v>0</v>
      </c>
      <c r="N2271" s="1457">
        <v>0</v>
      </c>
      <c r="O2271" s="1458">
        <v>0</v>
      </c>
    </row>
    <row r="2272" spans="3:15" ht="13.5">
      <c r="C2272" s="1464" t="s">
        <v>6064</v>
      </c>
      <c r="D2272" s="1465">
        <v>0</v>
      </c>
      <c r="E2272" s="1465">
        <v>0</v>
      </c>
      <c r="F2272" s="1466">
        <v>0</v>
      </c>
      <c r="G2272" s="1474" t="s">
        <v>6064</v>
      </c>
      <c r="H2272" s="1475">
        <v>1</v>
      </c>
      <c r="I2272" s="1475">
        <v>0</v>
      </c>
      <c r="J2272" s="1476">
        <v>1</v>
      </c>
      <c r="K2272" s="1462"/>
      <c r="L2272" s="1456">
        <v>13321950600</v>
      </c>
      <c r="M2272" s="1457">
        <v>1</v>
      </c>
      <c r="N2272" s="1457">
        <v>0</v>
      </c>
      <c r="O2272" s="1458">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Normal="100" workbookViewId="0">
      <selection sqref="A1:XFD1048576"/>
    </sheetView>
  </sheetViews>
  <sheetFormatPr defaultColWidth="9.140625" defaultRowHeight="12.75"/>
  <cols>
    <col min="1" max="8" width="9.28515625" style="357" bestFit="1" customWidth="1"/>
    <col min="9" max="9" width="14.42578125" style="357" bestFit="1" customWidth="1"/>
    <col min="10" max="10" width="9.28515625" style="357" bestFit="1" customWidth="1"/>
    <col min="11" max="11" width="12.140625" style="357" bestFit="1" customWidth="1"/>
    <col min="12" max="20" width="9.28515625" style="357" bestFit="1" customWidth="1"/>
    <col min="21" max="21" width="9.140625" style="357"/>
    <col min="22" max="22" width="9.28515625" style="357" bestFit="1" customWidth="1"/>
    <col min="23" max="23" width="9.140625" style="357"/>
    <col min="24" max="359" width="9.28515625" style="357" bestFit="1" customWidth="1"/>
    <col min="360" max="16384" width="9.140625" style="357"/>
  </cols>
  <sheetData>
    <row r="1" spans="1:26" ht="15" customHeight="1">
      <c r="A1" s="2013" t="s">
        <v>916</v>
      </c>
    </row>
    <row r="2" spans="1:26" ht="15" customHeight="1">
      <c r="A2" s="2014" t="str">
        <f>'Project Narrative'!A2</f>
        <v>Harrison Village Apartments</v>
      </c>
    </row>
    <row r="3" spans="1:26" ht="15" customHeight="1">
      <c r="A3" s="2015" t="str">
        <f>CONCATENATE('Part I-Project Identification'!F30,", ", 'Part I-Project Identification'!J30," County")</f>
        <v>Gainesville, Hall County</v>
      </c>
    </row>
    <row r="4" spans="1:26" ht="12" customHeight="1"/>
    <row r="5" spans="1:26" ht="15">
      <c r="A5" s="2016" t="str">
        <f>'Project Narrative'!A5</f>
        <v xml:space="preserve">&lt;&lt; Enter paragraphs here.  Press and hold Alt-Enter to start new paragraphs. Please do NOT use space lines between paragraphs - use indentation instead.&gt;&gt; </v>
      </c>
      <c r="B5" s="2017" t="s">
        <v>3901</v>
      </c>
      <c r="C5" s="2018"/>
      <c r="D5" s="2018"/>
      <c r="E5" s="2018"/>
      <c r="F5" s="2018"/>
    </row>
    <row r="6" spans="1:26" ht="6.6" customHeight="1">
      <c r="A6" s="2019"/>
      <c r="B6" s="2018"/>
      <c r="C6" s="2018"/>
      <c r="D6" s="2018"/>
      <c r="E6" s="2018"/>
      <c r="F6" s="2018"/>
    </row>
    <row r="7" spans="1:26" ht="15">
      <c r="A7" s="2019"/>
      <c r="B7" s="2018"/>
      <c r="C7" s="2018"/>
      <c r="D7" s="2018"/>
      <c r="E7" s="2018"/>
      <c r="F7" s="2018"/>
    </row>
    <row r="8" spans="1:26">
      <c r="A8" s="2019"/>
    </row>
    <row r="9" spans="1:26" s="1821" customFormat="1" ht="14.1" customHeight="1">
      <c r="A9" s="1821" t="str">
        <f>CONCATENATE("PART ONE - PROJECT INFORMATION"," - ",$O$7," ",$F$29,", ",'Part I-Project Identification'!F37,", ",'Part I-Project Identification'!J37," County")</f>
        <v>PART ONE - PROJECT INFORMATION -  750 Pearl Nix Parkway, ,  County</v>
      </c>
      <c r="Z9" s="1624">
        <v>2</v>
      </c>
    </row>
    <row r="10" spans="1:26" s="1821" customFormat="1" ht="6" customHeight="1">
      <c r="A10" s="1624"/>
      <c r="B10" s="1624"/>
      <c r="C10" s="1624"/>
      <c r="D10" s="1624"/>
      <c r="E10" s="1624"/>
      <c r="F10" s="1624"/>
      <c r="G10" s="1624"/>
      <c r="H10" s="1624"/>
      <c r="I10" s="1624"/>
      <c r="J10" s="1624"/>
      <c r="K10" s="1624"/>
      <c r="L10" s="1624"/>
      <c r="M10" s="1624"/>
      <c r="N10" s="1624"/>
      <c r="O10" s="1624"/>
      <c r="P10" s="1624"/>
      <c r="Z10" s="1624">
        <v>3</v>
      </c>
    </row>
    <row r="11" spans="1:26" s="1821" customFormat="1" ht="16.5">
      <c r="A11" s="1821" t="s">
        <v>6823</v>
      </c>
      <c r="B11" s="2020"/>
      <c r="C11" s="2020"/>
      <c r="D11" s="2020"/>
      <c r="E11" s="2020"/>
      <c r="F11" s="2020"/>
      <c r="G11" s="2020"/>
      <c r="H11" s="2020"/>
      <c r="I11" s="2020"/>
      <c r="J11" s="2020"/>
      <c r="K11" s="2020"/>
      <c r="L11" s="2020"/>
      <c r="M11" s="2020"/>
      <c r="N11" s="2020"/>
      <c r="O11" s="2020"/>
      <c r="P11" s="2020"/>
      <c r="Z11" s="1624">
        <v>4</v>
      </c>
    </row>
    <row r="12" spans="1:26" s="1821" customFormat="1" ht="9.75" customHeight="1">
      <c r="A12" s="1624"/>
      <c r="B12" s="1624"/>
      <c r="C12" s="1624"/>
      <c r="D12" s="1624"/>
      <c r="E12" s="1624"/>
      <c r="F12" s="1624"/>
      <c r="G12" s="1624"/>
      <c r="H12" s="1624"/>
      <c r="I12" s="1624"/>
      <c r="J12" s="1624"/>
      <c r="K12" s="1624"/>
      <c r="L12" s="1624"/>
      <c r="M12" s="1624"/>
      <c r="N12" s="1624"/>
      <c r="O12" s="1624"/>
      <c r="P12" s="1624"/>
      <c r="Z12" s="1624">
        <v>5</v>
      </c>
    </row>
    <row r="13" spans="1:26" s="1821" customFormat="1" ht="12" customHeight="1">
      <c r="A13" s="2021" t="str">
        <f>'Part I-Project Identification'!A6</f>
        <v>Sept 20, 2022 Core Application - 4% Only</v>
      </c>
      <c r="B13" s="2022"/>
      <c r="C13" s="2022"/>
      <c r="D13" s="2022"/>
      <c r="F13" s="1624"/>
      <c r="G13" s="2023" t="s">
        <v>6824</v>
      </c>
      <c r="L13" s="1624"/>
      <c r="P13" s="2024" t="s">
        <v>3294</v>
      </c>
      <c r="Z13" s="1624">
        <v>6</v>
      </c>
    </row>
    <row r="14" spans="1:26" s="1821" customFormat="1" ht="12" customHeight="1">
      <c r="A14" s="2022"/>
      <c r="B14" s="2022"/>
      <c r="C14" s="2022"/>
      <c r="D14" s="2022"/>
      <c r="E14" s="2025"/>
      <c r="F14" s="1624"/>
      <c r="G14" s="2023" t="s">
        <v>6825</v>
      </c>
      <c r="H14" s="1624"/>
      <c r="I14" s="1624"/>
      <c r="J14" s="1624"/>
      <c r="O14" s="2026" t="str">
        <f>'Part I-Project Identification'!O7</f>
        <v>2022-522</v>
      </c>
      <c r="P14" s="2026"/>
      <c r="Q14" s="2027" t="s">
        <v>6646</v>
      </c>
      <c r="R14" s="2028"/>
      <c r="S14" s="2028"/>
      <c r="Z14" s="1624">
        <v>7</v>
      </c>
    </row>
    <row r="15" spans="1:26" s="1821" customFormat="1" ht="12" customHeight="1">
      <c r="A15" s="2022"/>
      <c r="B15" s="2022"/>
      <c r="C15" s="2022"/>
      <c r="D15" s="2022"/>
      <c r="E15" s="2025"/>
      <c r="G15" s="2029" t="s">
        <v>2962</v>
      </c>
      <c r="H15" s="1624"/>
      <c r="I15" s="1624"/>
      <c r="J15" s="1624"/>
      <c r="Q15" s="2028"/>
      <c r="R15" s="2028"/>
      <c r="S15" s="2028"/>
      <c r="Z15" s="1624">
        <v>8</v>
      </c>
    </row>
    <row r="16" spans="1:26" s="1821" customFormat="1" ht="6" customHeight="1">
      <c r="A16" s="1624"/>
      <c r="E16" s="1624"/>
      <c r="H16" s="1624"/>
      <c r="I16" s="1624"/>
      <c r="M16" s="1624"/>
      <c r="Q16" s="2028"/>
      <c r="R16" s="2028"/>
      <c r="S16" s="2028"/>
      <c r="Z16" s="1624">
        <v>9</v>
      </c>
    </row>
    <row r="17" spans="1:26" s="1821" customFormat="1" ht="13.35" customHeight="1">
      <c r="A17" s="1821" t="s">
        <v>573</v>
      </c>
      <c r="B17" s="1821" t="s">
        <v>2193</v>
      </c>
      <c r="D17" s="378"/>
      <c r="E17" s="1624"/>
      <c r="F17" s="2030" t="s">
        <v>3270</v>
      </c>
      <c r="I17" s="2031">
        <f>'Part III-A-Uses of Funds'!$J$191</f>
        <v>1734863</v>
      </c>
      <c r="J17" s="2031"/>
      <c r="L17" s="1821" t="s">
        <v>3271</v>
      </c>
      <c r="O17" s="2032">
        <f>'Part II-Sources of Funds'!$I$6</f>
        <v>0</v>
      </c>
      <c r="P17" s="2032"/>
      <c r="Q17" s="2028"/>
      <c r="R17" s="2028"/>
      <c r="S17" s="2028"/>
      <c r="Z17" s="1624">
        <v>10</v>
      </c>
    </row>
    <row r="18" spans="1:26" s="1821" customFormat="1" ht="6" customHeight="1">
      <c r="D18" s="378"/>
      <c r="E18" s="1624"/>
      <c r="F18" s="1624"/>
      <c r="I18" s="2030"/>
      <c r="N18" s="2024"/>
      <c r="Q18" s="2028"/>
      <c r="R18" s="2028"/>
      <c r="S18" s="2028"/>
      <c r="Z18" s="1624">
        <v>11</v>
      </c>
    </row>
    <row r="19" spans="1:26" s="1821" customFormat="1" ht="13.35" customHeight="1">
      <c r="A19" s="2030" t="s">
        <v>689</v>
      </c>
      <c r="B19" s="1821" t="s">
        <v>1892</v>
      </c>
      <c r="F19" s="2033" t="str">
        <f>'Part I-Project Identification'!F12</f>
        <v>4% Credit/TE Bond</v>
      </c>
      <c r="G19" s="2033"/>
      <c r="H19" s="2033"/>
      <c r="I19" s="2034" t="s">
        <v>6826</v>
      </c>
      <c r="J19" s="1821" t="s">
        <v>6827</v>
      </c>
      <c r="L19" s="1624"/>
      <c r="O19" s="2026" t="str">
        <f>'Part I-Project Identification'!O12</f>
        <v>&lt;&lt;Enter Pre-App Nbr&gt;&gt;</v>
      </c>
      <c r="P19" s="2026"/>
      <c r="Q19" s="2028"/>
      <c r="R19" s="2028"/>
      <c r="S19" s="2028"/>
      <c r="Z19" s="1624">
        <v>12</v>
      </c>
    </row>
    <row r="20" spans="1:26" s="1821" customFormat="1" ht="3" customHeight="1">
      <c r="A20" s="1624"/>
      <c r="B20" s="378"/>
      <c r="C20" s="378"/>
      <c r="D20" s="378"/>
      <c r="E20" s="378"/>
      <c r="H20" s="1624"/>
      <c r="J20" s="2030"/>
      <c r="K20" s="2030"/>
      <c r="M20" s="1624"/>
      <c r="Q20" s="2028"/>
      <c r="R20" s="2028"/>
      <c r="S20" s="2028"/>
      <c r="Z20" s="1624">
        <v>13</v>
      </c>
    </row>
    <row r="21" spans="1:26" s="1821" customFormat="1" ht="12.75" customHeight="1">
      <c r="A21" s="2030" t="s">
        <v>691</v>
      </c>
      <c r="B21" s="1821" t="s">
        <v>3676</v>
      </c>
      <c r="D21" s="2030"/>
      <c r="E21" s="1624"/>
      <c r="G21" s="1624"/>
      <c r="H21" s="1624"/>
      <c r="I21" s="1624"/>
      <c r="L21" s="2024"/>
      <c r="Q21" s="2028"/>
      <c r="R21" s="2028"/>
      <c r="S21" s="2028"/>
      <c r="Z21" s="1624">
        <v>14</v>
      </c>
    </row>
    <row r="22" spans="1:26" s="1821" customFormat="1" ht="12.75" customHeight="1">
      <c r="B22" s="1821" t="s">
        <v>3300</v>
      </c>
      <c r="F22" s="2026" t="str">
        <f>'Part I-Project Identification'!F15</f>
        <v>Paces Preservation Partners, LLC</v>
      </c>
      <c r="G22" s="2026"/>
      <c r="H22" s="2026"/>
      <c r="I22" s="1821" t="s">
        <v>1671</v>
      </c>
      <c r="J22" s="2026" t="str">
        <f>'Part I-Project Identification'!J15</f>
        <v>Renee Sandell</v>
      </c>
      <c r="K22" s="2026"/>
      <c r="L22" s="2026"/>
      <c r="M22" s="2030" t="s">
        <v>1839</v>
      </c>
      <c r="N22" s="2026" t="str">
        <f>'Part I-Project Identification'!N15</f>
        <v>VP of the Manager</v>
      </c>
      <c r="O22" s="2026"/>
      <c r="P22" s="2026"/>
      <c r="Q22" s="2028"/>
      <c r="R22" s="2028"/>
      <c r="S22" s="2028"/>
      <c r="Z22" s="1624">
        <v>15</v>
      </c>
    </row>
    <row r="23" spans="1:26" s="1821" customFormat="1" ht="12.75" customHeight="1">
      <c r="B23" s="2030" t="s">
        <v>1840</v>
      </c>
      <c r="F23" s="2026" t="str">
        <f>'Part I-Project Identification'!F16</f>
        <v>2730 Cumberland Boulevard, SE</v>
      </c>
      <c r="G23" s="2026"/>
      <c r="H23" s="2026"/>
      <c r="I23" s="2026"/>
      <c r="J23" s="2026"/>
      <c r="K23" s="2026"/>
      <c r="L23" s="2026"/>
      <c r="M23" s="2035" t="s">
        <v>3299</v>
      </c>
      <c r="N23" s="2035"/>
      <c r="O23" s="2035"/>
      <c r="P23" s="2035"/>
      <c r="Q23" s="2028"/>
      <c r="R23" s="2028"/>
      <c r="S23" s="2028"/>
      <c r="Z23" s="1624">
        <v>16</v>
      </c>
    </row>
    <row r="24" spans="1:26" s="1821" customFormat="1" ht="12.75" customHeight="1">
      <c r="B24" s="2030" t="s">
        <v>575</v>
      </c>
      <c r="F24" s="2026" t="str">
        <f>'Part I-Project Identification'!F17</f>
        <v>Smyrna</v>
      </c>
      <c r="G24" s="2026"/>
      <c r="H24" s="2026"/>
      <c r="I24" s="2030" t="s">
        <v>1672</v>
      </c>
      <c r="J24" s="2026" t="str">
        <f>'Part I-Project Identification'!J17</f>
        <v>GA</v>
      </c>
      <c r="M24" s="2035"/>
      <c r="N24" s="2035"/>
      <c r="O24" s="2035"/>
      <c r="P24" s="2035"/>
      <c r="Q24" s="2028"/>
      <c r="R24" s="2028"/>
      <c r="S24" s="2028"/>
      <c r="Z24" s="1624">
        <v>17</v>
      </c>
    </row>
    <row r="25" spans="1:26" s="1821" customFormat="1" ht="12.75" customHeight="1">
      <c r="B25" s="2030" t="s">
        <v>2062</v>
      </c>
      <c r="F25" s="2036">
        <f>'Part I-Project Identification'!F18</f>
        <v>300803048</v>
      </c>
      <c r="G25" s="2036"/>
      <c r="H25" s="2036"/>
      <c r="I25" s="2030" t="s">
        <v>1600</v>
      </c>
      <c r="J25" s="2037">
        <f>'Part I-Project Identification'!J18</f>
        <v>7704319696</v>
      </c>
      <c r="K25" s="2037"/>
      <c r="L25" s="1624" t="s">
        <v>1599</v>
      </c>
      <c r="M25" s="2038">
        <f>'Part I-Project Identification'!M18</f>
        <v>0</v>
      </c>
      <c r="N25" s="2030" t="s">
        <v>1601</v>
      </c>
      <c r="O25" s="2037">
        <f>'Part I-Project Identification'!O18</f>
        <v>3214313164</v>
      </c>
      <c r="P25" s="2037"/>
      <c r="Q25" s="2028"/>
      <c r="R25" s="2028"/>
      <c r="S25" s="2028"/>
      <c r="Z25" s="1624">
        <v>18</v>
      </c>
    </row>
    <row r="26" spans="1:26" s="1821" customFormat="1" ht="12.75" customHeight="1">
      <c r="B26" s="2030" t="s">
        <v>1843</v>
      </c>
      <c r="F26" s="2026" t="str">
        <f>'Part I-Project Identification'!F19</f>
        <v>renee@pacesfoundation.org</v>
      </c>
      <c r="G26" s="2026"/>
      <c r="H26" s="2026"/>
      <c r="I26" s="2026"/>
      <c r="J26" s="2026"/>
      <c r="K26" s="2026"/>
      <c r="N26" s="2030" t="s">
        <v>1838</v>
      </c>
      <c r="O26" s="2037">
        <f>'Part I-Project Identification'!O19</f>
        <v>3214313164</v>
      </c>
      <c r="P26" s="2037"/>
      <c r="Q26" s="2028"/>
      <c r="R26" s="2028"/>
      <c r="S26" s="2028"/>
      <c r="Z26" s="1624">
        <v>19</v>
      </c>
    </row>
    <row r="27" spans="1:26" s="1821" customFormat="1" ht="12.75" customHeight="1">
      <c r="A27" s="1624"/>
      <c r="B27" s="1821" t="s">
        <v>3675</v>
      </c>
      <c r="C27" s="378"/>
      <c r="H27" s="1624"/>
      <c r="J27" s="378"/>
      <c r="P27" s="1624"/>
      <c r="Q27" s="2028"/>
      <c r="R27" s="2028"/>
      <c r="S27" s="2028"/>
      <c r="Z27" s="1624">
        <v>20</v>
      </c>
    </row>
    <row r="28" spans="1:26" s="1821" customFormat="1" ht="12.75" customHeight="1">
      <c r="B28" s="1821" t="s">
        <v>3300</v>
      </c>
      <c r="F28" s="2026" t="str">
        <f>'Part I-Project Identification'!F21</f>
        <v>Housing Authority of the City of Gainesville</v>
      </c>
      <c r="G28" s="2026"/>
      <c r="H28" s="2026"/>
      <c r="I28" s="1821" t="s">
        <v>1671</v>
      </c>
      <c r="J28" s="2026" t="str">
        <f>'Part I-Project Identification'!J21</f>
        <v>Beth Brown</v>
      </c>
      <c r="K28" s="2026"/>
      <c r="L28" s="2026"/>
      <c r="M28" s="2030" t="s">
        <v>1839</v>
      </c>
      <c r="N28" s="2026" t="str">
        <f>'Part I-Project Identification'!N21</f>
        <v>Executive Director</v>
      </c>
      <c r="O28" s="2026"/>
      <c r="P28" s="2026"/>
      <c r="Q28" s="2028"/>
      <c r="R28" s="2028"/>
      <c r="S28" s="2028"/>
      <c r="Z28" s="1624">
        <v>21</v>
      </c>
    </row>
    <row r="29" spans="1:26" s="1821" customFormat="1" ht="12.75" customHeight="1">
      <c r="B29" s="2030" t="s">
        <v>1840</v>
      </c>
      <c r="F29" s="2026" t="str">
        <f>'Part I-Project Identification'!F22</f>
        <v>750 Pearl Nix Parkway</v>
      </c>
      <c r="G29" s="2026"/>
      <c r="H29" s="2026"/>
      <c r="I29" s="2026"/>
      <c r="J29" s="2026"/>
      <c r="K29" s="2026"/>
      <c r="L29" s="2026"/>
      <c r="M29" s="2039" t="s">
        <v>3299</v>
      </c>
      <c r="N29" s="2039"/>
      <c r="O29" s="2039"/>
      <c r="P29" s="2039"/>
      <c r="Q29" s="2028"/>
      <c r="R29" s="2028"/>
      <c r="S29" s="2028"/>
      <c r="Z29" s="1624">
        <v>22</v>
      </c>
    </row>
    <row r="30" spans="1:26" s="1821" customFormat="1" ht="12.75" customHeight="1">
      <c r="B30" s="2030" t="s">
        <v>575</v>
      </c>
      <c r="F30" s="2026" t="str">
        <f>'Part I-Project Identification'!F23</f>
        <v>Gainesville</v>
      </c>
      <c r="G30" s="2026"/>
      <c r="H30" s="2026"/>
      <c r="I30" s="2030" t="s">
        <v>1672</v>
      </c>
      <c r="J30" s="2040" t="str">
        <f>'Part I-Project Identification'!J23</f>
        <v>GA</v>
      </c>
      <c r="M30" s="2039"/>
      <c r="N30" s="2039"/>
      <c r="O30" s="2039"/>
      <c r="P30" s="2039"/>
      <c r="Q30" s="2028"/>
      <c r="R30" s="2028"/>
      <c r="S30" s="2028"/>
      <c r="Z30" s="1624">
        <v>23</v>
      </c>
    </row>
    <row r="31" spans="1:26" s="1821" customFormat="1" ht="12.75" customHeight="1">
      <c r="B31" s="2030" t="s">
        <v>2062</v>
      </c>
      <c r="F31" s="2036">
        <f>'Part I-Project Identification'!F24</f>
        <v>305030000</v>
      </c>
      <c r="G31" s="2036"/>
      <c r="H31" s="2036"/>
      <c r="I31" s="2030" t="s">
        <v>1600</v>
      </c>
      <c r="J31" s="2037">
        <f>'Part I-Project Identification'!J24</f>
        <v>7705361294</v>
      </c>
      <c r="K31" s="2037"/>
      <c r="L31" s="1624" t="s">
        <v>1599</v>
      </c>
      <c r="M31" s="2038">
        <f>'Part I-Project Identification'!M24</f>
        <v>205</v>
      </c>
      <c r="N31" s="2030" t="s">
        <v>1601</v>
      </c>
      <c r="O31" s="2037">
        <f>'Part I-Project Identification'!O24</f>
        <v>7705361294</v>
      </c>
      <c r="P31" s="2037"/>
      <c r="Q31" s="2028"/>
      <c r="R31" s="2028"/>
      <c r="S31" s="2028"/>
      <c r="Z31" s="1624">
        <v>24</v>
      </c>
    </row>
    <row r="32" spans="1:26" s="1821" customFormat="1" ht="12.75" customHeight="1">
      <c r="B32" s="2030" t="s">
        <v>1843</v>
      </c>
      <c r="F32" s="2026" t="str">
        <f>'Part I-Project Identification'!F25</f>
        <v>bbrown@gainesvillehousing.org</v>
      </c>
      <c r="G32" s="2026"/>
      <c r="H32" s="2026"/>
      <c r="I32" s="2026"/>
      <c r="J32" s="2026"/>
      <c r="K32" s="2026"/>
      <c r="N32" s="2030" t="s">
        <v>1838</v>
      </c>
      <c r="O32" s="2037">
        <f>'Part I-Project Identification'!O25</f>
        <v>4044317189</v>
      </c>
      <c r="P32" s="2037"/>
      <c r="Q32" s="2028"/>
      <c r="R32" s="2028"/>
      <c r="S32" s="2028"/>
      <c r="Z32" s="1624">
        <v>25</v>
      </c>
    </row>
    <row r="33" spans="1:26" s="1821" customFormat="1" ht="6" customHeight="1">
      <c r="I33" s="378"/>
      <c r="J33" s="378"/>
      <c r="K33" s="378"/>
      <c r="L33" s="378"/>
      <c r="M33" s="378"/>
      <c r="N33" s="378"/>
      <c r="O33" s="378"/>
      <c r="P33" s="378"/>
      <c r="Q33" s="2028"/>
      <c r="R33" s="2028"/>
      <c r="S33" s="2028"/>
      <c r="Z33" s="1624">
        <v>26</v>
      </c>
    </row>
    <row r="34" spans="1:26" s="1821" customFormat="1" ht="13.35" customHeight="1">
      <c r="A34" s="2030" t="s">
        <v>1667</v>
      </c>
      <c r="B34" s="1821" t="s">
        <v>1382</v>
      </c>
      <c r="D34" s="378"/>
      <c r="E34" s="1624"/>
      <c r="F34" s="1624"/>
      <c r="G34" s="2030"/>
      <c r="H34" s="1624"/>
      <c r="I34" s="1624"/>
      <c r="J34" s="1624"/>
      <c r="Q34" s="2028"/>
      <c r="R34" s="2028"/>
      <c r="S34" s="2028"/>
      <c r="Z34" s="1624">
        <v>27</v>
      </c>
    </row>
    <row r="35" spans="1:26" s="1821" customFormat="1" ht="1.5" customHeight="1">
      <c r="A35" s="2030"/>
      <c r="D35" s="378"/>
      <c r="E35" s="1624"/>
      <c r="F35" s="1624"/>
      <c r="G35" s="2030"/>
      <c r="H35" s="1624"/>
      <c r="I35" s="1624"/>
      <c r="J35" s="1624"/>
      <c r="L35" s="2024"/>
      <c r="M35" s="2024"/>
      <c r="Q35" s="2028"/>
      <c r="R35" s="2028"/>
      <c r="S35" s="2028"/>
      <c r="Z35" s="1624">
        <v>28</v>
      </c>
    </row>
    <row r="36" spans="1:26" s="1821" customFormat="1" ht="13.35" customHeight="1">
      <c r="B36" s="1821" t="s">
        <v>574</v>
      </c>
      <c r="F36" s="2026" t="str">
        <f>'Part I-Project Identification'!F29</f>
        <v>Harrison Village Apartments</v>
      </c>
      <c r="G36" s="2026"/>
      <c r="H36" s="2026"/>
      <c r="I36" s="2026"/>
      <c r="J36" s="2026"/>
      <c r="K36" s="2026"/>
      <c r="M36" s="2030" t="s">
        <v>425</v>
      </c>
      <c r="P36" s="2026" t="str">
        <f>'Part I-Project Identification'!P29</f>
        <v>Yes</v>
      </c>
      <c r="Q36" s="2028"/>
      <c r="R36" s="2028"/>
      <c r="S36" s="2028"/>
      <c r="Z36" s="1624">
        <v>29</v>
      </c>
    </row>
    <row r="37" spans="1:26" s="1821" customFormat="1" ht="12.75" customHeight="1">
      <c r="A37" s="1624"/>
      <c r="B37" s="1821" t="s">
        <v>575</v>
      </c>
      <c r="F37" s="2026" t="str">
        <f>'Part I-Project Identification'!F30</f>
        <v>Gainesville</v>
      </c>
      <c r="G37" s="2026"/>
      <c r="H37" s="2026"/>
      <c r="I37" s="2041" t="s">
        <v>576</v>
      </c>
      <c r="J37" s="2026" t="str">
        <f>'Part I-Project Identification'!J30</f>
        <v>Hall</v>
      </c>
      <c r="K37" s="2026"/>
      <c r="M37" s="2030" t="s">
        <v>426</v>
      </c>
      <c r="P37" s="2026" t="str">
        <f>'Part I-Project Identification'!P30</f>
        <v>No</v>
      </c>
      <c r="Q37" s="2028"/>
      <c r="R37" s="2028"/>
      <c r="S37" s="2028"/>
      <c r="U37" s="1624"/>
      <c r="Z37" s="1624">
        <v>30</v>
      </c>
    </row>
    <row r="38" spans="1:26" s="1821" customFormat="1" ht="13.5" customHeight="1">
      <c r="A38" s="1624"/>
      <c r="B38" s="1821" t="s">
        <v>3912</v>
      </c>
      <c r="C38" s="1683"/>
      <c r="D38" s="1683"/>
      <c r="E38" s="1683"/>
      <c r="F38" s="2026" t="str">
        <f>'Part I-Project Identification'!F31</f>
        <v>City Limits</v>
      </c>
      <c r="G38" s="2026"/>
      <c r="H38" s="2026"/>
      <c r="I38" s="1624"/>
      <c r="J38" s="379" t="s">
        <v>6727</v>
      </c>
      <c r="K38" s="1624"/>
      <c r="M38" s="2030" t="s">
        <v>6678</v>
      </c>
      <c r="O38" s="2026">
        <f>'Part I-Project Identification'!O31</f>
        <v>20.07</v>
      </c>
      <c r="P38" s="2042"/>
      <c r="Q38" s="2028"/>
      <c r="R38" s="2028"/>
      <c r="S38" s="2028"/>
      <c r="Z38" s="1624">
        <v>31</v>
      </c>
    </row>
    <row r="39" spans="1:26" s="1821" customFormat="1" ht="12.75" customHeight="1">
      <c r="A39" s="1624"/>
      <c r="B39" s="1821" t="s">
        <v>1456</v>
      </c>
      <c r="F39" s="2026" t="str">
        <f>'Part I-Project Identification'!F32</f>
        <v>No</v>
      </c>
      <c r="I39" s="1624"/>
      <c r="J39" s="1624" t="s">
        <v>2502</v>
      </c>
      <c r="K39" s="1624" t="str">
        <f>IF(F39="Yes","Rural","Urban")</f>
        <v>Urban</v>
      </c>
      <c r="M39" s="2030" t="s">
        <v>2400</v>
      </c>
      <c r="N39" s="1624" t="str">
        <f>'Part I-Project Identification'!N32</f>
        <v>MSA</v>
      </c>
      <c r="O39" s="2026" t="str">
        <f>'Part I-Project Identification'!O32</f>
        <v>Gainesville</v>
      </c>
      <c r="P39" s="2026"/>
      <c r="Q39" s="2028"/>
      <c r="R39" s="2028"/>
      <c r="S39" s="2028"/>
      <c r="Z39" s="1624">
        <v>32</v>
      </c>
    </row>
    <row r="40" spans="1:26" s="1821" customFormat="1" ht="12.75" customHeight="1">
      <c r="A40" s="1624"/>
      <c r="B40" s="1624"/>
      <c r="C40" s="1683"/>
      <c r="D40" s="1683"/>
      <c r="E40" s="1683"/>
      <c r="F40" s="1624"/>
      <c r="G40" s="1624"/>
      <c r="H40" s="1624"/>
      <c r="I40" s="1624"/>
      <c r="J40" s="1683"/>
      <c r="K40" s="1624"/>
      <c r="L40" s="1624"/>
      <c r="P40" s="1624"/>
      <c r="Q40" s="2028"/>
      <c r="R40" s="2028"/>
      <c r="S40" s="2028"/>
      <c r="Z40" s="1624">
        <v>33</v>
      </c>
    </row>
    <row r="41" spans="1:26" s="1821" customFormat="1" ht="12.75" customHeight="1">
      <c r="A41" s="2030" t="s">
        <v>1669</v>
      </c>
      <c r="B41" s="2030" t="s">
        <v>6665</v>
      </c>
      <c r="D41" s="378"/>
      <c r="E41" s="378"/>
      <c r="F41" s="378"/>
      <c r="G41" s="1624"/>
      <c r="H41" s="1624"/>
      <c r="I41" s="1624"/>
      <c r="J41" s="1683"/>
      <c r="K41" s="1624"/>
      <c r="L41" s="1624"/>
      <c r="P41" s="2043"/>
      <c r="Q41" s="2028"/>
      <c r="R41" s="2028"/>
      <c r="S41" s="2028"/>
      <c r="Z41" s="1624">
        <v>34</v>
      </c>
    </row>
    <row r="42" spans="1:26" s="1821" customFormat="1" ht="2.25" customHeight="1">
      <c r="A42" s="1624"/>
      <c r="B42" s="1624"/>
      <c r="M42" s="2030"/>
      <c r="N42" s="2044"/>
      <c r="O42" s="2044"/>
      <c r="P42" s="2045"/>
      <c r="Q42" s="2028"/>
      <c r="R42" s="2028"/>
      <c r="S42" s="2028"/>
      <c r="Z42" s="1624">
        <v>35</v>
      </c>
    </row>
    <row r="43" spans="1:26" s="1821" customFormat="1" ht="12.75" customHeight="1">
      <c r="A43" s="1624"/>
      <c r="B43" s="2030" t="s">
        <v>6664</v>
      </c>
      <c r="D43" s="2044"/>
      <c r="E43" s="2044"/>
      <c r="F43" s="2044"/>
      <c r="G43" s="2044"/>
      <c r="H43" s="1624"/>
      <c r="J43" s="378"/>
      <c r="K43" s="1683"/>
      <c r="P43" s="1624"/>
      <c r="Q43" s="2028"/>
      <c r="R43" s="2028"/>
      <c r="S43" s="2028"/>
      <c r="Z43" s="1624">
        <v>36</v>
      </c>
    </row>
    <row r="44" spans="1:26" s="1821" customFormat="1" ht="1.5" customHeight="1">
      <c r="A44" s="1624"/>
      <c r="B44" s="1624"/>
      <c r="C44" s="2030"/>
      <c r="D44" s="2044"/>
      <c r="E44" s="2044"/>
      <c r="F44" s="2044"/>
      <c r="G44" s="2044"/>
      <c r="H44" s="1624"/>
      <c r="J44" s="378"/>
      <c r="K44" s="1683"/>
      <c r="P44" s="1624"/>
      <c r="Q44" s="2028"/>
      <c r="R44" s="2028"/>
      <c r="S44" s="2028"/>
      <c r="Z44" s="1624">
        <v>37</v>
      </c>
    </row>
    <row r="45" spans="1:26" s="1821" customFormat="1" ht="13.5" hidden="1" customHeight="1">
      <c r="A45" s="1624"/>
      <c r="B45" s="1624"/>
      <c r="C45" s="1821" t="s">
        <v>1209</v>
      </c>
      <c r="D45" s="2046"/>
      <c r="I45" s="2047"/>
      <c r="L45" s="1821" t="s">
        <v>3090</v>
      </c>
      <c r="P45" s="2047"/>
      <c r="Q45" s="2028"/>
      <c r="R45" s="2028"/>
      <c r="S45" s="2028"/>
      <c r="Z45" s="1624">
        <v>38</v>
      </c>
    </row>
    <row r="46" spans="1:26" s="1821" customFormat="1" ht="12.75" hidden="1" customHeight="1">
      <c r="A46" s="1624"/>
      <c r="C46" s="1821" t="s">
        <v>3938</v>
      </c>
      <c r="I46" s="2047"/>
      <c r="J46" s="2041" t="s">
        <v>2486</v>
      </c>
      <c r="O46" s="2048"/>
      <c r="P46" s="2048"/>
      <c r="Q46" s="2028"/>
      <c r="R46" s="2028"/>
      <c r="S46" s="2028"/>
      <c r="Z46" s="1624">
        <v>39</v>
      </c>
    </row>
    <row r="47" spans="1:26" s="1821" customFormat="1" ht="12.75" customHeight="1">
      <c r="A47" s="1624"/>
      <c r="C47" s="1821" t="s">
        <v>1677</v>
      </c>
      <c r="I47" s="2047" t="str">
        <f>'Part I-Project Identification'!I40</f>
        <v>No</v>
      </c>
      <c r="J47" s="2041" t="s">
        <v>2486</v>
      </c>
      <c r="O47" s="2048">
        <f>'Part I-Project Identification'!O40</f>
        <v>0</v>
      </c>
      <c r="P47" s="2048"/>
      <c r="Q47" s="2028"/>
      <c r="R47" s="2028"/>
      <c r="S47" s="2028"/>
      <c r="Z47" s="1624">
        <v>40</v>
      </c>
    </row>
    <row r="48" spans="1:26" s="1821" customFormat="1" ht="12.6" customHeight="1">
      <c r="A48" s="1624"/>
      <c r="B48" s="1624"/>
      <c r="C48" s="1821" t="s">
        <v>2577</v>
      </c>
      <c r="I48" s="2047" t="str">
        <f>'Part I-Project Identification'!I41</f>
        <v>No</v>
      </c>
      <c r="J48" s="2041" t="s">
        <v>2486</v>
      </c>
      <c r="O48" s="2048">
        <f>'Part I-Project Identification'!O41</f>
        <v>0</v>
      </c>
      <c r="P48" s="2048"/>
      <c r="Q48" s="2028"/>
      <c r="R48" s="2028"/>
      <c r="S48" s="2028"/>
      <c r="Z48" s="1624">
        <v>41</v>
      </c>
    </row>
    <row r="49" spans="1:26" s="1821" customFormat="1" ht="3" customHeight="1">
      <c r="A49" s="1624"/>
      <c r="B49" s="1624"/>
      <c r="P49" s="378"/>
      <c r="Z49" s="1624">
        <v>42</v>
      </c>
    </row>
    <row r="50" spans="1:26" s="1821" customFormat="1" ht="8.25" customHeight="1">
      <c r="L50" s="378"/>
      <c r="M50" s="378"/>
      <c r="N50" s="378"/>
      <c r="O50" s="378"/>
      <c r="P50" s="2024"/>
      <c r="Z50" s="1624">
        <v>43</v>
      </c>
    </row>
    <row r="51" spans="1:26" s="378" customFormat="1" ht="12" customHeight="1">
      <c r="A51" s="1624" t="s">
        <v>496</v>
      </c>
      <c r="C51" s="378" t="s">
        <v>530</v>
      </c>
      <c r="M51" s="378" t="s">
        <v>720</v>
      </c>
      <c r="N51" s="378" t="s">
        <v>74</v>
      </c>
      <c r="Z51" s="1624">
        <v>44</v>
      </c>
    </row>
    <row r="52" spans="1:26" s="378" customFormat="1" ht="15">
      <c r="A52" s="2049" t="str">
        <f>'Part I-Project Identification'!A45</f>
        <v>The Housing Authority of the City of Gainesville Georgia has induced bonds for this transaction in the amount of $28,000,000, however at the time of this application the total construction debt needed is approximately $25,000,000. The project is a zoned piece of real estate adjacent to a Public Housing property owned by the Gainesville Housing Authority named Harrison Square Apartments, which was built in 1971, and has now become obsolete, and in poor condition.  The Gainesville Housing Authority ("GHA") has entered the RAD process, and been issued a CHAP from HUD to provide new replacement housing for the 75 households at Harrison Square Apartments.  These households will be relocated to the property, Harrison Village Apartments, which is an adjacent site and will contain 120 family units on site.  The 120 units will provide replacement housing for the 75 households at Harrison Square Apartments.   The Gainesville Housing Authority will be a partner in the property, and currently own the land which they shall ground lease back to the partnership.  The property will have 75 project based vouchers from the RAD Conversion of an existing GHA adjacent property.  The partnership will have 15 RAD PBRA units, and 60 Section 18 PBV provided in a HAP Contract from the RAD Conversion.  This is a preservation project and upon the relocation of the households from Harrison Square Apartments, those units will be demolished and GHA, with The Paces Foundation will rebuild a new property and a subsequent phased development.</v>
      </c>
      <c r="B52" s="2050"/>
      <c r="C52" s="2050"/>
      <c r="D52" s="2050"/>
      <c r="E52" s="2050"/>
      <c r="F52" s="2050"/>
      <c r="G52" s="2050"/>
      <c r="H52" s="2050"/>
      <c r="I52" s="2050"/>
      <c r="J52" s="2050"/>
      <c r="K52" s="2050"/>
      <c r="L52" s="2050"/>
      <c r="M52" s="2049">
        <f>'Part I-Project Identification'!M45</f>
        <v>0</v>
      </c>
      <c r="N52" s="2050"/>
      <c r="O52" s="2050"/>
      <c r="P52" s="2050"/>
      <c r="Q52" s="2018"/>
      <c r="R52" s="2018"/>
      <c r="S52" s="2018"/>
      <c r="T52" s="2018"/>
      <c r="U52" s="2018"/>
      <c r="Z52" s="1624">
        <v>218</v>
      </c>
    </row>
    <row r="56" spans="1:26" s="1821" customFormat="1" ht="14.1" customHeight="1">
      <c r="A56" s="1821" t="str">
        <f>CONCATENATE("PART TWO - DEVELOPMENT TEAM INFORMATION","  -  ",'Part I-Project Identification'!$O$7," ",'Part I-Project Identification'!$F$29,", ",'Part I-Project Identification'!F84,", ",'Part I-Project Identification'!J84," County")</f>
        <v>PART TWO - DEVELOPMENT TEAM INFORMATION  -  2022-522 Harrison Village Apartments, ,  County</v>
      </c>
      <c r="Z56" s="1624">
        <v>2</v>
      </c>
    </row>
    <row r="57" spans="1:26" s="378" customFormat="1" ht="12" customHeight="1">
      <c r="A57" s="2030" t="s">
        <v>3662</v>
      </c>
      <c r="Z57" s="1624">
        <v>3</v>
      </c>
    </row>
    <row r="58" spans="1:26" s="1821" customFormat="1" ht="13.35" customHeight="1">
      <c r="A58" s="1821" t="s">
        <v>573</v>
      </c>
      <c r="B58" s="2030" t="s">
        <v>1722</v>
      </c>
      <c r="C58" s="2030"/>
      <c r="E58" s="2030"/>
      <c r="F58" s="2030"/>
      <c r="G58" s="2030"/>
      <c r="H58" s="2023" t="s">
        <v>3464</v>
      </c>
      <c r="O58" s="2051" t="str">
        <f>'Part I-Project Identification'!$A$6</f>
        <v>Sept 20, 2022 Core Application - 4% Only</v>
      </c>
      <c r="P58" s="2051"/>
      <c r="Q58" s="2051"/>
      <c r="R58" s="2051"/>
      <c r="S58" s="2051"/>
      <c r="Z58" s="1624">
        <v>4</v>
      </c>
    </row>
    <row r="59" spans="1:26" s="1821" customFormat="1" ht="8.4499999999999993" customHeight="1">
      <c r="D59" s="2030"/>
      <c r="E59" s="2030"/>
      <c r="F59" s="2030"/>
      <c r="G59" s="2030"/>
      <c r="H59" s="2030"/>
      <c r="I59" s="2030"/>
      <c r="J59" s="2030"/>
      <c r="Z59" s="1624">
        <v>5</v>
      </c>
    </row>
    <row r="60" spans="1:26" s="1821" customFormat="1" ht="11.25" customHeight="1">
      <c r="B60" s="1821" t="s">
        <v>1842</v>
      </c>
      <c r="C60" s="2030" t="s">
        <v>1718</v>
      </c>
      <c r="H60" s="2026" t="str">
        <f>'Part II-Development Team'!H6</f>
        <v>(Enter name as it will appear on all legal documents)</v>
      </c>
      <c r="I60" s="2052"/>
      <c r="J60" s="2052"/>
      <c r="K60" s="2052"/>
      <c r="L60" s="2052"/>
      <c r="M60" s="2052"/>
      <c r="N60" s="2052"/>
      <c r="O60" s="2053" t="s">
        <v>1848</v>
      </c>
      <c r="P60" s="2053"/>
      <c r="Q60" s="2026">
        <f>'Part II-Development Team'!Q6</f>
        <v>0</v>
      </c>
      <c r="R60" s="2052"/>
      <c r="S60" s="2052"/>
      <c r="Y60" s="2020"/>
      <c r="Z60" s="1624">
        <v>6</v>
      </c>
    </row>
    <row r="61" spans="1:26" s="1821" customFormat="1" ht="11.25" customHeight="1">
      <c r="D61" s="2054"/>
      <c r="E61" s="2030" t="s">
        <v>958</v>
      </c>
      <c r="F61" s="2024"/>
      <c r="H61" s="2026">
        <f>'Part II-Development Team'!H7</f>
        <v>0</v>
      </c>
      <c r="I61" s="2052"/>
      <c r="J61" s="2052"/>
      <c r="K61" s="2052"/>
      <c r="L61" s="2052"/>
      <c r="M61" s="2052"/>
      <c r="N61" s="2052"/>
      <c r="O61" s="2053" t="s">
        <v>1625</v>
      </c>
      <c r="P61" s="2026"/>
      <c r="Q61" s="2026">
        <f>'Part II-Development Team'!Q7</f>
        <v>0</v>
      </c>
      <c r="R61" s="2052"/>
      <c r="S61" s="2052"/>
      <c r="V61" s="2020"/>
      <c r="W61" s="2020"/>
      <c r="X61" s="2020"/>
      <c r="Y61" s="2020"/>
      <c r="Z61" s="1624">
        <v>7</v>
      </c>
    </row>
    <row r="62" spans="1:26" s="1821" customFormat="1" ht="11.25" customHeight="1">
      <c r="D62" s="2054"/>
      <c r="E62" s="2030" t="s">
        <v>575</v>
      </c>
      <c r="H62" s="2026">
        <f>'Part II-Development Team'!H8</f>
        <v>0</v>
      </c>
      <c r="I62" s="2052"/>
      <c r="J62" s="2052"/>
      <c r="K62" s="2038" t="s">
        <v>710</v>
      </c>
      <c r="L62" s="2026">
        <f>'Part II-Development Team'!L8</f>
        <v>0</v>
      </c>
      <c r="M62" s="2052"/>
      <c r="N62" s="2052"/>
      <c r="O62" s="2053" t="s">
        <v>1601</v>
      </c>
      <c r="P62" s="2026"/>
      <c r="Q62" s="2037">
        <f>'Part II-Development Team'!Q8</f>
        <v>0</v>
      </c>
      <c r="R62" s="2037"/>
      <c r="S62" s="2037"/>
      <c r="Z62" s="1624">
        <v>8</v>
      </c>
    </row>
    <row r="63" spans="1:26" s="1821" customFormat="1" ht="11.25" customHeight="1">
      <c r="D63" s="2054"/>
      <c r="E63" s="2030" t="s">
        <v>1672</v>
      </c>
      <c r="H63" s="2026">
        <f>'Part II-Development Team'!H9</f>
        <v>0</v>
      </c>
      <c r="I63" s="2038" t="s">
        <v>2062</v>
      </c>
      <c r="J63" s="2036">
        <f>'Part II-Development Team'!J9</f>
        <v>0</v>
      </c>
      <c r="K63" s="2052"/>
      <c r="L63" s="2026" t="s">
        <v>3198</v>
      </c>
      <c r="M63" s="2026">
        <f>'Part II-Development Team'!M9</f>
        <v>0</v>
      </c>
      <c r="N63" s="2026"/>
      <c r="O63" s="2053" t="s">
        <v>1838</v>
      </c>
      <c r="P63" s="2026"/>
      <c r="Q63" s="2037">
        <f>'Part II-Development Team'!Q9</f>
        <v>0</v>
      </c>
      <c r="R63" s="2037"/>
      <c r="S63" s="2037"/>
      <c r="Z63" s="1624">
        <v>9</v>
      </c>
    </row>
    <row r="64" spans="1:26" s="1821" customFormat="1" ht="11.25" customHeight="1">
      <c r="D64" s="2054"/>
      <c r="E64" s="2030" t="s">
        <v>3465</v>
      </c>
      <c r="H64" s="2037">
        <f>'Part II-Development Team'!H10</f>
        <v>0</v>
      </c>
      <c r="I64" s="2037"/>
      <c r="J64" s="2047">
        <f>'Part II-Development Team'!J10</f>
        <v>0</v>
      </c>
      <c r="K64" s="2038" t="s">
        <v>1843</v>
      </c>
      <c r="L64" s="2026">
        <f>'Part II-Development Team'!L10</f>
        <v>0</v>
      </c>
      <c r="M64" s="2026"/>
      <c r="N64" s="2026"/>
      <c r="O64" s="2026"/>
      <c r="P64" s="2026"/>
      <c r="Q64" s="2026"/>
      <c r="R64" s="2026"/>
      <c r="S64" s="2026"/>
      <c r="Z64" s="1624">
        <v>10</v>
      </c>
    </row>
    <row r="65" spans="2:26" s="1821" customFormat="1" ht="11.25" customHeight="1">
      <c r="D65" s="2054"/>
      <c r="E65" s="2023" t="s">
        <v>3464</v>
      </c>
      <c r="H65" s="2055"/>
      <c r="I65" s="2026"/>
      <c r="J65" s="2026"/>
      <c r="K65" s="2033"/>
      <c r="L65" s="2026"/>
      <c r="M65" s="2026"/>
      <c r="N65" s="2026" t="s">
        <v>6792</v>
      </c>
      <c r="O65" s="2026"/>
      <c r="P65" s="2026"/>
      <c r="Q65" s="2038"/>
      <c r="R65" s="2026"/>
      <c r="S65" s="2026"/>
      <c r="T65" s="2026"/>
      <c r="Z65" s="1624">
        <v>11</v>
      </c>
    </row>
    <row r="66" spans="2:26" s="1821" customFormat="1" ht="4.3499999999999996" customHeight="1">
      <c r="D66" s="2056"/>
      <c r="E66" s="2030"/>
      <c r="F66" s="2030"/>
      <c r="G66" s="2030"/>
      <c r="H66" s="2053"/>
      <c r="I66" s="2053"/>
      <c r="J66" s="2053"/>
      <c r="K66" s="2026"/>
      <c r="L66" s="2026"/>
      <c r="M66" s="2026"/>
      <c r="N66" s="2053"/>
      <c r="O66" s="2053"/>
      <c r="P66" s="2053"/>
      <c r="Q66" s="2053"/>
      <c r="R66" s="2053"/>
      <c r="S66" s="2053"/>
      <c r="T66" s="2053"/>
      <c r="Z66" s="1624">
        <v>12</v>
      </c>
    </row>
    <row r="67" spans="2:26" s="1821" customFormat="1" ht="11.25" customHeight="1">
      <c r="B67" s="378" t="s">
        <v>1844</v>
      </c>
      <c r="C67" s="2030" t="s">
        <v>1719</v>
      </c>
      <c r="F67" s="2030"/>
      <c r="G67" s="2030"/>
      <c r="H67" s="2053"/>
      <c r="I67" s="2053"/>
      <c r="J67" s="2026"/>
      <c r="K67" s="2026"/>
      <c r="L67" s="2026"/>
      <c r="M67" s="2026"/>
      <c r="N67" s="2057" t="s">
        <v>1208</v>
      </c>
      <c r="O67" s="2026"/>
      <c r="P67" s="2026"/>
      <c r="Q67" s="2026"/>
      <c r="R67" s="2026"/>
      <c r="S67" s="2026"/>
      <c r="W67" s="2057"/>
      <c r="X67" s="2057"/>
      <c r="Y67" s="2057"/>
      <c r="Z67" s="1624">
        <v>13</v>
      </c>
    </row>
    <row r="68" spans="2:26" s="1821" customFormat="1" ht="11.25" customHeight="1">
      <c r="C68" s="2058" t="s">
        <v>1845</v>
      </c>
      <c r="D68" s="378" t="s">
        <v>1846</v>
      </c>
      <c r="H68" s="2026"/>
      <c r="I68" s="2026"/>
      <c r="J68" s="2026"/>
      <c r="K68" s="2026"/>
      <c r="L68" s="2026"/>
      <c r="M68" s="2026"/>
      <c r="N68" s="2033"/>
      <c r="O68" s="2026"/>
      <c r="P68" s="2026"/>
      <c r="Q68" s="2026"/>
      <c r="R68" s="2026"/>
      <c r="S68" s="2026"/>
      <c r="W68" s="2059"/>
      <c r="X68" s="2059"/>
      <c r="Y68" s="2059"/>
      <c r="Z68" s="1624">
        <v>14</v>
      </c>
    </row>
    <row r="69" spans="2:26" s="1821" customFormat="1" ht="11.25" customHeight="1">
      <c r="D69" s="1821" t="s">
        <v>1964</v>
      </c>
      <c r="E69" s="1821" t="s">
        <v>1720</v>
      </c>
      <c r="H69" s="2026">
        <f>'Part II-Development Team'!H15</f>
        <v>0</v>
      </c>
      <c r="I69" s="2052"/>
      <c r="J69" s="2052"/>
      <c r="K69" s="2052"/>
      <c r="L69" s="2052"/>
      <c r="M69" s="2052"/>
      <c r="N69" s="2052"/>
      <c r="O69" s="2053" t="s">
        <v>1848</v>
      </c>
      <c r="P69" s="2053"/>
      <c r="Q69" s="2026">
        <f>'Part II-Development Team'!Q15</f>
        <v>0</v>
      </c>
      <c r="R69" s="2052"/>
      <c r="S69" s="2052"/>
      <c r="Z69" s="1624">
        <v>15</v>
      </c>
    </row>
    <row r="70" spans="2:26" s="1821" customFormat="1" ht="11.25" customHeight="1">
      <c r="D70" s="2054"/>
      <c r="E70" s="2030" t="s">
        <v>958</v>
      </c>
      <c r="F70" s="2024"/>
      <c r="H70" s="2026">
        <f>'Part II-Development Team'!H16</f>
        <v>0</v>
      </c>
      <c r="I70" s="2052"/>
      <c r="J70" s="2052"/>
      <c r="K70" s="2052"/>
      <c r="L70" s="2052"/>
      <c r="M70" s="2052"/>
      <c r="N70" s="2052"/>
      <c r="O70" s="2053" t="s">
        <v>1625</v>
      </c>
      <c r="P70" s="2026"/>
      <c r="Q70" s="2026">
        <f>'Part II-Development Team'!Q16</f>
        <v>0</v>
      </c>
      <c r="R70" s="2052"/>
      <c r="S70" s="2052"/>
      <c r="Z70" s="1624">
        <v>16</v>
      </c>
    </row>
    <row r="71" spans="2:26" s="1821" customFormat="1" ht="11.25" customHeight="1">
      <c r="D71" s="2054"/>
      <c r="E71" s="2030" t="s">
        <v>575</v>
      </c>
      <c r="H71" s="2026">
        <f>'Part II-Development Team'!H17</f>
        <v>0</v>
      </c>
      <c r="I71" s="2052"/>
      <c r="J71" s="2052"/>
      <c r="K71" s="2038" t="s">
        <v>2460</v>
      </c>
      <c r="L71" s="2026">
        <f>'Part II-Development Team'!L17</f>
        <v>0</v>
      </c>
      <c r="M71" s="2052"/>
      <c r="N71" s="2052"/>
      <c r="O71" s="2053" t="s">
        <v>1601</v>
      </c>
      <c r="P71" s="2026"/>
      <c r="Q71" s="2037">
        <f>'Part II-Development Team'!Q17</f>
        <v>0</v>
      </c>
      <c r="R71" s="2037"/>
      <c r="S71" s="2037"/>
      <c r="Z71" s="1624">
        <v>17</v>
      </c>
    </row>
    <row r="72" spans="2:26" s="1821" customFormat="1" ht="11.25" customHeight="1">
      <c r="E72" s="2030" t="s">
        <v>1672</v>
      </c>
      <c r="H72" s="2026">
        <f>'Part II-Development Team'!H18</f>
        <v>0</v>
      </c>
      <c r="I72" s="2026"/>
      <c r="J72" s="2026"/>
      <c r="K72" s="2038" t="s">
        <v>2062</v>
      </c>
      <c r="L72" s="2036">
        <f>'Part II-Development Team'!L18</f>
        <v>0</v>
      </c>
      <c r="M72" s="2052"/>
      <c r="N72" s="2026"/>
      <c r="O72" s="2053" t="s">
        <v>1838</v>
      </c>
      <c r="P72" s="2026"/>
      <c r="Q72" s="2037">
        <f>'Part II-Development Team'!Q18</f>
        <v>0</v>
      </c>
      <c r="R72" s="2037"/>
      <c r="S72" s="2037"/>
      <c r="Z72" s="1624">
        <v>18</v>
      </c>
    </row>
    <row r="73" spans="2:26" s="1821" customFormat="1" ht="11.25" customHeight="1">
      <c r="D73" s="2054"/>
      <c r="E73" s="2030" t="s">
        <v>3465</v>
      </c>
      <c r="H73" s="2037">
        <f>'Part II-Development Team'!H19</f>
        <v>0</v>
      </c>
      <c r="I73" s="2037"/>
      <c r="J73" s="2047">
        <f>'Part II-Development Team'!J19</f>
        <v>0</v>
      </c>
      <c r="K73" s="2038" t="s">
        <v>1843</v>
      </c>
      <c r="L73" s="2026">
        <f>'Part II-Development Team'!L19</f>
        <v>0</v>
      </c>
      <c r="M73" s="2026"/>
      <c r="N73" s="2026"/>
      <c r="O73" s="2026"/>
      <c r="P73" s="2026"/>
      <c r="Q73" s="2026"/>
      <c r="R73" s="2026"/>
      <c r="S73" s="2026"/>
      <c r="Z73" s="1624">
        <v>19</v>
      </c>
    </row>
    <row r="74" spans="2:26" s="378" customFormat="1" ht="4.3499999999999996" customHeight="1">
      <c r="H74" s="2037"/>
      <c r="I74" s="2037"/>
      <c r="J74" s="2037"/>
      <c r="K74" s="2038"/>
      <c r="L74" s="2037"/>
      <c r="M74" s="2037"/>
      <c r="N74" s="2038"/>
      <c r="O74" s="2037"/>
      <c r="P74" s="2037"/>
      <c r="Q74" s="2038"/>
      <c r="R74" s="2037"/>
      <c r="S74" s="2037"/>
      <c r="Z74" s="1624">
        <v>20</v>
      </c>
    </row>
    <row r="75" spans="2:26" s="1821" customFormat="1" ht="11.25" customHeight="1">
      <c r="D75" s="1821" t="s">
        <v>1965</v>
      </c>
      <c r="E75" s="1821" t="s">
        <v>1721</v>
      </c>
      <c r="H75" s="2026">
        <f>'Part II-Development Team'!H21</f>
        <v>0</v>
      </c>
      <c r="I75" s="2052"/>
      <c r="J75" s="2052"/>
      <c r="K75" s="2052"/>
      <c r="L75" s="2052"/>
      <c r="M75" s="2052"/>
      <c r="N75" s="2052"/>
      <c r="O75" s="2053" t="s">
        <v>1848</v>
      </c>
      <c r="P75" s="2053"/>
      <c r="Q75" s="2026">
        <f>'Part II-Development Team'!Q21</f>
        <v>0</v>
      </c>
      <c r="R75" s="2052"/>
      <c r="S75" s="2052"/>
      <c r="Z75" s="1624">
        <v>21</v>
      </c>
    </row>
    <row r="76" spans="2:26" s="1821" customFormat="1" ht="11.25" customHeight="1">
      <c r="D76" s="2054"/>
      <c r="E76" s="2030" t="s">
        <v>958</v>
      </c>
      <c r="F76" s="2024"/>
      <c r="H76" s="2026">
        <f>'Part II-Development Team'!H22</f>
        <v>0</v>
      </c>
      <c r="I76" s="2052"/>
      <c r="J76" s="2052"/>
      <c r="K76" s="2052"/>
      <c r="L76" s="2052"/>
      <c r="M76" s="2052"/>
      <c r="N76" s="2052"/>
      <c r="O76" s="2053" t="s">
        <v>1625</v>
      </c>
      <c r="P76" s="2026"/>
      <c r="Q76" s="2026">
        <f>'Part II-Development Team'!Q22</f>
        <v>0</v>
      </c>
      <c r="R76" s="2052"/>
      <c r="S76" s="2052"/>
      <c r="Z76" s="1624">
        <v>22</v>
      </c>
    </row>
    <row r="77" spans="2:26" s="1821" customFormat="1" ht="11.25" customHeight="1">
      <c r="D77" s="2054"/>
      <c r="E77" s="2030" t="s">
        <v>575</v>
      </c>
      <c r="H77" s="2026">
        <f>'Part II-Development Team'!H23</f>
        <v>0</v>
      </c>
      <c r="I77" s="2052"/>
      <c r="J77" s="2052"/>
      <c r="K77" s="2038" t="s">
        <v>2460</v>
      </c>
      <c r="L77" s="2026">
        <f>'Part II-Development Team'!L23</f>
        <v>0</v>
      </c>
      <c r="M77" s="2052"/>
      <c r="N77" s="2052"/>
      <c r="O77" s="2053" t="s">
        <v>1601</v>
      </c>
      <c r="P77" s="2026"/>
      <c r="Q77" s="2037">
        <f>'Part II-Development Team'!Q23</f>
        <v>0</v>
      </c>
      <c r="R77" s="2037"/>
      <c r="S77" s="2037"/>
      <c r="Z77" s="1624">
        <v>23</v>
      </c>
    </row>
    <row r="78" spans="2:26" s="1821" customFormat="1" ht="11.25" customHeight="1">
      <c r="E78" s="2030" t="s">
        <v>1672</v>
      </c>
      <c r="H78" s="2053">
        <f>'Part II-Development Team'!H24</f>
        <v>0</v>
      </c>
      <c r="I78" s="2026"/>
      <c r="J78" s="2026"/>
      <c r="K78" s="2038" t="s">
        <v>2062</v>
      </c>
      <c r="L78" s="2036">
        <f>'Part II-Development Team'!L24</f>
        <v>0</v>
      </c>
      <c r="M78" s="2052"/>
      <c r="N78" s="2026"/>
      <c r="O78" s="2053" t="s">
        <v>1838</v>
      </c>
      <c r="P78" s="2026"/>
      <c r="Q78" s="2037">
        <f>'Part II-Development Team'!Q24</f>
        <v>0</v>
      </c>
      <c r="R78" s="2037"/>
      <c r="S78" s="2037"/>
      <c r="Z78" s="1624">
        <v>24</v>
      </c>
    </row>
    <row r="79" spans="2:26" s="1821" customFormat="1" ht="11.25" customHeight="1">
      <c r="D79" s="2054"/>
      <c r="E79" s="2030" t="s">
        <v>3465</v>
      </c>
      <c r="H79" s="2037">
        <f>'Part II-Development Team'!H25</f>
        <v>0</v>
      </c>
      <c r="I79" s="2037"/>
      <c r="J79" s="2047">
        <f>'Part II-Development Team'!J25</f>
        <v>0</v>
      </c>
      <c r="K79" s="2038" t="s">
        <v>1843</v>
      </c>
      <c r="L79" s="2026">
        <f>'Part II-Development Team'!L25</f>
        <v>0</v>
      </c>
      <c r="M79" s="2026"/>
      <c r="N79" s="2026"/>
      <c r="O79" s="2026"/>
      <c r="P79" s="2026"/>
      <c r="Q79" s="2026"/>
      <c r="R79" s="2026"/>
      <c r="S79" s="2026"/>
      <c r="Z79" s="1624">
        <v>25</v>
      </c>
    </row>
    <row r="80" spans="2:26" s="1821" customFormat="1" ht="4.3499999999999996" customHeight="1">
      <c r="D80" s="2054"/>
      <c r="G80" s="2030"/>
      <c r="H80" s="2037"/>
      <c r="I80" s="2037"/>
      <c r="J80" s="2037"/>
      <c r="K80" s="2038"/>
      <c r="L80" s="2037"/>
      <c r="M80" s="2037"/>
      <c r="N80" s="2038"/>
      <c r="O80" s="2037"/>
      <c r="P80" s="2037"/>
      <c r="Q80" s="2038"/>
      <c r="R80" s="2037"/>
      <c r="S80" s="2037"/>
      <c r="Z80" s="1624">
        <v>26</v>
      </c>
    </row>
    <row r="81" spans="3:26" s="1821" customFormat="1" ht="11.25" customHeight="1">
      <c r="D81" s="1821" t="s">
        <v>1612</v>
      </c>
      <c r="E81" s="1821" t="s">
        <v>1721</v>
      </c>
      <c r="H81" s="2026">
        <f>'Part II-Development Team'!H27</f>
        <v>0</v>
      </c>
      <c r="I81" s="2052"/>
      <c r="J81" s="2052"/>
      <c r="K81" s="2052"/>
      <c r="L81" s="2052"/>
      <c r="M81" s="2052"/>
      <c r="N81" s="2052"/>
      <c r="O81" s="2053" t="s">
        <v>1848</v>
      </c>
      <c r="P81" s="2053"/>
      <c r="Q81" s="2026">
        <f>'Part II-Development Team'!Q27</f>
        <v>0</v>
      </c>
      <c r="R81" s="2052"/>
      <c r="S81" s="2052"/>
      <c r="Z81" s="1624">
        <v>27</v>
      </c>
    </row>
    <row r="82" spans="3:26" s="1821" customFormat="1" ht="11.25" customHeight="1">
      <c r="D82" s="2054"/>
      <c r="E82" s="2030" t="s">
        <v>958</v>
      </c>
      <c r="F82" s="2024"/>
      <c r="H82" s="2026">
        <f>'Part II-Development Team'!H28</f>
        <v>0</v>
      </c>
      <c r="I82" s="2052"/>
      <c r="J82" s="2052"/>
      <c r="K82" s="2052"/>
      <c r="L82" s="2052"/>
      <c r="M82" s="2052"/>
      <c r="N82" s="2052"/>
      <c r="O82" s="2053" t="s">
        <v>1625</v>
      </c>
      <c r="P82" s="2026"/>
      <c r="Q82" s="2026">
        <f>'Part II-Development Team'!Q28</f>
        <v>0</v>
      </c>
      <c r="R82" s="2052"/>
      <c r="S82" s="2052"/>
      <c r="Z82" s="1624">
        <v>28</v>
      </c>
    </row>
    <row r="83" spans="3:26" s="1821" customFormat="1" ht="11.25" customHeight="1">
      <c r="D83" s="2054"/>
      <c r="E83" s="2030" t="s">
        <v>575</v>
      </c>
      <c r="H83" s="2026">
        <f>'Part II-Development Team'!H29</f>
        <v>0</v>
      </c>
      <c r="I83" s="2052"/>
      <c r="J83" s="2052"/>
      <c r="K83" s="2038" t="s">
        <v>2460</v>
      </c>
      <c r="L83" s="2026">
        <f>'Part II-Development Team'!L29</f>
        <v>0</v>
      </c>
      <c r="M83" s="2052"/>
      <c r="N83" s="2052"/>
      <c r="O83" s="2053" t="s">
        <v>1601</v>
      </c>
      <c r="P83" s="2026"/>
      <c r="Q83" s="2037">
        <f>'Part II-Development Team'!Q29</f>
        <v>0</v>
      </c>
      <c r="R83" s="2037"/>
      <c r="S83" s="2037"/>
      <c r="Z83" s="1624">
        <v>29</v>
      </c>
    </row>
    <row r="84" spans="3:26" s="1821" customFormat="1" ht="11.25" customHeight="1">
      <c r="E84" s="2030" t="s">
        <v>1672</v>
      </c>
      <c r="H84" s="2053">
        <f>'Part II-Development Team'!H30</f>
        <v>0</v>
      </c>
      <c r="I84" s="2026"/>
      <c r="J84" s="2026"/>
      <c r="K84" s="2038" t="s">
        <v>2062</v>
      </c>
      <c r="L84" s="2036">
        <f>'Part II-Development Team'!L30</f>
        <v>0</v>
      </c>
      <c r="M84" s="2052"/>
      <c r="N84" s="2026"/>
      <c r="O84" s="2053" t="s">
        <v>1838</v>
      </c>
      <c r="P84" s="2026"/>
      <c r="Q84" s="2037">
        <f>'Part II-Development Team'!Q30</f>
        <v>0</v>
      </c>
      <c r="R84" s="2037"/>
      <c r="S84" s="2037"/>
      <c r="Z84" s="1624">
        <v>30</v>
      </c>
    </row>
    <row r="85" spans="3:26" s="1821" customFormat="1" ht="11.25" customHeight="1">
      <c r="D85" s="2054"/>
      <c r="E85" s="2030" t="s">
        <v>3465</v>
      </c>
      <c r="H85" s="2037">
        <f>'Part II-Development Team'!H31</f>
        <v>0</v>
      </c>
      <c r="I85" s="2037"/>
      <c r="J85" s="2047">
        <f>'Part II-Development Team'!J31</f>
        <v>0</v>
      </c>
      <c r="K85" s="2038" t="s">
        <v>1843</v>
      </c>
      <c r="L85" s="2026">
        <f>'Part II-Development Team'!L31</f>
        <v>0</v>
      </c>
      <c r="M85" s="2026"/>
      <c r="N85" s="2026"/>
      <c r="O85" s="2026"/>
      <c r="P85" s="2026"/>
      <c r="Q85" s="2026"/>
      <c r="R85" s="2026"/>
      <c r="S85" s="2026"/>
      <c r="Z85" s="1624">
        <v>31</v>
      </c>
    </row>
    <row r="86" spans="3:26" s="378" customFormat="1" ht="4.3499999999999996" customHeight="1">
      <c r="H86" s="2052"/>
      <c r="I86" s="2052"/>
      <c r="J86" s="2052"/>
      <c r="K86" s="2052"/>
      <c r="L86" s="2052"/>
      <c r="M86" s="2052"/>
      <c r="N86" s="2052"/>
      <c r="O86" s="2052"/>
      <c r="P86" s="2052"/>
      <c r="Q86" s="2052"/>
      <c r="R86" s="2052"/>
      <c r="S86" s="2052"/>
      <c r="Z86" s="1624">
        <v>32</v>
      </c>
    </row>
    <row r="87" spans="3:26" s="1821" customFormat="1" ht="11.25" customHeight="1">
      <c r="C87" s="2058" t="s">
        <v>1847</v>
      </c>
      <c r="D87" s="378" t="s">
        <v>1723</v>
      </c>
      <c r="H87" s="2026"/>
      <c r="I87" s="2026"/>
      <c r="J87" s="2026"/>
      <c r="K87" s="2060" t="s">
        <v>3464</v>
      </c>
      <c r="L87" s="2026"/>
      <c r="M87" s="2026"/>
      <c r="N87" s="2026"/>
      <c r="O87" s="2026"/>
      <c r="P87" s="2026"/>
      <c r="Q87" s="2026"/>
      <c r="R87" s="2026"/>
      <c r="S87" s="2026"/>
      <c r="Z87" s="1624">
        <v>33</v>
      </c>
    </row>
    <row r="88" spans="3:26" s="1821" customFormat="1" ht="11.25" customHeight="1">
      <c r="D88" s="1821" t="s">
        <v>1964</v>
      </c>
      <c r="E88" s="1821" t="s">
        <v>699</v>
      </c>
      <c r="H88" s="2026">
        <f>'Part II-Development Team'!H34</f>
        <v>0</v>
      </c>
      <c r="I88" s="2052"/>
      <c r="J88" s="2052"/>
      <c r="K88" s="2052"/>
      <c r="L88" s="2052"/>
      <c r="M88" s="2052"/>
      <c r="N88" s="2052"/>
      <c r="O88" s="2053" t="s">
        <v>1848</v>
      </c>
      <c r="P88" s="2053"/>
      <c r="Q88" s="2026">
        <f>'Part II-Development Team'!Q34</f>
        <v>0</v>
      </c>
      <c r="R88" s="2052"/>
      <c r="S88" s="2052"/>
      <c r="Z88" s="1624">
        <v>34</v>
      </c>
    </row>
    <row r="89" spans="3:26" s="1821" customFormat="1" ht="11.25" customHeight="1">
      <c r="D89" s="2054"/>
      <c r="E89" s="2030" t="s">
        <v>958</v>
      </c>
      <c r="F89" s="2024"/>
      <c r="H89" s="2026">
        <f>'Part II-Development Team'!H35</f>
        <v>0</v>
      </c>
      <c r="I89" s="2052"/>
      <c r="J89" s="2052"/>
      <c r="K89" s="2052"/>
      <c r="L89" s="2052"/>
      <c r="M89" s="2052"/>
      <c r="N89" s="2052"/>
      <c r="O89" s="2053" t="s">
        <v>1625</v>
      </c>
      <c r="P89" s="2026"/>
      <c r="Q89" s="2026">
        <f>'Part II-Development Team'!Q35</f>
        <v>0</v>
      </c>
      <c r="R89" s="2052"/>
      <c r="S89" s="2052"/>
      <c r="Z89" s="1624">
        <v>35</v>
      </c>
    </row>
    <row r="90" spans="3:26" s="1821" customFormat="1" ht="11.25" customHeight="1">
      <c r="D90" s="2054"/>
      <c r="E90" s="2030" t="s">
        <v>575</v>
      </c>
      <c r="H90" s="2026">
        <f>'Part II-Development Team'!H36</f>
        <v>0</v>
      </c>
      <c r="I90" s="2052"/>
      <c r="J90" s="2052"/>
      <c r="K90" s="2038" t="s">
        <v>2460</v>
      </c>
      <c r="L90" s="2026">
        <f>'Part II-Development Team'!L36</f>
        <v>0</v>
      </c>
      <c r="M90" s="2052"/>
      <c r="N90" s="2052"/>
      <c r="O90" s="2053" t="s">
        <v>1601</v>
      </c>
      <c r="P90" s="2026"/>
      <c r="Q90" s="2037">
        <f>'Part II-Development Team'!Q36</f>
        <v>0</v>
      </c>
      <c r="R90" s="2037"/>
      <c r="S90" s="2037"/>
      <c r="Z90" s="1624">
        <v>36</v>
      </c>
    </row>
    <row r="91" spans="3:26" s="1821" customFormat="1" ht="11.25" customHeight="1">
      <c r="E91" s="2030" t="s">
        <v>1672</v>
      </c>
      <c r="H91" s="2053">
        <f>'Part II-Development Team'!H37</f>
        <v>0</v>
      </c>
      <c r="I91" s="2026"/>
      <c r="J91" s="2026"/>
      <c r="K91" s="2038" t="s">
        <v>2062</v>
      </c>
      <c r="L91" s="2036">
        <f>'Part II-Development Team'!L37</f>
        <v>0</v>
      </c>
      <c r="M91" s="2052"/>
      <c r="N91" s="2026"/>
      <c r="O91" s="2053" t="s">
        <v>1838</v>
      </c>
      <c r="P91" s="2026"/>
      <c r="Q91" s="2037">
        <f>'Part II-Development Team'!Q37</f>
        <v>0</v>
      </c>
      <c r="R91" s="2037"/>
      <c r="S91" s="2037"/>
      <c r="Z91" s="1624">
        <v>37</v>
      </c>
    </row>
    <row r="92" spans="3:26" s="1821" customFormat="1" ht="11.25" customHeight="1">
      <c r="D92" s="2054"/>
      <c r="E92" s="2030" t="s">
        <v>3465</v>
      </c>
      <c r="H92" s="2037">
        <f>'Part II-Development Team'!H38</f>
        <v>0</v>
      </c>
      <c r="I92" s="2037"/>
      <c r="J92" s="2047">
        <f>'Part II-Development Team'!J38</f>
        <v>0</v>
      </c>
      <c r="K92" s="2038" t="s">
        <v>1843</v>
      </c>
      <c r="L92" s="2026">
        <f>'Part II-Development Team'!L38</f>
        <v>0</v>
      </c>
      <c r="M92" s="2026"/>
      <c r="N92" s="2026"/>
      <c r="O92" s="2026"/>
      <c r="P92" s="2026"/>
      <c r="Q92" s="2026"/>
      <c r="R92" s="2026"/>
      <c r="S92" s="2026"/>
      <c r="Z92" s="1624">
        <v>38</v>
      </c>
    </row>
    <row r="93" spans="3:26" s="378" customFormat="1" ht="4.3499999999999996" customHeight="1">
      <c r="H93" s="2037"/>
      <c r="I93" s="2037"/>
      <c r="J93" s="2037"/>
      <c r="K93" s="2038"/>
      <c r="L93" s="2037"/>
      <c r="M93" s="2037"/>
      <c r="N93" s="2038"/>
      <c r="O93" s="2037"/>
      <c r="P93" s="2037"/>
      <c r="Q93" s="2038"/>
      <c r="R93" s="2037"/>
      <c r="S93" s="2037"/>
      <c r="Z93" s="1624">
        <v>39</v>
      </c>
    </row>
    <row r="94" spans="3:26" s="1821" customFormat="1" ht="11.25" customHeight="1">
      <c r="D94" s="1821" t="s">
        <v>1965</v>
      </c>
      <c r="E94" s="1821" t="s">
        <v>700</v>
      </c>
      <c r="H94" s="2026">
        <f>'Part II-Development Team'!H40</f>
        <v>0</v>
      </c>
      <c r="I94" s="2052"/>
      <c r="J94" s="2052"/>
      <c r="K94" s="2052"/>
      <c r="L94" s="2052"/>
      <c r="M94" s="2052"/>
      <c r="N94" s="2052"/>
      <c r="O94" s="2053" t="s">
        <v>1848</v>
      </c>
      <c r="P94" s="2053"/>
      <c r="Q94" s="2026">
        <f>'Part II-Development Team'!Q40</f>
        <v>0</v>
      </c>
      <c r="R94" s="2052"/>
      <c r="S94" s="2052"/>
      <c r="Z94" s="1624">
        <v>40</v>
      </c>
    </row>
    <row r="95" spans="3:26" s="1821" customFormat="1" ht="11.25" customHeight="1">
      <c r="D95" s="2054"/>
      <c r="E95" s="2030" t="s">
        <v>958</v>
      </c>
      <c r="F95" s="2024"/>
      <c r="H95" s="2026">
        <f>'Part II-Development Team'!H41</f>
        <v>0</v>
      </c>
      <c r="I95" s="2052"/>
      <c r="J95" s="2052"/>
      <c r="K95" s="2052"/>
      <c r="L95" s="2052"/>
      <c r="M95" s="2052"/>
      <c r="N95" s="2052"/>
      <c r="O95" s="2053" t="s">
        <v>1625</v>
      </c>
      <c r="P95" s="2026"/>
      <c r="Q95" s="2026">
        <f>'Part II-Development Team'!Q41</f>
        <v>0</v>
      </c>
      <c r="R95" s="2052"/>
      <c r="S95" s="2052"/>
      <c r="Z95" s="1624">
        <v>41</v>
      </c>
    </row>
    <row r="96" spans="3:26" s="1821" customFormat="1" ht="11.25" customHeight="1">
      <c r="D96" s="2054"/>
      <c r="E96" s="2030" t="s">
        <v>575</v>
      </c>
      <c r="H96" s="2026">
        <f>'Part II-Development Team'!H42</f>
        <v>0</v>
      </c>
      <c r="I96" s="2052"/>
      <c r="J96" s="2052"/>
      <c r="K96" s="2038" t="s">
        <v>2460</v>
      </c>
      <c r="L96" s="2026">
        <f>'Part II-Development Team'!L42</f>
        <v>0</v>
      </c>
      <c r="M96" s="2052"/>
      <c r="N96" s="2052"/>
      <c r="O96" s="2053" t="s">
        <v>1601</v>
      </c>
      <c r="P96" s="2026"/>
      <c r="Q96" s="2037">
        <f>'Part II-Development Team'!Q42</f>
        <v>0</v>
      </c>
      <c r="R96" s="2037"/>
      <c r="S96" s="2037"/>
      <c r="Z96" s="1624">
        <v>42</v>
      </c>
    </row>
    <row r="97" spans="1:26" s="1821" customFormat="1" ht="11.25" customHeight="1">
      <c r="E97" s="2030" t="s">
        <v>1672</v>
      </c>
      <c r="H97" s="2053">
        <f>'Part II-Development Team'!H43</f>
        <v>0</v>
      </c>
      <c r="I97" s="2026"/>
      <c r="J97" s="2026"/>
      <c r="K97" s="2038" t="s">
        <v>2062</v>
      </c>
      <c r="L97" s="2036">
        <f>'Part II-Development Team'!L43</f>
        <v>0</v>
      </c>
      <c r="M97" s="2052"/>
      <c r="N97" s="2026"/>
      <c r="O97" s="2053" t="s">
        <v>1838</v>
      </c>
      <c r="P97" s="2026"/>
      <c r="Q97" s="2037">
        <f>'Part II-Development Team'!Q43</f>
        <v>0</v>
      </c>
      <c r="R97" s="2037"/>
      <c r="S97" s="2037"/>
      <c r="Z97" s="1624">
        <v>43</v>
      </c>
    </row>
    <row r="98" spans="1:26" s="1821" customFormat="1" ht="11.25" customHeight="1">
      <c r="D98" s="2054"/>
      <c r="E98" s="2030" t="s">
        <v>3465</v>
      </c>
      <c r="H98" s="2037">
        <f>'Part II-Development Team'!H44</f>
        <v>0</v>
      </c>
      <c r="I98" s="2037"/>
      <c r="J98" s="2047">
        <f>'Part II-Development Team'!J44</f>
        <v>0</v>
      </c>
      <c r="K98" s="2038" t="s">
        <v>1843</v>
      </c>
      <c r="L98" s="2026">
        <f>'Part II-Development Team'!L44</f>
        <v>0</v>
      </c>
      <c r="M98" s="2026"/>
      <c r="N98" s="2026"/>
      <c r="O98" s="2026"/>
      <c r="P98" s="2026"/>
      <c r="Q98" s="2026"/>
      <c r="R98" s="2026"/>
      <c r="S98" s="2026"/>
      <c r="Z98" s="1624">
        <v>44</v>
      </c>
    </row>
    <row r="99" spans="1:26" s="1821" customFormat="1" ht="4.3499999999999996" customHeight="1">
      <c r="D99" s="2054"/>
      <c r="E99" s="2030"/>
      <c r="H99" s="2055"/>
      <c r="I99" s="2055"/>
      <c r="J99" s="2061"/>
      <c r="K99" s="2038"/>
      <c r="L99" s="2055"/>
      <c r="M99" s="2055"/>
      <c r="N99" s="2038"/>
      <c r="O99" s="2055"/>
      <c r="P99" s="2055"/>
      <c r="Q99" s="2038"/>
      <c r="R99" s="2055"/>
      <c r="S99" s="2055"/>
      <c r="Z99" s="1624">
        <v>45</v>
      </c>
    </row>
    <row r="100" spans="1:26" s="1821" customFormat="1" ht="11.25" customHeight="1">
      <c r="C100" s="2062" t="s">
        <v>2333</v>
      </c>
      <c r="D100" s="378" t="s">
        <v>605</v>
      </c>
      <c r="H100" s="2026"/>
      <c r="I100" s="2026"/>
      <c r="J100" s="2026"/>
      <c r="K100" s="2060" t="s">
        <v>3464</v>
      </c>
      <c r="L100" s="2026"/>
      <c r="M100" s="2026"/>
      <c r="N100" s="2026"/>
      <c r="O100" s="2026"/>
      <c r="P100" s="2026"/>
      <c r="Q100" s="2026"/>
      <c r="R100" s="2026"/>
      <c r="S100" s="2026"/>
      <c r="Z100" s="1624">
        <v>46</v>
      </c>
    </row>
    <row r="101" spans="1:26" s="1821" customFormat="1" ht="11.25" customHeight="1">
      <c r="E101" s="1821" t="s">
        <v>88</v>
      </c>
      <c r="H101" s="2026">
        <f>'Part II-Development Team'!H47</f>
        <v>0</v>
      </c>
      <c r="I101" s="2052"/>
      <c r="J101" s="2052"/>
      <c r="K101" s="2052"/>
      <c r="L101" s="2052"/>
      <c r="M101" s="2052"/>
      <c r="N101" s="2052"/>
      <c r="O101" s="2053" t="s">
        <v>1848</v>
      </c>
      <c r="P101" s="2053"/>
      <c r="Q101" s="2026">
        <f>'Part II-Development Team'!Q47</f>
        <v>0</v>
      </c>
      <c r="R101" s="2052"/>
      <c r="S101" s="2052"/>
      <c r="Z101" s="1624">
        <v>47</v>
      </c>
    </row>
    <row r="102" spans="1:26" s="1821" customFormat="1" ht="11.25" customHeight="1">
      <c r="D102" s="2054"/>
      <c r="E102" s="2030" t="s">
        <v>958</v>
      </c>
      <c r="F102" s="2024"/>
      <c r="H102" s="2026">
        <f>'Part II-Development Team'!H48</f>
        <v>0</v>
      </c>
      <c r="I102" s="2052"/>
      <c r="J102" s="2052"/>
      <c r="K102" s="2052"/>
      <c r="L102" s="2052"/>
      <c r="M102" s="2052"/>
      <c r="N102" s="2052"/>
      <c r="O102" s="2053" t="s">
        <v>1625</v>
      </c>
      <c r="P102" s="2026"/>
      <c r="Q102" s="2026">
        <f>'Part II-Development Team'!Q48</f>
        <v>0</v>
      </c>
      <c r="R102" s="2052"/>
      <c r="S102" s="2052"/>
      <c r="Z102" s="1624">
        <v>48</v>
      </c>
    </row>
    <row r="103" spans="1:26" s="1821" customFormat="1" ht="11.25" customHeight="1">
      <c r="D103" s="2054"/>
      <c r="E103" s="2030" t="s">
        <v>575</v>
      </c>
      <c r="H103" s="2026">
        <f>'Part II-Development Team'!H49</f>
        <v>0</v>
      </c>
      <c r="I103" s="2052"/>
      <c r="J103" s="2052"/>
      <c r="K103" s="2038" t="s">
        <v>2460</v>
      </c>
      <c r="L103" s="2026">
        <f>'Part II-Development Team'!L49</f>
        <v>0</v>
      </c>
      <c r="M103" s="2052"/>
      <c r="N103" s="2052"/>
      <c r="O103" s="2053" t="s">
        <v>1601</v>
      </c>
      <c r="P103" s="2026"/>
      <c r="Q103" s="2037">
        <f>'Part II-Development Team'!Q49</f>
        <v>0</v>
      </c>
      <c r="R103" s="2037"/>
      <c r="S103" s="2037"/>
      <c r="Z103" s="1624">
        <v>49</v>
      </c>
    </row>
    <row r="104" spans="1:26" s="1821" customFormat="1" ht="11.25" customHeight="1">
      <c r="E104" s="2030" t="s">
        <v>1672</v>
      </c>
      <c r="H104" s="2053">
        <f>'Part II-Development Team'!H50</f>
        <v>0</v>
      </c>
      <c r="I104" s="2026"/>
      <c r="J104" s="2026"/>
      <c r="K104" s="2038" t="s">
        <v>2062</v>
      </c>
      <c r="L104" s="2036">
        <f>'Part II-Development Team'!L50</f>
        <v>0</v>
      </c>
      <c r="M104" s="2052"/>
      <c r="N104" s="2026"/>
      <c r="O104" s="2053" t="s">
        <v>1838</v>
      </c>
      <c r="P104" s="2026"/>
      <c r="Q104" s="2037">
        <f>'Part II-Development Team'!Q50</f>
        <v>0</v>
      </c>
      <c r="R104" s="2037"/>
      <c r="S104" s="2037"/>
      <c r="Z104" s="1624">
        <v>50</v>
      </c>
    </row>
    <row r="105" spans="1:26" s="1821" customFormat="1" ht="11.25" customHeight="1">
      <c r="D105" s="2054"/>
      <c r="E105" s="2030" t="s">
        <v>3465</v>
      </c>
      <c r="H105" s="2037">
        <f>'Part II-Development Team'!H51</f>
        <v>0</v>
      </c>
      <c r="I105" s="2037"/>
      <c r="J105" s="2047">
        <f>'Part II-Development Team'!J51</f>
        <v>0</v>
      </c>
      <c r="K105" s="2038" t="s">
        <v>1843</v>
      </c>
      <c r="L105" s="2026">
        <f>'Part II-Development Team'!L51</f>
        <v>0</v>
      </c>
      <c r="M105" s="2026"/>
      <c r="N105" s="2026"/>
      <c r="O105" s="2026"/>
      <c r="P105" s="2026"/>
      <c r="Q105" s="2026"/>
      <c r="R105" s="2026"/>
      <c r="S105" s="2026"/>
      <c r="Z105" s="1624">
        <v>51</v>
      </c>
    </row>
    <row r="106" spans="1:26" s="378" customFormat="1" ht="6.75" customHeight="1">
      <c r="H106" s="2052"/>
      <c r="I106" s="2052"/>
      <c r="J106" s="2052"/>
      <c r="K106" s="2052"/>
      <c r="L106" s="2052"/>
      <c r="M106" s="2052"/>
      <c r="N106" s="2052"/>
      <c r="O106" s="2052"/>
      <c r="P106" s="2052"/>
      <c r="Q106" s="2052"/>
      <c r="R106" s="2052"/>
      <c r="S106" s="2052"/>
      <c r="Z106" s="1624">
        <v>52</v>
      </c>
    </row>
    <row r="107" spans="1:26" s="1821" customFormat="1" ht="13.35" customHeight="1">
      <c r="A107" s="1821" t="s">
        <v>689</v>
      </c>
      <c r="B107" s="1821" t="s">
        <v>606</v>
      </c>
      <c r="G107" s="1624"/>
      <c r="H107" s="2038"/>
      <c r="I107" s="2038"/>
      <c r="J107" s="2026"/>
      <c r="K107" s="2060" t="s">
        <v>3464</v>
      </c>
      <c r="L107" s="2026"/>
      <c r="M107" s="2026"/>
      <c r="N107" s="2026"/>
      <c r="O107" s="2026"/>
      <c r="P107" s="2026"/>
      <c r="Q107" s="2026"/>
      <c r="R107" s="2026"/>
      <c r="S107" s="2026"/>
      <c r="Z107" s="1624">
        <v>53</v>
      </c>
    </row>
    <row r="108" spans="1:26" s="1821" customFormat="1" ht="3" customHeight="1">
      <c r="G108" s="1624"/>
      <c r="H108" s="2037"/>
      <c r="I108" s="2037"/>
      <c r="J108" s="2037"/>
      <c r="K108" s="2038"/>
      <c r="L108" s="2037"/>
      <c r="M108" s="2037"/>
      <c r="N108" s="2038"/>
      <c r="O108" s="2037"/>
      <c r="P108" s="2037"/>
      <c r="Q108" s="2038"/>
      <c r="R108" s="2037"/>
      <c r="S108" s="2037"/>
      <c r="Z108" s="1624">
        <v>54</v>
      </c>
    </row>
    <row r="109" spans="1:26" s="1821" customFormat="1" ht="11.25" customHeight="1">
      <c r="B109" s="1821" t="s">
        <v>1842</v>
      </c>
      <c r="C109" s="1821" t="s">
        <v>270</v>
      </c>
      <c r="H109" s="2026">
        <f>'Part II-Development Team'!H55</f>
        <v>0</v>
      </c>
      <c r="I109" s="2052"/>
      <c r="J109" s="2052"/>
      <c r="K109" s="2052"/>
      <c r="L109" s="2052"/>
      <c r="M109" s="2052"/>
      <c r="N109" s="2052"/>
      <c r="O109" s="2053" t="s">
        <v>1848</v>
      </c>
      <c r="P109" s="2053"/>
      <c r="Q109" s="2026">
        <f>'Part II-Development Team'!Q55</f>
        <v>0</v>
      </c>
      <c r="R109" s="2052"/>
      <c r="S109" s="2052"/>
      <c r="Z109" s="1624">
        <v>55</v>
      </c>
    </row>
    <row r="110" spans="1:26" s="1821" customFormat="1" ht="11.25" customHeight="1">
      <c r="D110" s="2054"/>
      <c r="E110" s="2030" t="s">
        <v>958</v>
      </c>
      <c r="F110" s="2024"/>
      <c r="H110" s="2026">
        <f>'Part II-Development Team'!H56</f>
        <v>0</v>
      </c>
      <c r="I110" s="2052"/>
      <c r="J110" s="2052"/>
      <c r="K110" s="2052"/>
      <c r="L110" s="2052"/>
      <c r="M110" s="2052"/>
      <c r="N110" s="2052"/>
      <c r="O110" s="2053" t="s">
        <v>1625</v>
      </c>
      <c r="P110" s="2026"/>
      <c r="Q110" s="2026">
        <f>'Part II-Development Team'!Q56</f>
        <v>0</v>
      </c>
      <c r="R110" s="2052"/>
      <c r="S110" s="2052"/>
      <c r="Z110" s="1624">
        <v>56</v>
      </c>
    </row>
    <row r="111" spans="1:26" s="1821" customFormat="1" ht="11.25" customHeight="1">
      <c r="D111" s="2054"/>
      <c r="E111" s="2030" t="s">
        <v>575</v>
      </c>
      <c r="H111" s="2026">
        <f>'Part II-Development Team'!H57</f>
        <v>0</v>
      </c>
      <c r="I111" s="2052"/>
      <c r="J111" s="2052"/>
      <c r="K111" s="2038" t="s">
        <v>2460</v>
      </c>
      <c r="L111" s="2026">
        <f>'Part II-Development Team'!L57</f>
        <v>0</v>
      </c>
      <c r="M111" s="2052"/>
      <c r="N111" s="2052"/>
      <c r="O111" s="2053" t="s">
        <v>1601</v>
      </c>
      <c r="P111" s="2026"/>
      <c r="Q111" s="2037">
        <f>'Part II-Development Team'!Q57</f>
        <v>0</v>
      </c>
      <c r="R111" s="2037"/>
      <c r="S111" s="2037"/>
      <c r="Z111" s="1624">
        <v>57</v>
      </c>
    </row>
    <row r="112" spans="1:26" s="1821" customFormat="1" ht="11.25" customHeight="1">
      <c r="E112" s="2030" t="s">
        <v>1672</v>
      </c>
      <c r="H112" s="2053">
        <f>'Part II-Development Team'!H58</f>
        <v>0</v>
      </c>
      <c r="I112" s="2026"/>
      <c r="J112" s="2026"/>
      <c r="K112" s="2038" t="s">
        <v>2062</v>
      </c>
      <c r="L112" s="2036">
        <f>'Part II-Development Team'!L58</f>
        <v>0</v>
      </c>
      <c r="M112" s="2052"/>
      <c r="N112" s="2026"/>
      <c r="O112" s="2053" t="s">
        <v>1838</v>
      </c>
      <c r="P112" s="2026"/>
      <c r="Q112" s="2037">
        <f>'Part II-Development Team'!Q58</f>
        <v>0</v>
      </c>
      <c r="R112" s="2037"/>
      <c r="S112" s="2037"/>
      <c r="Z112" s="1624">
        <v>58</v>
      </c>
    </row>
    <row r="113" spans="2:26" s="1821" customFormat="1" ht="11.25" customHeight="1">
      <c r="D113" s="2054"/>
      <c r="E113" s="2030" t="s">
        <v>3465</v>
      </c>
      <c r="H113" s="2037">
        <f>'Part II-Development Team'!H59</f>
        <v>0</v>
      </c>
      <c r="I113" s="2037"/>
      <c r="J113" s="2047">
        <f>'Part II-Development Team'!J59</f>
        <v>0</v>
      </c>
      <c r="K113" s="2038" t="s">
        <v>1843</v>
      </c>
      <c r="L113" s="2026">
        <f>'Part II-Development Team'!L59</f>
        <v>0</v>
      </c>
      <c r="M113" s="2026"/>
      <c r="N113" s="2026"/>
      <c r="O113" s="2026"/>
      <c r="P113" s="2026"/>
      <c r="Q113" s="2026"/>
      <c r="R113" s="2026"/>
      <c r="S113" s="2026"/>
      <c r="Z113" s="1624">
        <v>59</v>
      </c>
    </row>
    <row r="114" spans="2:26" s="1821" customFormat="1" ht="6.6" customHeight="1">
      <c r="D114" s="2054"/>
      <c r="G114" s="2030"/>
      <c r="H114" s="2037"/>
      <c r="I114" s="2037"/>
      <c r="J114" s="2037"/>
      <c r="K114" s="2038"/>
      <c r="L114" s="2037"/>
      <c r="M114" s="2037"/>
      <c r="N114" s="2038"/>
      <c r="O114" s="2037"/>
      <c r="P114" s="2037"/>
      <c r="Q114" s="2038"/>
      <c r="R114" s="2037"/>
      <c r="S114" s="2037"/>
      <c r="Z114" s="1624">
        <v>60</v>
      </c>
    </row>
    <row r="115" spans="2:26" s="1821" customFormat="1" ht="11.25" customHeight="1">
      <c r="B115" s="1821" t="s">
        <v>1844</v>
      </c>
      <c r="C115" s="1821" t="s">
        <v>271</v>
      </c>
      <c r="H115" s="2026">
        <f>'Part II-Development Team'!H61</f>
        <v>0</v>
      </c>
      <c r="I115" s="2052"/>
      <c r="J115" s="2052"/>
      <c r="K115" s="2052"/>
      <c r="L115" s="2052"/>
      <c r="M115" s="2052"/>
      <c r="N115" s="2052"/>
      <c r="O115" s="2053" t="s">
        <v>1848</v>
      </c>
      <c r="P115" s="2053"/>
      <c r="Q115" s="2026">
        <f>'Part II-Development Team'!Q61</f>
        <v>0</v>
      </c>
      <c r="R115" s="2052"/>
      <c r="S115" s="2052"/>
      <c r="Z115" s="1624">
        <v>61</v>
      </c>
    </row>
    <row r="116" spans="2:26" s="1821" customFormat="1" ht="11.25" customHeight="1">
      <c r="D116" s="2054"/>
      <c r="E116" s="2030" t="s">
        <v>958</v>
      </c>
      <c r="F116" s="2024"/>
      <c r="H116" s="2026">
        <f>'Part II-Development Team'!H62</f>
        <v>0</v>
      </c>
      <c r="I116" s="2052"/>
      <c r="J116" s="2052"/>
      <c r="K116" s="2052"/>
      <c r="L116" s="2052"/>
      <c r="M116" s="2052"/>
      <c r="N116" s="2052"/>
      <c r="O116" s="2053" t="s">
        <v>1625</v>
      </c>
      <c r="P116" s="2026"/>
      <c r="Q116" s="2026">
        <f>'Part II-Development Team'!Q62</f>
        <v>0</v>
      </c>
      <c r="R116" s="2052"/>
      <c r="S116" s="2052"/>
      <c r="Z116" s="1624">
        <v>62</v>
      </c>
    </row>
    <row r="117" spans="2:26" s="1821" customFormat="1" ht="11.25" customHeight="1">
      <c r="D117" s="2054"/>
      <c r="E117" s="2030" t="s">
        <v>575</v>
      </c>
      <c r="H117" s="2026">
        <f>'Part II-Development Team'!H63</f>
        <v>0</v>
      </c>
      <c r="I117" s="2052"/>
      <c r="J117" s="2052"/>
      <c r="K117" s="2038" t="s">
        <v>2460</v>
      </c>
      <c r="L117" s="2026">
        <f>'Part II-Development Team'!L63</f>
        <v>0</v>
      </c>
      <c r="M117" s="2052"/>
      <c r="N117" s="2052"/>
      <c r="O117" s="2053" t="s">
        <v>1601</v>
      </c>
      <c r="P117" s="2026"/>
      <c r="Q117" s="2037">
        <f>'Part II-Development Team'!Q63</f>
        <v>0</v>
      </c>
      <c r="R117" s="2037"/>
      <c r="S117" s="2037"/>
      <c r="Z117" s="1624">
        <v>63</v>
      </c>
    </row>
    <row r="118" spans="2:26" s="1821" customFormat="1" ht="11.25" customHeight="1">
      <c r="E118" s="2030" t="s">
        <v>1672</v>
      </c>
      <c r="H118" s="2053">
        <f>'Part II-Development Team'!H64</f>
        <v>0</v>
      </c>
      <c r="I118" s="2026"/>
      <c r="J118" s="2026"/>
      <c r="K118" s="2038" t="s">
        <v>2062</v>
      </c>
      <c r="L118" s="2036">
        <f>'Part II-Development Team'!L64</f>
        <v>0</v>
      </c>
      <c r="M118" s="2052"/>
      <c r="N118" s="2026"/>
      <c r="O118" s="2053" t="s">
        <v>1838</v>
      </c>
      <c r="P118" s="2026"/>
      <c r="Q118" s="2037">
        <f>'Part II-Development Team'!Q64</f>
        <v>0</v>
      </c>
      <c r="R118" s="2037"/>
      <c r="S118" s="2037"/>
      <c r="Z118" s="1624">
        <v>64</v>
      </c>
    </row>
    <row r="119" spans="2:26" s="1821" customFormat="1" ht="11.25" customHeight="1">
      <c r="D119" s="2054"/>
      <c r="E119" s="2030" t="s">
        <v>3465</v>
      </c>
      <c r="H119" s="2037">
        <f>'Part II-Development Team'!H65</f>
        <v>0</v>
      </c>
      <c r="I119" s="2037"/>
      <c r="J119" s="2047">
        <f>'Part II-Development Team'!J65</f>
        <v>0</v>
      </c>
      <c r="K119" s="2038" t="s">
        <v>1843</v>
      </c>
      <c r="L119" s="2026">
        <f>'Part II-Development Team'!L65</f>
        <v>0</v>
      </c>
      <c r="M119" s="2026"/>
      <c r="N119" s="2026"/>
      <c r="O119" s="2026"/>
      <c r="P119" s="2026"/>
      <c r="Q119" s="2026"/>
      <c r="R119" s="2026"/>
      <c r="S119" s="2026"/>
      <c r="Z119" s="1624">
        <v>65</v>
      </c>
    </row>
    <row r="120" spans="2:26" s="1821" customFormat="1" ht="6.6" customHeight="1">
      <c r="D120" s="2054"/>
      <c r="G120" s="2030"/>
      <c r="H120" s="2037"/>
      <c r="I120" s="2037"/>
      <c r="J120" s="2037"/>
      <c r="K120" s="2038"/>
      <c r="L120" s="2037"/>
      <c r="M120" s="2037"/>
      <c r="N120" s="2038"/>
      <c r="O120" s="2037"/>
      <c r="P120" s="2037"/>
      <c r="Q120" s="2038"/>
      <c r="R120" s="2037"/>
      <c r="S120" s="2037"/>
      <c r="Z120" s="1624">
        <v>66</v>
      </c>
    </row>
    <row r="121" spans="2:26" s="1821" customFormat="1" ht="11.25" customHeight="1">
      <c r="B121" s="1821" t="s">
        <v>698</v>
      </c>
      <c r="C121" s="1821" t="s">
        <v>1431</v>
      </c>
      <c r="H121" s="2026">
        <f>'Part II-Development Team'!H67</f>
        <v>0</v>
      </c>
      <c r="I121" s="2052"/>
      <c r="J121" s="2052"/>
      <c r="K121" s="2052"/>
      <c r="L121" s="2052"/>
      <c r="M121" s="2052"/>
      <c r="N121" s="2052"/>
      <c r="O121" s="2053" t="s">
        <v>1848</v>
      </c>
      <c r="P121" s="2053"/>
      <c r="Q121" s="2026">
        <f>'Part II-Development Team'!Q67</f>
        <v>0</v>
      </c>
      <c r="R121" s="2052"/>
      <c r="S121" s="2052"/>
      <c r="Z121" s="1624">
        <v>67</v>
      </c>
    </row>
    <row r="122" spans="2:26" s="1821" customFormat="1" ht="11.25" customHeight="1">
      <c r="D122" s="2054"/>
      <c r="E122" s="2030" t="s">
        <v>958</v>
      </c>
      <c r="F122" s="2024"/>
      <c r="H122" s="2026">
        <f>'Part II-Development Team'!H68</f>
        <v>0</v>
      </c>
      <c r="I122" s="2052"/>
      <c r="J122" s="2052"/>
      <c r="K122" s="2052"/>
      <c r="L122" s="2052"/>
      <c r="M122" s="2052"/>
      <c r="N122" s="2052"/>
      <c r="O122" s="2053" t="s">
        <v>1625</v>
      </c>
      <c r="P122" s="2026"/>
      <c r="Q122" s="2026">
        <f>'Part II-Development Team'!Q68</f>
        <v>0</v>
      </c>
      <c r="R122" s="2052"/>
      <c r="S122" s="2052"/>
      <c r="Z122" s="1624">
        <v>68</v>
      </c>
    </row>
    <row r="123" spans="2:26" s="1821" customFormat="1" ht="11.25" customHeight="1">
      <c r="D123" s="2054"/>
      <c r="E123" s="2030" t="s">
        <v>575</v>
      </c>
      <c r="H123" s="2026">
        <f>'Part II-Development Team'!H69</f>
        <v>0</v>
      </c>
      <c r="I123" s="2052"/>
      <c r="J123" s="2052"/>
      <c r="K123" s="2038" t="s">
        <v>2460</v>
      </c>
      <c r="L123" s="2026">
        <f>'Part II-Development Team'!L69</f>
        <v>0</v>
      </c>
      <c r="M123" s="2052"/>
      <c r="N123" s="2052"/>
      <c r="O123" s="2053" t="s">
        <v>1601</v>
      </c>
      <c r="P123" s="2026"/>
      <c r="Q123" s="2037">
        <f>'Part II-Development Team'!Q69</f>
        <v>0</v>
      </c>
      <c r="R123" s="2037"/>
      <c r="S123" s="2037"/>
      <c r="Z123" s="1624">
        <v>69</v>
      </c>
    </row>
    <row r="124" spans="2:26" s="1821" customFormat="1" ht="11.25" customHeight="1">
      <c r="E124" s="2030" t="s">
        <v>1672</v>
      </c>
      <c r="H124" s="2053">
        <f>'Part II-Development Team'!H70</f>
        <v>0</v>
      </c>
      <c r="I124" s="2026"/>
      <c r="J124" s="2026"/>
      <c r="K124" s="2038" t="s">
        <v>2062</v>
      </c>
      <c r="L124" s="2036">
        <f>'Part II-Development Team'!L70</f>
        <v>0</v>
      </c>
      <c r="M124" s="2052"/>
      <c r="N124" s="2026"/>
      <c r="O124" s="2053" t="s">
        <v>1838</v>
      </c>
      <c r="P124" s="2026"/>
      <c r="Q124" s="2037">
        <f>'Part II-Development Team'!Q70</f>
        <v>0</v>
      </c>
      <c r="R124" s="2037"/>
      <c r="S124" s="2037"/>
      <c r="Z124" s="1624">
        <v>70</v>
      </c>
    </row>
    <row r="125" spans="2:26" s="1821" customFormat="1" ht="11.25" customHeight="1">
      <c r="D125" s="2054"/>
      <c r="E125" s="2030" t="s">
        <v>3465</v>
      </c>
      <c r="H125" s="2037">
        <f>'Part II-Development Team'!H71</f>
        <v>0</v>
      </c>
      <c r="I125" s="2037"/>
      <c r="J125" s="2047">
        <f>'Part II-Development Team'!J71</f>
        <v>0</v>
      </c>
      <c r="K125" s="2038" t="s">
        <v>1843</v>
      </c>
      <c r="L125" s="2026">
        <f>'Part II-Development Team'!L71</f>
        <v>0</v>
      </c>
      <c r="M125" s="2026"/>
      <c r="N125" s="2026"/>
      <c r="O125" s="2026"/>
      <c r="P125" s="2026"/>
      <c r="Q125" s="2026"/>
      <c r="R125" s="2026"/>
      <c r="S125" s="2026"/>
      <c r="Z125" s="1624">
        <v>71</v>
      </c>
    </row>
    <row r="126" spans="2:26" s="378" customFormat="1" ht="6.6" customHeight="1">
      <c r="H126" s="2037"/>
      <c r="I126" s="2037"/>
      <c r="J126" s="2037"/>
      <c r="K126" s="2038"/>
      <c r="L126" s="2037"/>
      <c r="M126" s="2037"/>
      <c r="N126" s="2038"/>
      <c r="O126" s="2037"/>
      <c r="P126" s="2037"/>
      <c r="Q126" s="2038"/>
      <c r="R126" s="2037"/>
      <c r="S126" s="2037"/>
      <c r="Z126" s="1624">
        <v>72</v>
      </c>
    </row>
    <row r="127" spans="2:26" s="1821" customFormat="1" ht="11.25" customHeight="1">
      <c r="B127" s="1821" t="s">
        <v>1963</v>
      </c>
      <c r="C127" s="1821" t="s">
        <v>272</v>
      </c>
      <c r="H127" s="2026">
        <f>'Part II-Development Team'!H73</f>
        <v>0</v>
      </c>
      <c r="I127" s="2052"/>
      <c r="J127" s="2052"/>
      <c r="K127" s="2052"/>
      <c r="L127" s="2052"/>
      <c r="M127" s="2052"/>
      <c r="N127" s="2052"/>
      <c r="O127" s="2053" t="s">
        <v>1848</v>
      </c>
      <c r="P127" s="2053"/>
      <c r="Q127" s="2026">
        <f>'Part II-Development Team'!Q73</f>
        <v>0</v>
      </c>
      <c r="R127" s="2052"/>
      <c r="S127" s="2052"/>
      <c r="Z127" s="1624">
        <v>73</v>
      </c>
    </row>
    <row r="128" spans="2:26" s="1821" customFormat="1" ht="11.25" customHeight="1">
      <c r="D128" s="2054"/>
      <c r="E128" s="2030" t="s">
        <v>958</v>
      </c>
      <c r="F128" s="2024"/>
      <c r="H128" s="2026">
        <f>'Part II-Development Team'!H74</f>
        <v>0</v>
      </c>
      <c r="I128" s="2052"/>
      <c r="J128" s="2052"/>
      <c r="K128" s="2052"/>
      <c r="L128" s="2052"/>
      <c r="M128" s="2052"/>
      <c r="N128" s="2052"/>
      <c r="O128" s="2053" t="s">
        <v>1625</v>
      </c>
      <c r="P128" s="2026"/>
      <c r="Q128" s="2026">
        <f>'Part II-Development Team'!Q74</f>
        <v>0</v>
      </c>
      <c r="R128" s="2052"/>
      <c r="S128" s="2052"/>
      <c r="Z128" s="1624">
        <v>74</v>
      </c>
    </row>
    <row r="129" spans="1:26" s="1821" customFormat="1" ht="11.25" customHeight="1">
      <c r="D129" s="2054"/>
      <c r="E129" s="2030" t="s">
        <v>575</v>
      </c>
      <c r="H129" s="2026">
        <f>'Part II-Development Team'!H75</f>
        <v>0</v>
      </c>
      <c r="I129" s="2052"/>
      <c r="J129" s="2052"/>
      <c r="K129" s="2038" t="s">
        <v>2460</v>
      </c>
      <c r="L129" s="2026">
        <f>'Part II-Development Team'!L75</f>
        <v>0</v>
      </c>
      <c r="M129" s="2052"/>
      <c r="N129" s="2052"/>
      <c r="O129" s="2053" t="s">
        <v>1601</v>
      </c>
      <c r="P129" s="2026"/>
      <c r="Q129" s="2037">
        <f>'Part II-Development Team'!Q75</f>
        <v>0</v>
      </c>
      <c r="R129" s="2037"/>
      <c r="S129" s="2037"/>
      <c r="Z129" s="1624">
        <v>75</v>
      </c>
    </row>
    <row r="130" spans="1:26" s="1821" customFormat="1" ht="11.25" customHeight="1">
      <c r="E130" s="2030" t="s">
        <v>1672</v>
      </c>
      <c r="H130" s="2053">
        <f>'Part II-Development Team'!H76</f>
        <v>0</v>
      </c>
      <c r="I130" s="2026"/>
      <c r="J130" s="2026"/>
      <c r="K130" s="2038" t="s">
        <v>2062</v>
      </c>
      <c r="L130" s="2036">
        <f>'Part II-Development Team'!L76</f>
        <v>0</v>
      </c>
      <c r="M130" s="2052"/>
      <c r="N130" s="2026"/>
      <c r="O130" s="2053" t="s">
        <v>1838</v>
      </c>
      <c r="P130" s="2026"/>
      <c r="Q130" s="2037">
        <f>'Part II-Development Team'!Q76</f>
        <v>0</v>
      </c>
      <c r="R130" s="2037"/>
      <c r="S130" s="2037"/>
      <c r="Z130" s="1624">
        <v>76</v>
      </c>
    </row>
    <row r="131" spans="1:26" s="1821" customFormat="1" ht="11.25" customHeight="1">
      <c r="D131" s="2054"/>
      <c r="E131" s="2030" t="s">
        <v>3465</v>
      </c>
      <c r="H131" s="2037">
        <f>'Part II-Development Team'!H77</f>
        <v>0</v>
      </c>
      <c r="I131" s="2037"/>
      <c r="J131" s="2047">
        <f>'Part II-Development Team'!J77</f>
        <v>0</v>
      </c>
      <c r="K131" s="2038" t="s">
        <v>1843</v>
      </c>
      <c r="L131" s="2026">
        <f>'Part II-Development Team'!L77</f>
        <v>0</v>
      </c>
      <c r="M131" s="2026"/>
      <c r="N131" s="2026"/>
      <c r="O131" s="2026"/>
      <c r="P131" s="2026"/>
      <c r="Q131" s="2026"/>
      <c r="R131" s="2026"/>
      <c r="S131" s="2026"/>
      <c r="Z131" s="1624">
        <v>77</v>
      </c>
    </row>
    <row r="132" spans="1:26" s="378" customFormat="1" ht="6.75" customHeight="1">
      <c r="H132" s="2052"/>
      <c r="I132" s="2052"/>
      <c r="J132" s="2052"/>
      <c r="K132" s="2052"/>
      <c r="L132" s="2052"/>
      <c r="M132" s="2052"/>
      <c r="N132" s="2052"/>
      <c r="O132" s="2052"/>
      <c r="P132" s="2052"/>
      <c r="Q132" s="2052"/>
      <c r="R132" s="2052"/>
      <c r="S132" s="2052"/>
      <c r="Z132" s="1624">
        <v>78</v>
      </c>
    </row>
    <row r="133" spans="1:26" s="2030" customFormat="1" ht="13.35" customHeight="1">
      <c r="A133" s="2030" t="s">
        <v>691</v>
      </c>
      <c r="B133" s="2030" t="s">
        <v>273</v>
      </c>
      <c r="H133" s="2053"/>
      <c r="I133" s="2053"/>
      <c r="J133" s="2053"/>
      <c r="K133" s="2060" t="s">
        <v>3464</v>
      </c>
      <c r="L133" s="2053"/>
      <c r="M133" s="2053"/>
      <c r="N133" s="2053"/>
      <c r="O133" s="2053"/>
      <c r="P133" s="2053"/>
      <c r="Q133" s="2053"/>
      <c r="R133" s="2053"/>
      <c r="S133" s="2053"/>
      <c r="Z133" s="1624">
        <v>79</v>
      </c>
    </row>
    <row r="134" spans="1:26" s="2030" customFormat="1" ht="3" customHeight="1">
      <c r="H134" s="2037"/>
      <c r="I134" s="2037"/>
      <c r="J134" s="2037"/>
      <c r="K134" s="2038"/>
      <c r="L134" s="2037"/>
      <c r="M134" s="2037"/>
      <c r="N134" s="2038"/>
      <c r="O134" s="2037"/>
      <c r="P134" s="2037"/>
      <c r="Q134" s="2038"/>
      <c r="R134" s="2037"/>
      <c r="S134" s="2037"/>
      <c r="Z134" s="1624">
        <v>80</v>
      </c>
    </row>
    <row r="135" spans="1:26" s="1821" customFormat="1" ht="11.25" customHeight="1">
      <c r="B135" s="1821" t="s">
        <v>1842</v>
      </c>
      <c r="C135" s="1821" t="s">
        <v>274</v>
      </c>
      <c r="H135" s="2026">
        <f>'Part II-Development Team'!H81</f>
        <v>0</v>
      </c>
      <c r="I135" s="2052"/>
      <c r="J135" s="2052"/>
      <c r="K135" s="2052"/>
      <c r="L135" s="2052"/>
      <c r="M135" s="2052"/>
      <c r="N135" s="2052"/>
      <c r="O135" s="2053" t="s">
        <v>1848</v>
      </c>
      <c r="P135" s="2053"/>
      <c r="Q135" s="2026">
        <f>'Part II-Development Team'!Q81</f>
        <v>0</v>
      </c>
      <c r="R135" s="2052"/>
      <c r="S135" s="2052"/>
      <c r="Z135" s="1624">
        <v>81</v>
      </c>
    </row>
    <row r="136" spans="1:26" s="1821" customFormat="1" ht="11.25" customHeight="1">
      <c r="D136" s="2054"/>
      <c r="E136" s="2030" t="s">
        <v>958</v>
      </c>
      <c r="F136" s="2024"/>
      <c r="H136" s="2026">
        <f>'Part II-Development Team'!H82</f>
        <v>0</v>
      </c>
      <c r="I136" s="2052"/>
      <c r="J136" s="2052"/>
      <c r="K136" s="2052"/>
      <c r="L136" s="2052"/>
      <c r="M136" s="2052"/>
      <c r="N136" s="2052"/>
      <c r="O136" s="2053" t="s">
        <v>1625</v>
      </c>
      <c r="P136" s="2026"/>
      <c r="Q136" s="2026">
        <f>'Part II-Development Team'!Q82</f>
        <v>0</v>
      </c>
      <c r="R136" s="2052"/>
      <c r="S136" s="2052"/>
      <c r="Z136" s="1624">
        <v>82</v>
      </c>
    </row>
    <row r="137" spans="1:26" s="1821" customFormat="1" ht="11.25" customHeight="1">
      <c r="D137" s="2054"/>
      <c r="E137" s="2030" t="s">
        <v>575</v>
      </c>
      <c r="H137" s="2026">
        <f>'Part II-Development Team'!H83</f>
        <v>0</v>
      </c>
      <c r="I137" s="2052"/>
      <c r="J137" s="2052"/>
      <c r="K137" s="2038" t="s">
        <v>2460</v>
      </c>
      <c r="L137" s="2026">
        <f>'Part II-Development Team'!L83</f>
        <v>0</v>
      </c>
      <c r="M137" s="2052"/>
      <c r="N137" s="2052"/>
      <c r="O137" s="2053" t="s">
        <v>1601</v>
      </c>
      <c r="P137" s="2026"/>
      <c r="Q137" s="2037">
        <f>'Part II-Development Team'!Q83</f>
        <v>0</v>
      </c>
      <c r="R137" s="2037"/>
      <c r="S137" s="2037"/>
      <c r="Z137" s="1624">
        <v>83</v>
      </c>
    </row>
    <row r="138" spans="1:26" s="1821" customFormat="1" ht="11.25" customHeight="1">
      <c r="E138" s="2030" t="s">
        <v>1672</v>
      </c>
      <c r="H138" s="2053">
        <f>'Part II-Development Team'!H84</f>
        <v>0</v>
      </c>
      <c r="I138" s="2026"/>
      <c r="J138" s="2026"/>
      <c r="K138" s="2038" t="s">
        <v>2062</v>
      </c>
      <c r="L138" s="2036">
        <f>'Part II-Development Team'!L84</f>
        <v>0</v>
      </c>
      <c r="M138" s="2052"/>
      <c r="N138" s="2026"/>
      <c r="O138" s="2053" t="s">
        <v>1838</v>
      </c>
      <c r="P138" s="2026"/>
      <c r="Q138" s="2037">
        <f>'Part II-Development Team'!Q84</f>
        <v>0</v>
      </c>
      <c r="R138" s="2037"/>
      <c r="S138" s="2037"/>
      <c r="Z138" s="1624">
        <v>84</v>
      </c>
    </row>
    <row r="139" spans="1:26" s="1821" customFormat="1" ht="11.25" customHeight="1">
      <c r="D139" s="2054"/>
      <c r="E139" s="2030" t="s">
        <v>3465</v>
      </c>
      <c r="H139" s="2037">
        <f>'Part II-Development Team'!H85</f>
        <v>0</v>
      </c>
      <c r="I139" s="2037"/>
      <c r="J139" s="2047">
        <f>'Part II-Development Team'!J85</f>
        <v>0</v>
      </c>
      <c r="K139" s="2038" t="s">
        <v>1843</v>
      </c>
      <c r="L139" s="2026">
        <f>'Part II-Development Team'!L85</f>
        <v>0</v>
      </c>
      <c r="M139" s="2026"/>
      <c r="N139" s="2026"/>
      <c r="O139" s="2026"/>
      <c r="P139" s="2026"/>
      <c r="Q139" s="2026"/>
      <c r="R139" s="2026"/>
      <c r="S139" s="2026"/>
      <c r="Z139" s="1624">
        <v>85</v>
      </c>
    </row>
    <row r="140" spans="1:26" s="378" customFormat="1" ht="6.6" customHeight="1">
      <c r="H140" s="2037"/>
      <c r="I140" s="2037"/>
      <c r="J140" s="2037"/>
      <c r="K140" s="2038"/>
      <c r="L140" s="2037"/>
      <c r="M140" s="2037"/>
      <c r="N140" s="2038"/>
      <c r="O140" s="2037"/>
      <c r="P140" s="2037"/>
      <c r="Q140" s="2038"/>
      <c r="R140" s="2037"/>
      <c r="S140" s="2037"/>
      <c r="Z140" s="1624">
        <v>86</v>
      </c>
    </row>
    <row r="141" spans="1:26" s="1821" customFormat="1" ht="11.25" customHeight="1">
      <c r="B141" s="1821" t="s">
        <v>1844</v>
      </c>
      <c r="C141" s="1821" t="s">
        <v>275</v>
      </c>
      <c r="H141" s="2026">
        <f>'Part II-Development Team'!H87</f>
        <v>0</v>
      </c>
      <c r="I141" s="2052"/>
      <c r="J141" s="2052"/>
      <c r="K141" s="2052"/>
      <c r="L141" s="2052"/>
      <c r="M141" s="2052"/>
      <c r="N141" s="2052"/>
      <c r="O141" s="2053" t="s">
        <v>1848</v>
      </c>
      <c r="P141" s="2053"/>
      <c r="Q141" s="2026">
        <f>'Part II-Development Team'!Q87</f>
        <v>0</v>
      </c>
      <c r="R141" s="2052"/>
      <c r="S141" s="2052"/>
      <c r="Z141" s="1624">
        <v>87</v>
      </c>
    </row>
    <row r="142" spans="1:26" s="1821" customFormat="1" ht="11.25" customHeight="1">
      <c r="D142" s="2054"/>
      <c r="E142" s="2030" t="s">
        <v>958</v>
      </c>
      <c r="F142" s="2024"/>
      <c r="H142" s="2026">
        <f>'Part II-Development Team'!H88</f>
        <v>0</v>
      </c>
      <c r="I142" s="2052"/>
      <c r="J142" s="2052"/>
      <c r="K142" s="2052"/>
      <c r="L142" s="2052"/>
      <c r="M142" s="2052"/>
      <c r="N142" s="2052"/>
      <c r="O142" s="2053" t="s">
        <v>1625</v>
      </c>
      <c r="P142" s="2026"/>
      <c r="Q142" s="2026">
        <f>'Part II-Development Team'!Q88</f>
        <v>0</v>
      </c>
      <c r="R142" s="2052"/>
      <c r="S142" s="2052"/>
      <c r="Z142" s="1624">
        <v>88</v>
      </c>
    </row>
    <row r="143" spans="1:26" s="1821" customFormat="1" ht="11.25" customHeight="1">
      <c r="D143" s="2054"/>
      <c r="E143" s="2030" t="s">
        <v>575</v>
      </c>
      <c r="H143" s="2026">
        <f>'Part II-Development Team'!H89</f>
        <v>0</v>
      </c>
      <c r="I143" s="2052"/>
      <c r="J143" s="2052"/>
      <c r="K143" s="2038" t="s">
        <v>2460</v>
      </c>
      <c r="L143" s="2026">
        <f>'Part II-Development Team'!L89</f>
        <v>0</v>
      </c>
      <c r="M143" s="2052"/>
      <c r="N143" s="2052"/>
      <c r="O143" s="2053" t="s">
        <v>1601</v>
      </c>
      <c r="P143" s="2026"/>
      <c r="Q143" s="2037">
        <f>'Part II-Development Team'!Q89</f>
        <v>0</v>
      </c>
      <c r="R143" s="2037"/>
      <c r="S143" s="2037"/>
      <c r="Z143" s="1624">
        <v>89</v>
      </c>
    </row>
    <row r="144" spans="1:26" s="1821" customFormat="1" ht="11.25" customHeight="1">
      <c r="E144" s="2030" t="s">
        <v>1672</v>
      </c>
      <c r="H144" s="2053">
        <f>'Part II-Development Team'!H90</f>
        <v>0</v>
      </c>
      <c r="I144" s="2026"/>
      <c r="J144" s="2026"/>
      <c r="K144" s="2038" t="s">
        <v>2062</v>
      </c>
      <c r="L144" s="2036">
        <f>'Part II-Development Team'!L90</f>
        <v>0</v>
      </c>
      <c r="M144" s="2052"/>
      <c r="N144" s="2026"/>
      <c r="O144" s="2053" t="s">
        <v>1838</v>
      </c>
      <c r="P144" s="2026"/>
      <c r="Q144" s="2037">
        <f>'Part II-Development Team'!Q90</f>
        <v>0</v>
      </c>
      <c r="R144" s="2037"/>
      <c r="S144" s="2037"/>
      <c r="Z144" s="1624">
        <v>90</v>
      </c>
    </row>
    <row r="145" spans="2:26" s="1821" customFormat="1" ht="11.25" customHeight="1">
      <c r="D145" s="2054"/>
      <c r="E145" s="2030" t="s">
        <v>3465</v>
      </c>
      <c r="H145" s="2037">
        <f>'Part II-Development Team'!H91</f>
        <v>0</v>
      </c>
      <c r="I145" s="2037"/>
      <c r="J145" s="2047">
        <f>'Part II-Development Team'!J91</f>
        <v>0</v>
      </c>
      <c r="K145" s="2038" t="s">
        <v>1843</v>
      </c>
      <c r="L145" s="2026">
        <f>'Part II-Development Team'!L91</f>
        <v>0</v>
      </c>
      <c r="M145" s="2026"/>
      <c r="N145" s="2026"/>
      <c r="O145" s="2026"/>
      <c r="P145" s="2026"/>
      <c r="Q145" s="2026"/>
      <c r="R145" s="2026"/>
      <c r="S145" s="2026"/>
      <c r="Z145" s="1624">
        <v>91</v>
      </c>
    </row>
    <row r="146" spans="2:26" s="378" customFormat="1" ht="6.6" customHeight="1">
      <c r="H146" s="2037"/>
      <c r="I146" s="2037"/>
      <c r="J146" s="2037"/>
      <c r="K146" s="2038"/>
      <c r="L146" s="2037"/>
      <c r="M146" s="2037"/>
      <c r="N146" s="2038"/>
      <c r="O146" s="2037"/>
      <c r="P146" s="2037"/>
      <c r="Q146" s="2038"/>
      <c r="R146" s="2037"/>
      <c r="S146" s="2037"/>
      <c r="Z146" s="1624">
        <v>92</v>
      </c>
    </row>
    <row r="147" spans="2:26" s="1821" customFormat="1" ht="11.25" customHeight="1">
      <c r="B147" s="1821" t="s">
        <v>698</v>
      </c>
      <c r="C147" s="1821" t="s">
        <v>276</v>
      </c>
      <c r="F147" s="378"/>
      <c r="H147" s="2026">
        <f>'Part II-Development Team'!H93</f>
        <v>0</v>
      </c>
      <c r="I147" s="2052"/>
      <c r="J147" s="2052"/>
      <c r="K147" s="2052"/>
      <c r="L147" s="2052"/>
      <c r="M147" s="2052"/>
      <c r="N147" s="2052"/>
      <c r="O147" s="2053" t="s">
        <v>1848</v>
      </c>
      <c r="P147" s="2053"/>
      <c r="Q147" s="2026">
        <f>'Part II-Development Team'!Q93</f>
        <v>0</v>
      </c>
      <c r="R147" s="2052"/>
      <c r="S147" s="2052"/>
      <c r="Z147" s="1624">
        <v>93</v>
      </c>
    </row>
    <row r="148" spans="2:26" s="1821" customFormat="1" ht="11.25" customHeight="1">
      <c r="D148" s="2054"/>
      <c r="E148" s="2030" t="s">
        <v>958</v>
      </c>
      <c r="F148" s="2024"/>
      <c r="H148" s="2026">
        <f>'Part II-Development Team'!H94</f>
        <v>0</v>
      </c>
      <c r="I148" s="2052"/>
      <c r="J148" s="2052"/>
      <c r="K148" s="2052"/>
      <c r="L148" s="2052"/>
      <c r="M148" s="2052"/>
      <c r="N148" s="2052"/>
      <c r="O148" s="2053" t="s">
        <v>1625</v>
      </c>
      <c r="P148" s="2026"/>
      <c r="Q148" s="2026">
        <f>'Part II-Development Team'!Q94</f>
        <v>0</v>
      </c>
      <c r="R148" s="2052"/>
      <c r="S148" s="2052"/>
      <c r="Z148" s="1624">
        <v>94</v>
      </c>
    </row>
    <row r="149" spans="2:26" s="1821" customFormat="1" ht="11.25" customHeight="1">
      <c r="D149" s="2054"/>
      <c r="E149" s="2030" t="s">
        <v>575</v>
      </c>
      <c r="H149" s="2026">
        <f>'Part II-Development Team'!H95</f>
        <v>0</v>
      </c>
      <c r="I149" s="2052"/>
      <c r="J149" s="2052"/>
      <c r="K149" s="2038" t="s">
        <v>2460</v>
      </c>
      <c r="L149" s="2026">
        <f>'Part II-Development Team'!L95</f>
        <v>0</v>
      </c>
      <c r="M149" s="2052"/>
      <c r="N149" s="2052"/>
      <c r="O149" s="2053" t="s">
        <v>1601</v>
      </c>
      <c r="P149" s="2026"/>
      <c r="Q149" s="2037">
        <f>'Part II-Development Team'!Q95</f>
        <v>0</v>
      </c>
      <c r="R149" s="2037"/>
      <c r="S149" s="2037"/>
      <c r="Z149" s="1624">
        <v>95</v>
      </c>
    </row>
    <row r="150" spans="2:26" s="1821" customFormat="1" ht="11.25" customHeight="1">
      <c r="D150" s="2054"/>
      <c r="E150" s="2030" t="s">
        <v>1672</v>
      </c>
      <c r="H150" s="2053">
        <f>'Part II-Development Team'!H96</f>
        <v>0</v>
      </c>
      <c r="I150" s="2026"/>
      <c r="J150" s="2026"/>
      <c r="K150" s="2038" t="s">
        <v>2062</v>
      </c>
      <c r="L150" s="2036">
        <f>'Part II-Development Team'!L96</f>
        <v>0</v>
      </c>
      <c r="M150" s="2052"/>
      <c r="N150" s="2026"/>
      <c r="O150" s="2053" t="s">
        <v>1838</v>
      </c>
      <c r="P150" s="2026"/>
      <c r="Q150" s="2037">
        <f>'Part II-Development Team'!Q96</f>
        <v>0</v>
      </c>
      <c r="R150" s="2037"/>
      <c r="S150" s="2037"/>
      <c r="Z150" s="1624">
        <v>96</v>
      </c>
    </row>
    <row r="151" spans="2:26" s="1821" customFormat="1" ht="11.25" customHeight="1">
      <c r="D151" s="2054"/>
      <c r="E151" s="2030" t="s">
        <v>3465</v>
      </c>
      <c r="H151" s="2037">
        <f>'Part II-Development Team'!H97</f>
        <v>0</v>
      </c>
      <c r="I151" s="2037"/>
      <c r="J151" s="2047">
        <f>'Part II-Development Team'!J97</f>
        <v>0</v>
      </c>
      <c r="K151" s="2038" t="s">
        <v>1843</v>
      </c>
      <c r="L151" s="2026">
        <f>'Part II-Development Team'!L97</f>
        <v>0</v>
      </c>
      <c r="M151" s="2026"/>
      <c r="N151" s="2026"/>
      <c r="O151" s="2026"/>
      <c r="P151" s="2026"/>
      <c r="Q151" s="2026"/>
      <c r="R151" s="2026"/>
      <c r="S151" s="2026"/>
      <c r="Z151" s="1624">
        <v>97</v>
      </c>
    </row>
    <row r="152" spans="2:26" s="378" customFormat="1" ht="6.6" customHeight="1">
      <c r="H152" s="2037"/>
      <c r="I152" s="2037"/>
      <c r="J152" s="2037"/>
      <c r="K152" s="2038"/>
      <c r="L152" s="2037"/>
      <c r="M152" s="2037"/>
      <c r="N152" s="2038"/>
      <c r="O152" s="2037"/>
      <c r="P152" s="2037"/>
      <c r="Q152" s="2038"/>
      <c r="R152" s="2037"/>
      <c r="S152" s="2037"/>
      <c r="Z152" s="1624">
        <v>98</v>
      </c>
    </row>
    <row r="153" spans="2:26" s="1821" customFormat="1" ht="11.25" customHeight="1">
      <c r="B153" s="1821" t="s">
        <v>1963</v>
      </c>
      <c r="C153" s="1821" t="s">
        <v>277</v>
      </c>
      <c r="H153" s="2026">
        <f>'Part II-Development Team'!H99</f>
        <v>0</v>
      </c>
      <c r="I153" s="2052"/>
      <c r="J153" s="2052"/>
      <c r="K153" s="2052"/>
      <c r="L153" s="2052"/>
      <c r="M153" s="2052"/>
      <c r="N153" s="2052"/>
      <c r="O153" s="2053" t="s">
        <v>1848</v>
      </c>
      <c r="P153" s="2053"/>
      <c r="Q153" s="2026">
        <f>'Part II-Development Team'!Q99</f>
        <v>0</v>
      </c>
      <c r="R153" s="2052"/>
      <c r="S153" s="2052"/>
      <c r="Z153" s="1624">
        <v>99</v>
      </c>
    </row>
    <row r="154" spans="2:26" s="1821" customFormat="1" ht="11.25" customHeight="1">
      <c r="D154" s="2054"/>
      <c r="E154" s="2030" t="s">
        <v>958</v>
      </c>
      <c r="F154" s="2024"/>
      <c r="H154" s="2026">
        <f>'Part II-Development Team'!H100</f>
        <v>0</v>
      </c>
      <c r="I154" s="2052"/>
      <c r="J154" s="2052"/>
      <c r="K154" s="2052"/>
      <c r="L154" s="2052"/>
      <c r="M154" s="2052"/>
      <c r="N154" s="2052"/>
      <c r="O154" s="2053" t="s">
        <v>1625</v>
      </c>
      <c r="P154" s="2026"/>
      <c r="Q154" s="2026">
        <f>'Part II-Development Team'!Q100</f>
        <v>0</v>
      </c>
      <c r="R154" s="2052"/>
      <c r="S154" s="2052"/>
      <c r="Z154" s="1624">
        <v>100</v>
      </c>
    </row>
    <row r="155" spans="2:26" s="1821" customFormat="1" ht="11.25" customHeight="1">
      <c r="D155" s="2054"/>
      <c r="E155" s="2030" t="s">
        <v>575</v>
      </c>
      <c r="H155" s="2026">
        <f>'Part II-Development Team'!H101</f>
        <v>0</v>
      </c>
      <c r="I155" s="2052"/>
      <c r="J155" s="2052"/>
      <c r="K155" s="2038" t="s">
        <v>2460</v>
      </c>
      <c r="L155" s="2026">
        <f>'Part II-Development Team'!L101</f>
        <v>0</v>
      </c>
      <c r="M155" s="2052"/>
      <c r="N155" s="2052"/>
      <c r="O155" s="2053" t="s">
        <v>1601</v>
      </c>
      <c r="P155" s="2026"/>
      <c r="Q155" s="2037">
        <f>'Part II-Development Team'!Q101</f>
        <v>0</v>
      </c>
      <c r="R155" s="2037"/>
      <c r="S155" s="2037"/>
      <c r="Z155" s="1624">
        <v>101</v>
      </c>
    </row>
    <row r="156" spans="2:26" s="1821" customFormat="1" ht="11.25" customHeight="1">
      <c r="D156" s="2054"/>
      <c r="E156" s="2030" t="s">
        <v>1672</v>
      </c>
      <c r="H156" s="2053">
        <f>'Part II-Development Team'!H102</f>
        <v>0</v>
      </c>
      <c r="I156" s="2026"/>
      <c r="J156" s="2026"/>
      <c r="K156" s="2038" t="s">
        <v>2062</v>
      </c>
      <c r="L156" s="2036">
        <f>'Part II-Development Team'!L102</f>
        <v>0</v>
      </c>
      <c r="M156" s="2052"/>
      <c r="N156" s="2026"/>
      <c r="O156" s="2053" t="s">
        <v>1838</v>
      </c>
      <c r="P156" s="2026"/>
      <c r="Q156" s="2037">
        <f>'Part II-Development Team'!Q102</f>
        <v>0</v>
      </c>
      <c r="R156" s="2037"/>
      <c r="S156" s="2037"/>
      <c r="Z156" s="1624">
        <v>102</v>
      </c>
    </row>
    <row r="157" spans="2:26" s="378" customFormat="1" ht="11.25" customHeight="1">
      <c r="E157" s="2030" t="s">
        <v>3465</v>
      </c>
      <c r="F157" s="1821"/>
      <c r="G157" s="1821"/>
      <c r="H157" s="2037">
        <f>'Part II-Development Team'!H103</f>
        <v>0</v>
      </c>
      <c r="I157" s="2037"/>
      <c r="J157" s="2047">
        <f>'Part II-Development Team'!J103</f>
        <v>0</v>
      </c>
      <c r="K157" s="2038" t="s">
        <v>1843</v>
      </c>
      <c r="L157" s="2026">
        <f>'Part II-Development Team'!L103</f>
        <v>0</v>
      </c>
      <c r="M157" s="2026"/>
      <c r="N157" s="2026"/>
      <c r="O157" s="2026"/>
      <c r="P157" s="2026"/>
      <c r="Q157" s="2026"/>
      <c r="R157" s="2026"/>
      <c r="S157" s="2026"/>
      <c r="Z157" s="1624">
        <v>103</v>
      </c>
    </row>
    <row r="158" spans="2:26" s="378" customFormat="1" ht="6" customHeight="1">
      <c r="E158" s="2030"/>
      <c r="F158" s="1821"/>
      <c r="G158" s="1821"/>
      <c r="H158" s="2037"/>
      <c r="I158" s="2037"/>
      <c r="J158" s="2037"/>
      <c r="K158" s="2038"/>
      <c r="L158" s="2037"/>
      <c r="M158" s="2037"/>
      <c r="N158" s="2038"/>
      <c r="O158" s="2037"/>
      <c r="P158" s="2037"/>
      <c r="Q158" s="2038"/>
      <c r="R158" s="2037"/>
      <c r="S158" s="2037"/>
      <c r="Z158" s="1624">
        <v>104</v>
      </c>
    </row>
    <row r="159" spans="2:26" s="1821" customFormat="1" ht="11.25" customHeight="1">
      <c r="B159" s="1821" t="s">
        <v>1613</v>
      </c>
      <c r="C159" s="1821" t="s">
        <v>278</v>
      </c>
      <c r="H159" s="2026">
        <f>'Part II-Development Team'!H105</f>
        <v>0</v>
      </c>
      <c r="I159" s="2052"/>
      <c r="J159" s="2052"/>
      <c r="K159" s="2052"/>
      <c r="L159" s="2052"/>
      <c r="M159" s="2052"/>
      <c r="N159" s="2052"/>
      <c r="O159" s="2053" t="s">
        <v>1848</v>
      </c>
      <c r="P159" s="2053"/>
      <c r="Q159" s="2026">
        <f>'Part II-Development Team'!Q105</f>
        <v>0</v>
      </c>
      <c r="R159" s="2052"/>
      <c r="S159" s="2052"/>
      <c r="Z159" s="1624">
        <v>105</v>
      </c>
    </row>
    <row r="160" spans="2:26" s="1821" customFormat="1" ht="11.25" customHeight="1">
      <c r="D160" s="2054"/>
      <c r="E160" s="2030" t="s">
        <v>958</v>
      </c>
      <c r="F160" s="2024"/>
      <c r="H160" s="2026">
        <f>'Part II-Development Team'!H106</f>
        <v>0</v>
      </c>
      <c r="I160" s="2052"/>
      <c r="J160" s="2052"/>
      <c r="K160" s="2052"/>
      <c r="L160" s="2052"/>
      <c r="M160" s="2052"/>
      <c r="N160" s="2052"/>
      <c r="O160" s="2053" t="s">
        <v>1625</v>
      </c>
      <c r="P160" s="2026"/>
      <c r="Q160" s="2026">
        <f>'Part II-Development Team'!Q106</f>
        <v>0</v>
      </c>
      <c r="R160" s="2052"/>
      <c r="S160" s="2052"/>
      <c r="Z160" s="1624">
        <v>106</v>
      </c>
    </row>
    <row r="161" spans="1:26" s="1821" customFormat="1" ht="11.25" customHeight="1">
      <c r="D161" s="2054"/>
      <c r="E161" s="2030" t="s">
        <v>575</v>
      </c>
      <c r="H161" s="2026">
        <f>'Part II-Development Team'!H107</f>
        <v>0</v>
      </c>
      <c r="I161" s="2052"/>
      <c r="J161" s="2052"/>
      <c r="K161" s="2038" t="s">
        <v>2460</v>
      </c>
      <c r="L161" s="2026">
        <f>'Part II-Development Team'!L107</f>
        <v>0</v>
      </c>
      <c r="M161" s="2052"/>
      <c r="N161" s="2052"/>
      <c r="O161" s="2053" t="s">
        <v>1601</v>
      </c>
      <c r="P161" s="2026"/>
      <c r="Q161" s="2037">
        <f>'Part II-Development Team'!Q107</f>
        <v>0</v>
      </c>
      <c r="R161" s="2037"/>
      <c r="S161" s="2037"/>
      <c r="Z161" s="1624">
        <v>107</v>
      </c>
    </row>
    <row r="162" spans="1:26" s="1821" customFormat="1" ht="11.25" customHeight="1">
      <c r="D162" s="2054"/>
      <c r="E162" s="2030" t="s">
        <v>1672</v>
      </c>
      <c r="H162" s="2053">
        <f>'Part II-Development Team'!H108</f>
        <v>0</v>
      </c>
      <c r="I162" s="2026"/>
      <c r="J162" s="2026"/>
      <c r="K162" s="2038" t="s">
        <v>2062</v>
      </c>
      <c r="L162" s="2036">
        <f>'Part II-Development Team'!L108</f>
        <v>0</v>
      </c>
      <c r="M162" s="2052"/>
      <c r="N162" s="2026"/>
      <c r="O162" s="2053" t="s">
        <v>1838</v>
      </c>
      <c r="P162" s="2026"/>
      <c r="Q162" s="2037">
        <f>'Part II-Development Team'!Q108</f>
        <v>0</v>
      </c>
      <c r="R162" s="2037"/>
      <c r="S162" s="2037"/>
      <c r="Z162" s="1624">
        <v>108</v>
      </c>
    </row>
    <row r="163" spans="1:26" s="378" customFormat="1" ht="11.25" customHeight="1">
      <c r="E163" s="2030" t="s">
        <v>3465</v>
      </c>
      <c r="F163" s="1821"/>
      <c r="G163" s="1821"/>
      <c r="H163" s="2037">
        <f>'Part II-Development Team'!H109</f>
        <v>0</v>
      </c>
      <c r="I163" s="2037"/>
      <c r="J163" s="2047">
        <f>'Part II-Development Team'!J109</f>
        <v>0</v>
      </c>
      <c r="K163" s="2038" t="s">
        <v>1843</v>
      </c>
      <c r="L163" s="2026">
        <f>'Part II-Development Team'!L109</f>
        <v>0</v>
      </c>
      <c r="M163" s="2026"/>
      <c r="N163" s="2026"/>
      <c r="O163" s="2026"/>
      <c r="P163" s="2026"/>
      <c r="Q163" s="2026"/>
      <c r="R163" s="2026"/>
      <c r="S163" s="2026"/>
      <c r="Z163" s="1624">
        <v>109</v>
      </c>
    </row>
    <row r="164" spans="1:26" s="378" customFormat="1" ht="6.6" customHeight="1">
      <c r="E164" s="2030"/>
      <c r="F164" s="1821"/>
      <c r="G164" s="1821"/>
      <c r="H164" s="2037"/>
      <c r="I164" s="2037"/>
      <c r="J164" s="2037"/>
      <c r="K164" s="2038"/>
      <c r="L164" s="2037"/>
      <c r="M164" s="2037"/>
      <c r="N164" s="2038"/>
      <c r="O164" s="2037"/>
      <c r="P164" s="2037"/>
      <c r="Q164" s="2038"/>
      <c r="R164" s="2037"/>
      <c r="S164" s="2037"/>
      <c r="Z164" s="1624">
        <v>110</v>
      </c>
    </row>
    <row r="165" spans="1:26" s="1821" customFormat="1" ht="11.25" customHeight="1">
      <c r="B165" s="1821" t="s">
        <v>1614</v>
      </c>
      <c r="C165" s="1821" t="s">
        <v>279</v>
      </c>
      <c r="H165" s="2026">
        <f>'Part II-Development Team'!H111</f>
        <v>0</v>
      </c>
      <c r="I165" s="2052"/>
      <c r="J165" s="2052"/>
      <c r="K165" s="2052"/>
      <c r="L165" s="2052"/>
      <c r="M165" s="2052"/>
      <c r="N165" s="2052"/>
      <c r="O165" s="2053" t="s">
        <v>1848</v>
      </c>
      <c r="P165" s="2053"/>
      <c r="Q165" s="2026">
        <f>'Part II-Development Team'!Q111</f>
        <v>0</v>
      </c>
      <c r="R165" s="2052"/>
      <c r="S165" s="2052"/>
      <c r="Z165" s="1624">
        <v>111</v>
      </c>
    </row>
    <row r="166" spans="1:26" s="1821" customFormat="1" ht="11.25" customHeight="1">
      <c r="D166" s="2054"/>
      <c r="E166" s="2030" t="s">
        <v>958</v>
      </c>
      <c r="F166" s="2024"/>
      <c r="H166" s="2026">
        <f>'Part II-Development Team'!H112</f>
        <v>0</v>
      </c>
      <c r="I166" s="2052"/>
      <c r="J166" s="2052"/>
      <c r="K166" s="2052"/>
      <c r="L166" s="2052"/>
      <c r="M166" s="2052"/>
      <c r="N166" s="2052"/>
      <c r="O166" s="2053" t="s">
        <v>1625</v>
      </c>
      <c r="P166" s="2026"/>
      <c r="Q166" s="2026">
        <f>'Part II-Development Team'!Q112</f>
        <v>0</v>
      </c>
      <c r="R166" s="2052"/>
      <c r="S166" s="2052"/>
      <c r="Z166" s="1624">
        <v>112</v>
      </c>
    </row>
    <row r="167" spans="1:26" s="1821" customFormat="1" ht="11.25" customHeight="1">
      <c r="D167" s="2054"/>
      <c r="E167" s="2030" t="s">
        <v>575</v>
      </c>
      <c r="H167" s="2026">
        <f>'Part II-Development Team'!H113</f>
        <v>0</v>
      </c>
      <c r="I167" s="2052"/>
      <c r="J167" s="2052"/>
      <c r="K167" s="2038" t="s">
        <v>2460</v>
      </c>
      <c r="L167" s="2026">
        <f>'Part II-Development Team'!L113</f>
        <v>0</v>
      </c>
      <c r="M167" s="2052"/>
      <c r="N167" s="2052"/>
      <c r="O167" s="2053" t="s">
        <v>1601</v>
      </c>
      <c r="P167" s="2026"/>
      <c r="Q167" s="2037">
        <f>'Part II-Development Team'!Q113</f>
        <v>0</v>
      </c>
      <c r="R167" s="2037"/>
      <c r="S167" s="2037"/>
      <c r="Z167" s="1624">
        <v>113</v>
      </c>
    </row>
    <row r="168" spans="1:26" s="1821" customFormat="1" ht="11.25" customHeight="1">
      <c r="D168" s="2054"/>
      <c r="E168" s="2030" t="s">
        <v>1672</v>
      </c>
      <c r="H168" s="2053">
        <f>'Part II-Development Team'!H114</f>
        <v>0</v>
      </c>
      <c r="I168" s="2026"/>
      <c r="J168" s="2026"/>
      <c r="K168" s="2038" t="s">
        <v>2062</v>
      </c>
      <c r="L168" s="2036">
        <f>'Part II-Development Team'!L114</f>
        <v>0</v>
      </c>
      <c r="M168" s="2052"/>
      <c r="N168" s="2026"/>
      <c r="O168" s="2053" t="s">
        <v>1838</v>
      </c>
      <c r="P168" s="2026"/>
      <c r="Q168" s="2037">
        <f>'Part II-Development Team'!Q114</f>
        <v>0</v>
      </c>
      <c r="R168" s="2037"/>
      <c r="S168" s="2037"/>
      <c r="Z168" s="1624">
        <v>114</v>
      </c>
    </row>
    <row r="169" spans="1:26" s="1821" customFormat="1" ht="11.25" customHeight="1">
      <c r="D169" s="2054"/>
      <c r="E169" s="2030" t="s">
        <v>3465</v>
      </c>
      <c r="H169" s="2037">
        <f>'Part II-Development Team'!H115</f>
        <v>0</v>
      </c>
      <c r="I169" s="2037"/>
      <c r="J169" s="2047">
        <f>'Part II-Development Team'!J115</f>
        <v>0</v>
      </c>
      <c r="K169" s="2038" t="s">
        <v>1843</v>
      </c>
      <c r="L169" s="2026">
        <f>'Part II-Development Team'!L115</f>
        <v>0</v>
      </c>
      <c r="M169" s="2026"/>
      <c r="N169" s="2026"/>
      <c r="O169" s="2026"/>
      <c r="P169" s="2026"/>
      <c r="Q169" s="2026"/>
      <c r="R169" s="2026"/>
      <c r="S169" s="2026"/>
      <c r="Z169" s="1624">
        <v>115</v>
      </c>
    </row>
    <row r="170" spans="1:26" s="378" customFormat="1" ht="3" customHeight="1">
      <c r="H170" s="2052"/>
      <c r="I170" s="2052"/>
      <c r="J170" s="2052"/>
      <c r="K170" s="2052"/>
      <c r="L170" s="2052"/>
      <c r="M170" s="2052"/>
      <c r="N170" s="2052"/>
      <c r="O170" s="2052"/>
      <c r="P170" s="2052"/>
      <c r="Q170" s="2052"/>
      <c r="R170" s="2052"/>
      <c r="S170" s="2052"/>
      <c r="Z170" s="1624">
        <v>116</v>
      </c>
    </row>
    <row r="171" spans="1:26" s="1821" customFormat="1" ht="12" customHeight="1">
      <c r="A171" s="1821" t="s">
        <v>1667</v>
      </c>
      <c r="B171" s="1821" t="s">
        <v>2397</v>
      </c>
      <c r="G171" s="1624"/>
      <c r="H171" s="2038"/>
      <c r="I171" s="2038"/>
      <c r="J171" s="2038"/>
      <c r="K171" s="2038"/>
      <c r="L171" s="2038"/>
      <c r="M171" s="2038"/>
      <c r="N171" s="2038"/>
      <c r="O171" s="2038"/>
      <c r="P171" s="2038"/>
      <c r="Q171" s="2038"/>
      <c r="R171" s="2026"/>
      <c r="S171" s="2026"/>
      <c r="Z171" s="1624">
        <v>117</v>
      </c>
    </row>
    <row r="172" spans="1:26" s="1821" customFormat="1" ht="12" customHeight="1">
      <c r="B172" s="1821" t="s">
        <v>1842</v>
      </c>
      <c r="C172" s="1821" t="s">
        <v>6750</v>
      </c>
      <c r="G172" s="1624"/>
      <c r="H172" s="2038"/>
      <c r="I172" s="2038"/>
      <c r="J172" s="2038"/>
      <c r="K172" s="2038"/>
      <c r="L172" s="2038"/>
      <c r="M172" s="2038"/>
      <c r="N172" s="2038"/>
      <c r="O172" s="2038"/>
      <c r="P172" s="2038"/>
      <c r="Q172" s="2038"/>
      <c r="R172" s="2026"/>
      <c r="S172" s="2026"/>
      <c r="Z172" s="1624">
        <v>118</v>
      </c>
    </row>
    <row r="173" spans="1:26" s="378" customFormat="1" ht="2.25" customHeight="1">
      <c r="H173" s="2052"/>
      <c r="I173" s="2052"/>
      <c r="J173" s="2052"/>
      <c r="K173" s="2052"/>
      <c r="L173" s="2052"/>
      <c r="M173" s="2052"/>
      <c r="N173" s="2052"/>
      <c r="O173" s="2052"/>
      <c r="P173" s="2052"/>
      <c r="Q173" s="2052"/>
      <c r="R173" s="2052"/>
      <c r="S173" s="2052"/>
      <c r="Z173" s="1624">
        <v>119</v>
      </c>
    </row>
    <row r="174" spans="1:26" s="1821" customFormat="1" ht="11.25" customHeight="1">
      <c r="C174" s="2063" t="s">
        <v>1845</v>
      </c>
      <c r="D174" s="1821" t="s">
        <v>6828</v>
      </c>
      <c r="H174" s="2026">
        <f>'Part II-Development Team'!H120</f>
        <v>0</v>
      </c>
      <c r="I174" s="2026"/>
      <c r="J174" s="2026"/>
      <c r="K174" s="2038" t="s">
        <v>1671</v>
      </c>
      <c r="L174" s="2026">
        <f>'Part II-Development Team'!L120</f>
        <v>0</v>
      </c>
      <c r="M174" s="2052"/>
      <c r="N174" s="2052"/>
      <c r="O174" s="2053" t="s">
        <v>3144</v>
      </c>
      <c r="P174" s="2026"/>
      <c r="Q174" s="2037">
        <f>'Part II-Development Team'!Q120</f>
        <v>0</v>
      </c>
      <c r="R174" s="2064"/>
      <c r="S174" s="2064"/>
      <c r="Z174" s="1624">
        <v>120</v>
      </c>
    </row>
    <row r="175" spans="1:26" s="1821" customFormat="1" ht="11.25" customHeight="1">
      <c r="D175" s="2054"/>
      <c r="E175" s="2030" t="s">
        <v>6231</v>
      </c>
      <c r="F175" s="2024"/>
      <c r="H175" s="2026">
        <f>'Part II-Development Team'!H121</f>
        <v>0</v>
      </c>
      <c r="I175" s="2052"/>
      <c r="J175" s="2052"/>
      <c r="K175" s="2052"/>
      <c r="L175" s="2052"/>
      <c r="M175" s="2052"/>
      <c r="N175" s="2052"/>
      <c r="O175" s="2053" t="s">
        <v>575</v>
      </c>
      <c r="P175" s="2026"/>
      <c r="Q175" s="2026">
        <f>'Part II-Development Team'!Q121</f>
        <v>0</v>
      </c>
      <c r="R175" s="2052"/>
      <c r="S175" s="2052"/>
      <c r="Z175" s="1624">
        <v>121</v>
      </c>
    </row>
    <row r="176" spans="1:26" s="1821" customFormat="1">
      <c r="D176" s="2054"/>
      <c r="E176" s="2030" t="s">
        <v>1672</v>
      </c>
      <c r="H176" s="2053">
        <f>'Part II-Development Team'!H122</f>
        <v>0</v>
      </c>
      <c r="I176" s="2038" t="s">
        <v>2062</v>
      </c>
      <c r="J176" s="2036">
        <f>'Part II-Development Team'!J122</f>
        <v>0</v>
      </c>
      <c r="K176" s="2052"/>
      <c r="L176" s="2038" t="s">
        <v>1843</v>
      </c>
      <c r="M176" s="2026">
        <f>'Part II-Development Team'!M122</f>
        <v>0</v>
      </c>
      <c r="N176" s="2026"/>
      <c r="O176" s="2026"/>
      <c r="P176" s="2026"/>
      <c r="Q176" s="2026"/>
      <c r="R176" s="2026"/>
      <c r="S176" s="2026"/>
      <c r="Z176" s="1624">
        <v>122</v>
      </c>
    </row>
    <row r="177" spans="3:26" s="378" customFormat="1">
      <c r="H177" s="2052"/>
      <c r="I177" s="2052"/>
      <c r="J177" s="2052"/>
      <c r="K177" s="2052"/>
      <c r="L177" s="2052"/>
      <c r="M177" s="2052"/>
      <c r="N177" s="2052"/>
      <c r="O177" s="2052"/>
      <c r="P177" s="2052"/>
      <c r="Q177" s="2052"/>
      <c r="R177" s="2052"/>
      <c r="S177" s="2052"/>
      <c r="Z177" s="1624">
        <v>123</v>
      </c>
    </row>
    <row r="178" spans="3:26" s="1821" customFormat="1">
      <c r="C178" s="2063"/>
      <c r="D178" s="1821" t="s">
        <v>6829</v>
      </c>
      <c r="H178" s="2026">
        <f>'Part II-Development Team'!H124</f>
        <v>0</v>
      </c>
      <c r="I178" s="2026"/>
      <c r="J178" s="2026"/>
      <c r="K178" s="2038" t="s">
        <v>1671</v>
      </c>
      <c r="L178" s="2026">
        <f>'Part II-Development Team'!L124</f>
        <v>0</v>
      </c>
      <c r="M178" s="2052"/>
      <c r="N178" s="2052"/>
      <c r="O178" s="2053" t="s">
        <v>3144</v>
      </c>
      <c r="P178" s="2026"/>
      <c r="Q178" s="2037">
        <f>'Part II-Development Team'!Q124</f>
        <v>0</v>
      </c>
      <c r="R178" s="2064"/>
      <c r="S178" s="2064"/>
      <c r="Z178" s="1624">
        <v>124</v>
      </c>
    </row>
    <row r="179" spans="3:26" s="1821" customFormat="1">
      <c r="D179" s="2054"/>
      <c r="E179" s="2030" t="s">
        <v>6231</v>
      </c>
      <c r="F179" s="2024"/>
      <c r="H179" s="2026">
        <f>'Part II-Development Team'!H125</f>
        <v>0</v>
      </c>
      <c r="I179" s="2052"/>
      <c r="J179" s="2052"/>
      <c r="K179" s="2052"/>
      <c r="L179" s="2052"/>
      <c r="M179" s="2052"/>
      <c r="N179" s="2052"/>
      <c r="O179" s="2053" t="s">
        <v>575</v>
      </c>
      <c r="P179" s="2026"/>
      <c r="Q179" s="2026">
        <f>'Part II-Development Team'!Q125</f>
        <v>0</v>
      </c>
      <c r="R179" s="2052"/>
      <c r="S179" s="2052"/>
      <c r="Z179" s="1624">
        <v>125</v>
      </c>
    </row>
    <row r="180" spans="3:26" s="1821" customFormat="1">
      <c r="D180" s="2054"/>
      <c r="E180" s="2030" t="s">
        <v>1672</v>
      </c>
      <c r="H180" s="2053">
        <f>'Part II-Development Team'!H126</f>
        <v>0</v>
      </c>
      <c r="I180" s="2038" t="s">
        <v>2062</v>
      </c>
      <c r="J180" s="2036">
        <f>'Part II-Development Team'!J126</f>
        <v>0</v>
      </c>
      <c r="K180" s="2052"/>
      <c r="L180" s="2038" t="s">
        <v>1843</v>
      </c>
      <c r="M180" s="2026">
        <f>'Part II-Development Team'!M126</f>
        <v>0</v>
      </c>
      <c r="N180" s="2026"/>
      <c r="O180" s="2026"/>
      <c r="P180" s="2026"/>
      <c r="Q180" s="2026"/>
      <c r="R180" s="2026"/>
      <c r="S180" s="2026"/>
      <c r="Z180" s="1624">
        <v>126</v>
      </c>
    </row>
    <row r="181" spans="3:26" s="378" customFormat="1">
      <c r="H181" s="2052"/>
      <c r="I181" s="2052"/>
      <c r="J181" s="2052"/>
      <c r="K181" s="2052"/>
      <c r="L181" s="2052"/>
      <c r="M181" s="2052"/>
      <c r="N181" s="2052"/>
      <c r="O181" s="2052"/>
      <c r="P181" s="2052"/>
      <c r="Q181" s="2052"/>
      <c r="R181" s="2052"/>
      <c r="S181" s="2052"/>
      <c r="Z181" s="1624">
        <v>127</v>
      </c>
    </row>
    <row r="182" spans="3:26" s="1821" customFormat="1">
      <c r="C182" s="2063"/>
      <c r="D182" s="1821" t="s">
        <v>6793</v>
      </c>
      <c r="H182" s="2026">
        <f>'Part II-Development Team'!H128</f>
        <v>0</v>
      </c>
      <c r="I182" s="2026"/>
      <c r="J182" s="2026"/>
      <c r="K182" s="2038" t="s">
        <v>1671</v>
      </c>
      <c r="L182" s="2026">
        <f>'Part II-Development Team'!L128</f>
        <v>0</v>
      </c>
      <c r="M182" s="2052"/>
      <c r="N182" s="2052"/>
      <c r="O182" s="2053" t="s">
        <v>3144</v>
      </c>
      <c r="P182" s="2026"/>
      <c r="Q182" s="2037">
        <f>'Part II-Development Team'!Q128</f>
        <v>0</v>
      </c>
      <c r="R182" s="2064"/>
      <c r="S182" s="2064"/>
      <c r="Z182" s="1624">
        <v>128</v>
      </c>
    </row>
    <row r="183" spans="3:26" s="1821" customFormat="1">
      <c r="D183" s="2054"/>
      <c r="E183" s="2030" t="s">
        <v>6231</v>
      </c>
      <c r="F183" s="2024"/>
      <c r="H183" s="2026">
        <f>'Part II-Development Team'!H129</f>
        <v>0</v>
      </c>
      <c r="I183" s="2052"/>
      <c r="J183" s="2052"/>
      <c r="K183" s="2052"/>
      <c r="L183" s="2052"/>
      <c r="M183" s="2052"/>
      <c r="N183" s="2052"/>
      <c r="O183" s="2053" t="s">
        <v>575</v>
      </c>
      <c r="P183" s="2026"/>
      <c r="Q183" s="2026">
        <f>'Part II-Development Team'!Q129</f>
        <v>0</v>
      </c>
      <c r="R183" s="2052"/>
      <c r="S183" s="2052"/>
      <c r="Z183" s="1624">
        <v>129</v>
      </c>
    </row>
    <row r="184" spans="3:26" s="1821" customFormat="1">
      <c r="D184" s="2054"/>
      <c r="E184" s="2030" t="s">
        <v>1672</v>
      </c>
      <c r="H184" s="2053">
        <f>'Part II-Development Team'!H130</f>
        <v>0</v>
      </c>
      <c r="I184" s="2038" t="s">
        <v>2062</v>
      </c>
      <c r="J184" s="2036">
        <f>'Part II-Development Team'!J130</f>
        <v>0</v>
      </c>
      <c r="K184" s="2052"/>
      <c r="L184" s="2038" t="s">
        <v>1843</v>
      </c>
      <c r="M184" s="2026">
        <f>'Part II-Development Team'!M130</f>
        <v>0</v>
      </c>
      <c r="N184" s="2026"/>
      <c r="O184" s="2026"/>
      <c r="P184" s="2026"/>
      <c r="Q184" s="2026"/>
      <c r="R184" s="2026"/>
      <c r="S184" s="2026"/>
      <c r="Z184" s="1624">
        <v>130</v>
      </c>
    </row>
    <row r="185" spans="3:26" s="378" customFormat="1">
      <c r="H185" s="2052"/>
      <c r="I185" s="2052"/>
      <c r="J185" s="2052"/>
      <c r="K185" s="2052"/>
      <c r="L185" s="2052"/>
      <c r="M185" s="2052"/>
      <c r="N185" s="2052"/>
      <c r="O185" s="2052"/>
      <c r="P185" s="2052"/>
      <c r="Q185" s="2052"/>
      <c r="R185" s="2052"/>
      <c r="S185" s="2052"/>
      <c r="Z185" s="1624">
        <v>131</v>
      </c>
    </row>
    <row r="186" spans="3:26" s="1821" customFormat="1">
      <c r="C186" s="2063"/>
      <c r="D186" s="1821" t="s">
        <v>6830</v>
      </c>
      <c r="H186" s="2026">
        <f>'Part II-Development Team'!H132</f>
        <v>0</v>
      </c>
      <c r="I186" s="2026"/>
      <c r="J186" s="2026"/>
      <c r="K186" s="2038" t="s">
        <v>1671</v>
      </c>
      <c r="L186" s="2026">
        <f>'Part II-Development Team'!L132</f>
        <v>0</v>
      </c>
      <c r="M186" s="2052"/>
      <c r="N186" s="2052"/>
      <c r="O186" s="2053" t="s">
        <v>3144</v>
      </c>
      <c r="P186" s="2026"/>
      <c r="Q186" s="2037">
        <f>'Part II-Development Team'!Q132</f>
        <v>0</v>
      </c>
      <c r="R186" s="2064"/>
      <c r="S186" s="2064"/>
      <c r="Z186" s="1624">
        <v>132</v>
      </c>
    </row>
    <row r="187" spans="3:26" s="1821" customFormat="1">
      <c r="D187" s="2054"/>
      <c r="E187" s="2030" t="s">
        <v>6231</v>
      </c>
      <c r="F187" s="2024"/>
      <c r="H187" s="2026">
        <f>'Part II-Development Team'!H133</f>
        <v>0</v>
      </c>
      <c r="I187" s="2052"/>
      <c r="J187" s="2052"/>
      <c r="K187" s="2052"/>
      <c r="L187" s="2052"/>
      <c r="M187" s="2052"/>
      <c r="N187" s="2052"/>
      <c r="O187" s="2053" t="s">
        <v>575</v>
      </c>
      <c r="P187" s="2026"/>
      <c r="Q187" s="2026">
        <f>'Part II-Development Team'!Q133</f>
        <v>0</v>
      </c>
      <c r="R187" s="2052"/>
      <c r="S187" s="2052"/>
      <c r="Z187" s="1624">
        <v>133</v>
      </c>
    </row>
    <row r="188" spans="3:26" s="1821" customFormat="1">
      <c r="D188" s="2054"/>
      <c r="E188" s="2030" t="s">
        <v>1672</v>
      </c>
      <c r="H188" s="2053">
        <f>'Part II-Development Team'!H134</f>
        <v>0</v>
      </c>
      <c r="I188" s="2038" t="s">
        <v>2062</v>
      </c>
      <c r="J188" s="2036">
        <f>'Part II-Development Team'!J134</f>
        <v>0</v>
      </c>
      <c r="K188" s="2052"/>
      <c r="L188" s="2038" t="s">
        <v>1843</v>
      </c>
      <c r="M188" s="2026">
        <f>'Part II-Development Team'!M134</f>
        <v>0</v>
      </c>
      <c r="N188" s="2026"/>
      <c r="O188" s="2026"/>
      <c r="P188" s="2026"/>
      <c r="Q188" s="2026"/>
      <c r="R188" s="2026"/>
      <c r="S188" s="2026"/>
      <c r="Z188" s="1624">
        <v>134</v>
      </c>
    </row>
    <row r="189" spans="3:26" s="378" customFormat="1">
      <c r="H189" s="2052"/>
      <c r="I189" s="2052"/>
      <c r="J189" s="2052"/>
      <c r="K189" s="2052"/>
      <c r="L189" s="2052"/>
      <c r="M189" s="2052"/>
      <c r="N189" s="2052"/>
      <c r="O189" s="2052"/>
      <c r="P189" s="2052"/>
      <c r="Q189" s="2052"/>
      <c r="R189" s="2052"/>
      <c r="S189" s="2052"/>
      <c r="Z189" s="1624">
        <v>135</v>
      </c>
    </row>
    <row r="190" spans="3:26" s="1821" customFormat="1">
      <c r="C190" s="2063"/>
      <c r="D190" s="1821" t="s">
        <v>6794</v>
      </c>
      <c r="H190" s="2026">
        <f>'Part II-Development Team'!H136</f>
        <v>0</v>
      </c>
      <c r="I190" s="2026"/>
      <c r="J190" s="2026"/>
      <c r="K190" s="2038" t="s">
        <v>1671</v>
      </c>
      <c r="L190" s="2026">
        <f>'Part II-Development Team'!L136</f>
        <v>0</v>
      </c>
      <c r="M190" s="2052"/>
      <c r="N190" s="2052"/>
      <c r="O190" s="2053" t="s">
        <v>3144</v>
      </c>
      <c r="P190" s="2026"/>
      <c r="Q190" s="2037">
        <f>'Part II-Development Team'!Q136</f>
        <v>0</v>
      </c>
      <c r="R190" s="2064"/>
      <c r="S190" s="2064"/>
      <c r="Z190" s="1624">
        <v>136</v>
      </c>
    </row>
    <row r="191" spans="3:26" s="1821" customFormat="1">
      <c r="D191" s="2054"/>
      <c r="E191" s="2030" t="s">
        <v>6231</v>
      </c>
      <c r="F191" s="2024"/>
      <c r="H191" s="2026">
        <f>'Part II-Development Team'!H137</f>
        <v>0</v>
      </c>
      <c r="I191" s="2052"/>
      <c r="J191" s="2052"/>
      <c r="K191" s="2052"/>
      <c r="L191" s="2052"/>
      <c r="M191" s="2052"/>
      <c r="N191" s="2052"/>
      <c r="O191" s="2053" t="s">
        <v>575</v>
      </c>
      <c r="P191" s="2026"/>
      <c r="Q191" s="2026">
        <f>'Part II-Development Team'!Q137</f>
        <v>0</v>
      </c>
      <c r="R191" s="2052"/>
      <c r="S191" s="2052"/>
      <c r="Z191" s="1624">
        <v>137</v>
      </c>
    </row>
    <row r="192" spans="3:26" s="1821" customFormat="1">
      <c r="D192" s="2054"/>
      <c r="E192" s="2030" t="s">
        <v>1672</v>
      </c>
      <c r="H192" s="2053">
        <f>'Part II-Development Team'!H138</f>
        <v>0</v>
      </c>
      <c r="I192" s="2038" t="s">
        <v>2062</v>
      </c>
      <c r="J192" s="2036">
        <f>'Part II-Development Team'!J138</f>
        <v>0</v>
      </c>
      <c r="K192" s="2052"/>
      <c r="L192" s="2038" t="s">
        <v>1843</v>
      </c>
      <c r="M192" s="2026">
        <f>'Part II-Development Team'!M138</f>
        <v>0</v>
      </c>
      <c r="N192" s="2026"/>
      <c r="O192" s="2026"/>
      <c r="P192" s="2026"/>
      <c r="Q192" s="2026"/>
      <c r="R192" s="2026"/>
      <c r="S192" s="2026"/>
      <c r="Z192" s="1624">
        <v>138</v>
      </c>
    </row>
    <row r="193" spans="1:26" s="378" customFormat="1">
      <c r="H193" s="2052"/>
      <c r="I193" s="2052"/>
      <c r="J193" s="2052"/>
      <c r="K193" s="2052"/>
      <c r="L193" s="2052"/>
      <c r="M193" s="2052"/>
      <c r="N193" s="2052"/>
      <c r="O193" s="2052"/>
      <c r="P193" s="2052"/>
      <c r="Q193" s="2052"/>
      <c r="R193" s="2052"/>
      <c r="S193" s="2052"/>
      <c r="Z193" s="1624">
        <v>139</v>
      </c>
    </row>
    <row r="194" spans="1:26" s="1821" customFormat="1">
      <c r="C194" s="2063"/>
      <c r="D194" s="1821" t="s">
        <v>6831</v>
      </c>
      <c r="H194" s="2026">
        <f>'Part II-Development Team'!H140</f>
        <v>0</v>
      </c>
      <c r="I194" s="2026"/>
      <c r="J194" s="2026"/>
      <c r="K194" s="2038" t="s">
        <v>1671</v>
      </c>
      <c r="L194" s="2026">
        <f>'Part II-Development Team'!L140</f>
        <v>0</v>
      </c>
      <c r="M194" s="2052"/>
      <c r="N194" s="2052"/>
      <c r="O194" s="2053" t="s">
        <v>3144</v>
      </c>
      <c r="P194" s="2026"/>
      <c r="Q194" s="2037">
        <f>'Part II-Development Team'!Q140</f>
        <v>0</v>
      </c>
      <c r="R194" s="2064"/>
      <c r="S194" s="2064"/>
      <c r="Z194" s="1624">
        <v>140</v>
      </c>
    </row>
    <row r="195" spans="1:26" s="1821" customFormat="1">
      <c r="D195" s="2054"/>
      <c r="E195" s="2030" t="s">
        <v>6231</v>
      </c>
      <c r="F195" s="2024"/>
      <c r="H195" s="2026">
        <f>'Part II-Development Team'!H141</f>
        <v>0</v>
      </c>
      <c r="I195" s="2052"/>
      <c r="J195" s="2052"/>
      <c r="K195" s="2052"/>
      <c r="L195" s="2052"/>
      <c r="M195" s="2052"/>
      <c r="N195" s="2052"/>
      <c r="O195" s="2053" t="s">
        <v>575</v>
      </c>
      <c r="P195" s="2026"/>
      <c r="Q195" s="2026">
        <f>'Part II-Development Team'!Q141</f>
        <v>0</v>
      </c>
      <c r="R195" s="2052"/>
      <c r="S195" s="2052"/>
      <c r="Z195" s="1624">
        <v>141</v>
      </c>
    </row>
    <row r="196" spans="1:26" s="1821" customFormat="1">
      <c r="D196" s="2054"/>
      <c r="E196" s="2030" t="s">
        <v>1672</v>
      </c>
      <c r="H196" s="2053">
        <f>'Part II-Development Team'!H142</f>
        <v>0</v>
      </c>
      <c r="I196" s="2038" t="s">
        <v>2062</v>
      </c>
      <c r="J196" s="2036">
        <f>'Part II-Development Team'!J142</f>
        <v>0</v>
      </c>
      <c r="K196" s="2052"/>
      <c r="L196" s="2038" t="s">
        <v>1843</v>
      </c>
      <c r="M196" s="2026">
        <f>'Part II-Development Team'!M142</f>
        <v>0</v>
      </c>
      <c r="N196" s="2026"/>
      <c r="O196" s="2026"/>
      <c r="P196" s="2026"/>
      <c r="Q196" s="2026"/>
      <c r="R196" s="2026"/>
      <c r="S196" s="2026"/>
      <c r="Z196" s="1624">
        <v>142</v>
      </c>
    </row>
    <row r="197" spans="1:26" s="378" customFormat="1">
      <c r="H197" s="2052"/>
      <c r="I197" s="2052"/>
      <c r="J197" s="2052"/>
      <c r="K197" s="2052"/>
      <c r="L197" s="2052"/>
      <c r="M197" s="2052"/>
      <c r="N197" s="2052"/>
      <c r="O197" s="2052"/>
      <c r="P197" s="2052"/>
      <c r="Q197" s="2052"/>
      <c r="R197" s="2052"/>
      <c r="S197" s="2052"/>
      <c r="Z197" s="1624">
        <v>143</v>
      </c>
    </row>
    <row r="198" spans="1:26" s="1821" customFormat="1">
      <c r="C198" s="2063" t="s">
        <v>1847</v>
      </c>
      <c r="D198" s="1821" t="s">
        <v>6795</v>
      </c>
      <c r="H198" s="2026">
        <f>'Part II-Development Team'!H144</f>
        <v>0</v>
      </c>
      <c r="I198" s="2026"/>
      <c r="J198" s="2026"/>
      <c r="K198" s="2038" t="s">
        <v>1671</v>
      </c>
      <c r="L198" s="2026">
        <f>'Part II-Development Team'!L144</f>
        <v>0</v>
      </c>
      <c r="M198" s="2052"/>
      <c r="N198" s="2052"/>
      <c r="O198" s="2053" t="s">
        <v>3144</v>
      </c>
      <c r="P198" s="2026"/>
      <c r="Q198" s="2037">
        <f>'Part II-Development Team'!Q144</f>
        <v>0</v>
      </c>
      <c r="R198" s="2064"/>
      <c r="S198" s="2064"/>
      <c r="Z198" s="1624">
        <v>144</v>
      </c>
    </row>
    <row r="199" spans="1:26" s="1821" customFormat="1" ht="11.25" customHeight="1">
      <c r="D199" s="2054"/>
      <c r="E199" s="2030" t="s">
        <v>6231</v>
      </c>
      <c r="F199" s="2024"/>
      <c r="H199" s="2026">
        <f>'Part II-Development Team'!H145</f>
        <v>0</v>
      </c>
      <c r="I199" s="2052"/>
      <c r="J199" s="2052"/>
      <c r="K199" s="2052"/>
      <c r="L199" s="2052"/>
      <c r="M199" s="2052"/>
      <c r="N199" s="2052"/>
      <c r="O199" s="2053" t="s">
        <v>575</v>
      </c>
      <c r="P199" s="2026"/>
      <c r="Q199" s="2026">
        <f>'Part II-Development Team'!Q145</f>
        <v>0</v>
      </c>
      <c r="R199" s="2052"/>
      <c r="S199" s="2052"/>
      <c r="Z199" s="1624">
        <v>145</v>
      </c>
    </row>
    <row r="200" spans="1:26" s="1821" customFormat="1" ht="11.25" customHeight="1">
      <c r="D200" s="2054"/>
      <c r="E200" s="2030" t="s">
        <v>1672</v>
      </c>
      <c r="H200" s="2053">
        <f>'Part II-Development Team'!H146</f>
        <v>0</v>
      </c>
      <c r="I200" s="2038" t="s">
        <v>2062</v>
      </c>
      <c r="J200" s="2036">
        <f>'Part II-Development Team'!J146</f>
        <v>0</v>
      </c>
      <c r="K200" s="2052"/>
      <c r="L200" s="2038" t="s">
        <v>1843</v>
      </c>
      <c r="M200" s="2026">
        <f>'Part II-Development Team'!M146</f>
        <v>0</v>
      </c>
      <c r="N200" s="2026"/>
      <c r="O200" s="2026"/>
      <c r="P200" s="2026"/>
      <c r="Q200" s="2026"/>
      <c r="R200" s="2026"/>
      <c r="S200" s="2026"/>
      <c r="Z200" s="1624">
        <v>146</v>
      </c>
    </row>
    <row r="201" spans="1:26" s="378" customFormat="1" ht="2.25" customHeight="1">
      <c r="H201" s="2052"/>
      <c r="I201" s="2052"/>
      <c r="J201" s="2052"/>
      <c r="K201" s="2052"/>
      <c r="L201" s="2052"/>
      <c r="M201" s="2052"/>
      <c r="N201" s="2052"/>
      <c r="O201" s="2052"/>
      <c r="P201" s="2052"/>
      <c r="Q201" s="2052"/>
      <c r="R201" s="2052"/>
      <c r="S201" s="2052"/>
      <c r="Z201" s="1624">
        <v>147</v>
      </c>
    </row>
    <row r="202" spans="1:26" s="1821" customFormat="1" ht="11.25" customHeight="1">
      <c r="C202" s="2063" t="s">
        <v>2333</v>
      </c>
      <c r="D202" s="1821" t="s">
        <v>6796</v>
      </c>
      <c r="H202" s="2026">
        <f>'Part II-Development Team'!H148</f>
        <v>0</v>
      </c>
      <c r="I202" s="2026"/>
      <c r="J202" s="2026"/>
      <c r="K202" s="2038" t="s">
        <v>1671</v>
      </c>
      <c r="L202" s="2026">
        <f>'Part II-Development Team'!L148</f>
        <v>0</v>
      </c>
      <c r="M202" s="2052"/>
      <c r="N202" s="2052"/>
      <c r="O202" s="2053" t="s">
        <v>3144</v>
      </c>
      <c r="P202" s="2026"/>
      <c r="Q202" s="2037">
        <f>'Part II-Development Team'!Q148</f>
        <v>0</v>
      </c>
      <c r="R202" s="2064"/>
      <c r="S202" s="2064"/>
      <c r="Z202" s="1624">
        <v>148</v>
      </c>
    </row>
    <row r="203" spans="1:26" s="1821" customFormat="1" ht="11.25" customHeight="1">
      <c r="D203" s="2054"/>
      <c r="E203" s="2030" t="s">
        <v>6231</v>
      </c>
      <c r="F203" s="2024"/>
      <c r="H203" s="2026">
        <f>'Part II-Development Team'!H149</f>
        <v>0</v>
      </c>
      <c r="I203" s="2052"/>
      <c r="J203" s="2052"/>
      <c r="K203" s="2052"/>
      <c r="L203" s="2052"/>
      <c r="M203" s="2052"/>
      <c r="N203" s="2052"/>
      <c r="O203" s="2053" t="s">
        <v>575</v>
      </c>
      <c r="P203" s="2026"/>
      <c r="Q203" s="2026">
        <f>'Part II-Development Team'!Q149</f>
        <v>0</v>
      </c>
      <c r="R203" s="2052"/>
      <c r="S203" s="2052"/>
      <c r="Z203" s="1624">
        <v>149</v>
      </c>
    </row>
    <row r="204" spans="1:26" s="1821" customFormat="1" ht="11.25" customHeight="1">
      <c r="D204" s="2054"/>
      <c r="E204" s="2030" t="s">
        <v>1672</v>
      </c>
      <c r="H204" s="2053">
        <f>'Part II-Development Team'!H150</f>
        <v>0</v>
      </c>
      <c r="I204" s="2038" t="s">
        <v>2062</v>
      </c>
      <c r="J204" s="2036">
        <f>'Part II-Development Team'!J150</f>
        <v>0</v>
      </c>
      <c r="K204" s="2052"/>
      <c r="L204" s="2038" t="s">
        <v>1843</v>
      </c>
      <c r="M204" s="2026">
        <f>'Part II-Development Team'!M150</f>
        <v>0</v>
      </c>
      <c r="N204" s="2026"/>
      <c r="O204" s="2026"/>
      <c r="P204" s="2026"/>
      <c r="Q204" s="2026"/>
      <c r="R204" s="2026"/>
      <c r="S204" s="2026"/>
      <c r="Z204" s="1624">
        <v>150</v>
      </c>
    </row>
    <row r="205" spans="1:26" s="378" customFormat="1">
      <c r="H205" s="2052"/>
      <c r="I205" s="2052"/>
      <c r="J205" s="2052"/>
      <c r="K205" s="2052"/>
      <c r="L205" s="2052"/>
      <c r="M205" s="2052"/>
      <c r="N205" s="2052"/>
      <c r="O205" s="2052"/>
      <c r="P205" s="2052"/>
      <c r="Q205" s="2052"/>
      <c r="R205" s="2052"/>
      <c r="S205" s="2052"/>
      <c r="Z205" s="1624">
        <v>151</v>
      </c>
    </row>
    <row r="206" spans="1:26" s="378" customFormat="1" ht="12" customHeight="1">
      <c r="B206" s="1821" t="s">
        <v>1844</v>
      </c>
      <c r="C206" s="1821" t="s">
        <v>6797</v>
      </c>
      <c r="H206" s="2019"/>
      <c r="I206" s="2019"/>
      <c r="J206" s="2019"/>
      <c r="K206" s="2019"/>
      <c r="L206" s="2019"/>
      <c r="M206" s="2019"/>
      <c r="N206" s="2019"/>
      <c r="O206" s="2019"/>
      <c r="P206" s="2019"/>
      <c r="Q206" s="2019"/>
      <c r="R206" s="2019"/>
      <c r="S206" s="2019"/>
      <c r="Z206" s="1624">
        <v>152</v>
      </c>
    </row>
    <row r="207" spans="1:26" s="378" customFormat="1" ht="13.5" customHeight="1">
      <c r="A207" s="2020" t="s">
        <v>3301</v>
      </c>
      <c r="B207" s="2020"/>
      <c r="C207" s="2020"/>
      <c r="D207" s="2020"/>
      <c r="E207" s="2020"/>
      <c r="H207" s="2038" t="s">
        <v>2309</v>
      </c>
      <c r="I207" s="2026" t="s">
        <v>6525</v>
      </c>
      <c r="J207" s="2065"/>
      <c r="K207" s="2065"/>
      <c r="L207" s="2065"/>
      <c r="M207" s="2065"/>
      <c r="N207" s="2065"/>
      <c r="O207" s="2065"/>
      <c r="P207" s="2065"/>
      <c r="Q207" s="2065"/>
      <c r="R207" s="2065"/>
      <c r="S207" s="2065"/>
      <c r="Z207" s="1624">
        <v>153</v>
      </c>
    </row>
    <row r="208" spans="1:26" s="1821" customFormat="1" ht="15" customHeight="1">
      <c r="B208" s="2066" t="s">
        <v>1845</v>
      </c>
      <c r="C208" s="2067" t="s">
        <v>2523</v>
      </c>
      <c r="E208" s="2067"/>
      <c r="H208" s="2068" t="str">
        <f>'Part II-Development Team'!H154</f>
        <v>Select</v>
      </c>
      <c r="I208" s="2069">
        <f>'Part II-Development Team'!I154</f>
        <v>0</v>
      </c>
      <c r="J208" s="2070"/>
      <c r="K208" s="2070"/>
      <c r="L208" s="2070"/>
      <c r="M208" s="2070"/>
      <c r="N208" s="2070"/>
      <c r="O208" s="2070"/>
      <c r="P208" s="2070"/>
      <c r="Q208" s="2070"/>
      <c r="R208" s="2070"/>
      <c r="S208" s="2070"/>
      <c r="U208" s="2018" t="s">
        <v>1884</v>
      </c>
      <c r="V208" s="2018"/>
      <c r="Z208" s="1624">
        <v>154</v>
      </c>
    </row>
    <row r="209" spans="1:26" s="1821" customFormat="1" ht="15" customHeight="1">
      <c r="B209" s="2066" t="s">
        <v>1847</v>
      </c>
      <c r="C209" s="2067" t="s">
        <v>6229</v>
      </c>
      <c r="E209" s="2067"/>
      <c r="H209" s="2068" t="str">
        <f>'Part II-Development Team'!H155</f>
        <v>Select</v>
      </c>
      <c r="I209" s="2069">
        <f>'Part II-Development Team'!I155</f>
        <v>0</v>
      </c>
      <c r="J209" s="2070"/>
      <c r="K209" s="2070"/>
      <c r="L209" s="2070"/>
      <c r="M209" s="2070"/>
      <c r="N209" s="2070"/>
      <c r="O209" s="2070"/>
      <c r="P209" s="2070"/>
      <c r="Q209" s="2070"/>
      <c r="R209" s="2070"/>
      <c r="S209" s="2070"/>
      <c r="U209" s="2018"/>
      <c r="V209" s="2018"/>
      <c r="Z209" s="1624">
        <v>155</v>
      </c>
    </row>
    <row r="210" spans="1:26" s="1821" customFormat="1" ht="15" customHeight="1">
      <c r="B210" s="2066" t="s">
        <v>2333</v>
      </c>
      <c r="C210" s="2067" t="s">
        <v>2559</v>
      </c>
      <c r="E210" s="2067"/>
      <c r="H210" s="2068" t="str">
        <f>'Part II-Development Team'!H156</f>
        <v>Select</v>
      </c>
      <c r="I210" s="2069">
        <f>'Part II-Development Team'!I156</f>
        <v>0</v>
      </c>
      <c r="J210" s="2070"/>
      <c r="K210" s="2070"/>
      <c r="L210" s="2070"/>
      <c r="M210" s="2070"/>
      <c r="N210" s="2070"/>
      <c r="O210" s="2070"/>
      <c r="P210" s="2070"/>
      <c r="Q210" s="2070"/>
      <c r="R210" s="2070"/>
      <c r="S210" s="2070"/>
      <c r="U210" s="2018"/>
      <c r="V210" s="2018"/>
      <c r="Z210" s="1624">
        <v>156</v>
      </c>
    </row>
    <row r="211" spans="1:26" s="1821" customFormat="1" ht="15" customHeight="1">
      <c r="B211" s="2066" t="s">
        <v>1151</v>
      </c>
      <c r="C211" s="2067" t="s">
        <v>2524</v>
      </c>
      <c r="E211" s="2067"/>
      <c r="H211" s="2068" t="str">
        <f>'Part II-Development Team'!H157</f>
        <v>Select</v>
      </c>
      <c r="I211" s="2069">
        <f>'Part II-Development Team'!I157</f>
        <v>0</v>
      </c>
      <c r="J211" s="2070"/>
      <c r="K211" s="2070"/>
      <c r="L211" s="2070"/>
      <c r="M211" s="2070"/>
      <c r="N211" s="2070"/>
      <c r="O211" s="2070"/>
      <c r="P211" s="2070"/>
      <c r="Q211" s="2070"/>
      <c r="R211" s="2070"/>
      <c r="S211" s="2070"/>
      <c r="U211" s="2018"/>
      <c r="V211" s="2018"/>
      <c r="Z211" s="1624">
        <v>157</v>
      </c>
    </row>
    <row r="212" spans="1:26" s="1821" customFormat="1" ht="15" customHeight="1">
      <c r="B212" s="2066" t="s">
        <v>1152</v>
      </c>
      <c r="C212" s="2067" t="s">
        <v>3078</v>
      </c>
      <c r="E212" s="2067"/>
      <c r="H212" s="2068" t="str">
        <f>'Part II-Development Team'!H158</f>
        <v>Select</v>
      </c>
      <c r="I212" s="2069">
        <f>'Part II-Development Team'!I158</f>
        <v>0</v>
      </c>
      <c r="J212" s="2070"/>
      <c r="K212" s="2070"/>
      <c r="L212" s="2070"/>
      <c r="M212" s="2070"/>
      <c r="N212" s="2070"/>
      <c r="O212" s="2070"/>
      <c r="P212" s="2070"/>
      <c r="Q212" s="2070"/>
      <c r="R212" s="2070"/>
      <c r="S212" s="2070"/>
      <c r="U212" s="2018"/>
      <c r="V212" s="2018"/>
      <c r="Z212" s="1624">
        <v>158</v>
      </c>
    </row>
    <row r="213" spans="1:26" s="1821" customFormat="1" ht="15" customHeight="1">
      <c r="B213" s="2066" t="s">
        <v>1742</v>
      </c>
      <c r="C213" s="2067" t="s">
        <v>3079</v>
      </c>
      <c r="E213" s="2067"/>
      <c r="H213" s="2068" t="str">
        <f>'Part II-Development Team'!H159</f>
        <v>Select</v>
      </c>
      <c r="I213" s="2069">
        <f>'Part II-Development Team'!I159</f>
        <v>0</v>
      </c>
      <c r="J213" s="2070"/>
      <c r="K213" s="2070"/>
      <c r="L213" s="2070"/>
      <c r="M213" s="2070"/>
      <c r="N213" s="2070"/>
      <c r="O213" s="2070"/>
      <c r="P213" s="2070"/>
      <c r="Q213" s="2070"/>
      <c r="R213" s="2070"/>
      <c r="S213" s="2070"/>
      <c r="U213" s="2018"/>
      <c r="V213" s="2018"/>
      <c r="Z213" s="1624">
        <v>159</v>
      </c>
    </row>
    <row r="214" spans="1:26" s="1821" customFormat="1" ht="15" customHeight="1">
      <c r="B214" s="2066" t="s">
        <v>473</v>
      </c>
      <c r="C214" s="2067" t="s">
        <v>2525</v>
      </c>
      <c r="E214" s="2067"/>
      <c r="H214" s="2068" t="str">
        <f>'Part II-Development Team'!H160</f>
        <v>Select</v>
      </c>
      <c r="I214" s="2069">
        <f>'Part II-Development Team'!I160</f>
        <v>0</v>
      </c>
      <c r="J214" s="2070"/>
      <c r="K214" s="2070"/>
      <c r="L214" s="2070"/>
      <c r="M214" s="2070"/>
      <c r="N214" s="2070"/>
      <c r="O214" s="2070"/>
      <c r="P214" s="2070"/>
      <c r="Q214" s="2070"/>
      <c r="R214" s="2070"/>
      <c r="S214" s="2070"/>
      <c r="Z214" s="1624">
        <v>160</v>
      </c>
    </row>
    <row r="215" spans="1:26" s="1821" customFormat="1" ht="15" customHeight="1">
      <c r="B215" s="2066" t="s">
        <v>474</v>
      </c>
      <c r="C215" s="2067" t="s">
        <v>3895</v>
      </c>
      <c r="E215" s="2067"/>
      <c r="H215" s="2068" t="str">
        <f>'Part II-Development Team'!H161</f>
        <v>Select</v>
      </c>
      <c r="I215" s="2069">
        <f>'Part II-Development Team'!I161</f>
        <v>0</v>
      </c>
      <c r="J215" s="2070"/>
      <c r="K215" s="2070"/>
      <c r="L215" s="2070"/>
      <c r="M215" s="2070"/>
      <c r="N215" s="2070"/>
      <c r="O215" s="2070"/>
      <c r="P215" s="2070"/>
      <c r="Q215" s="2070"/>
      <c r="R215" s="2070"/>
      <c r="S215" s="2070"/>
      <c r="Z215" s="1624">
        <v>161</v>
      </c>
    </row>
    <row r="216" spans="1:26" s="1821" customFormat="1" ht="15" customHeight="1">
      <c r="B216" s="2066" t="s">
        <v>3894</v>
      </c>
      <c r="C216" s="2016" t="str">
        <f>'Part II-Development Team'!C162</f>
        <v>Other (Indicate the 2 roles involved)</v>
      </c>
      <c r="D216" s="2019"/>
      <c r="E216" s="2019"/>
      <c r="F216" s="2019"/>
      <c r="G216" s="2019"/>
      <c r="H216" s="2068" t="str">
        <f>'Part II-Development Team'!H162</f>
        <v>Select</v>
      </c>
      <c r="I216" s="2069">
        <f>'Part II-Development Team'!I162</f>
        <v>0</v>
      </c>
      <c r="J216" s="2070"/>
      <c r="K216" s="2070"/>
      <c r="L216" s="2070"/>
      <c r="M216" s="2070"/>
      <c r="N216" s="2070"/>
      <c r="O216" s="2070"/>
      <c r="P216" s="2070"/>
      <c r="Q216" s="2070"/>
      <c r="R216" s="2070"/>
      <c r="S216" s="2070"/>
      <c r="Z216" s="1624">
        <v>162</v>
      </c>
    </row>
    <row r="217" spans="1:26" s="1821" customFormat="1" ht="13.35" customHeight="1">
      <c r="A217" s="1821" t="s">
        <v>1667</v>
      </c>
      <c r="B217" s="1821" t="s">
        <v>6832</v>
      </c>
      <c r="G217" s="1624"/>
      <c r="H217" s="1624"/>
      <c r="I217" s="1624"/>
      <c r="J217" s="1624"/>
      <c r="K217" s="1624"/>
      <c r="L217" s="1624"/>
      <c r="M217" s="1624"/>
      <c r="N217" s="1624"/>
      <c r="O217" s="1624"/>
      <c r="P217" s="1624"/>
      <c r="Q217" s="1624"/>
      <c r="Z217" s="1624">
        <v>163</v>
      </c>
    </row>
    <row r="218" spans="1:26" s="1821" customFormat="1" ht="2.25" customHeight="1">
      <c r="G218" s="1624"/>
      <c r="H218" s="1624"/>
      <c r="I218" s="1624"/>
      <c r="J218" s="1624"/>
      <c r="K218" s="1624"/>
      <c r="L218" s="1624"/>
      <c r="M218" s="1624"/>
      <c r="N218" s="1624"/>
      <c r="O218" s="1624"/>
      <c r="P218" s="1624"/>
      <c r="Q218" s="1624"/>
      <c r="Z218" s="1624">
        <v>164</v>
      </c>
    </row>
    <row r="219" spans="1:26" s="378" customFormat="1" ht="13.35" customHeight="1">
      <c r="B219" s="1821" t="s">
        <v>698</v>
      </c>
      <c r="C219" s="1821" t="s">
        <v>6798</v>
      </c>
      <c r="Z219" s="1624">
        <v>165</v>
      </c>
    </row>
    <row r="220" spans="1:26" s="1821" customFormat="1" ht="12.75" customHeight="1">
      <c r="A220" s="2071" t="s">
        <v>594</v>
      </c>
      <c r="B220" s="2071"/>
      <c r="C220" s="2071"/>
      <c r="D220" s="2071"/>
      <c r="E220" s="2071" t="s">
        <v>3067</v>
      </c>
      <c r="F220" s="2071"/>
      <c r="G220" s="2071"/>
      <c r="H220" s="2071"/>
      <c r="I220" s="2071"/>
      <c r="J220" s="2067" t="s">
        <v>3068</v>
      </c>
      <c r="K220" s="2067" t="s">
        <v>6751</v>
      </c>
      <c r="L220" s="2067" t="s">
        <v>6752</v>
      </c>
      <c r="M220" s="2035" t="s">
        <v>6753</v>
      </c>
      <c r="N220" s="2035"/>
      <c r="O220" s="2035"/>
      <c r="P220" s="2035"/>
      <c r="Q220" s="2035"/>
      <c r="R220" s="2035"/>
      <c r="S220" s="2035"/>
      <c r="Z220" s="1624">
        <v>166</v>
      </c>
    </row>
    <row r="221" spans="1:26" s="1821" customFormat="1" ht="12.75" customHeight="1">
      <c r="A221" s="2071"/>
      <c r="B221" s="2071"/>
      <c r="C221" s="2071"/>
      <c r="D221" s="2071"/>
      <c r="E221" s="2071"/>
      <c r="F221" s="2071"/>
      <c r="G221" s="2071"/>
      <c r="H221" s="2071"/>
      <c r="I221" s="2071"/>
      <c r="J221" s="2067"/>
      <c r="K221" s="2067"/>
      <c r="L221" s="2067"/>
      <c r="M221" s="2035"/>
      <c r="N221" s="2035"/>
      <c r="O221" s="2035"/>
      <c r="P221" s="2035"/>
      <c r="Q221" s="2035"/>
      <c r="R221" s="2035"/>
      <c r="S221" s="2035"/>
      <c r="Z221" s="1624">
        <v>167</v>
      </c>
    </row>
    <row r="222" spans="1:26" s="1821" customFormat="1" ht="12.75" customHeight="1">
      <c r="A222" s="2071"/>
      <c r="B222" s="2071"/>
      <c r="C222" s="2071"/>
      <c r="D222" s="2071"/>
      <c r="E222" s="2071"/>
      <c r="F222" s="2071"/>
      <c r="G222" s="2071"/>
      <c r="H222" s="2071"/>
      <c r="I222" s="2071"/>
      <c r="J222" s="2067"/>
      <c r="K222" s="2067"/>
      <c r="L222" s="2067"/>
      <c r="M222" s="2035"/>
      <c r="N222" s="2035"/>
      <c r="O222" s="2035"/>
      <c r="P222" s="2035"/>
      <c r="Q222" s="2035"/>
      <c r="R222" s="2035"/>
      <c r="S222" s="2035"/>
      <c r="Z222" s="1624">
        <v>168</v>
      </c>
    </row>
    <row r="223" spans="1:26" s="1821" customFormat="1" ht="12.75" customHeight="1">
      <c r="A223" s="2071"/>
      <c r="B223" s="2071"/>
      <c r="C223" s="2071"/>
      <c r="D223" s="2071"/>
      <c r="E223" s="2072" t="s">
        <v>6833</v>
      </c>
      <c r="F223" s="2072"/>
      <c r="G223" s="2072"/>
      <c r="H223" s="2072"/>
      <c r="I223" s="2071"/>
      <c r="J223" s="2067"/>
      <c r="K223" s="2067"/>
      <c r="L223" s="2067"/>
      <c r="M223" s="2035"/>
      <c r="N223" s="2035"/>
      <c r="O223" s="2035"/>
      <c r="P223" s="2035"/>
      <c r="Q223" s="2035"/>
      <c r="R223" s="2035"/>
      <c r="S223" s="2035"/>
      <c r="Z223" s="1624">
        <v>169</v>
      </c>
    </row>
    <row r="224" spans="1:26" s="1821" customFormat="1" ht="13.5" customHeight="1">
      <c r="A224" s="2071"/>
      <c r="B224" s="2071"/>
      <c r="C224" s="2071"/>
      <c r="D224" s="2071"/>
      <c r="E224" s="2072"/>
      <c r="F224" s="2072"/>
      <c r="G224" s="2072"/>
      <c r="H224" s="2072"/>
      <c r="I224" s="2073" t="s">
        <v>2309</v>
      </c>
      <c r="J224" s="2067"/>
      <c r="K224" s="2067"/>
      <c r="L224" s="2067"/>
      <c r="M224" s="1683" t="s">
        <v>2309</v>
      </c>
      <c r="N224" s="378" t="s">
        <v>2580</v>
      </c>
      <c r="O224" s="378"/>
      <c r="P224" s="378"/>
      <c r="Q224" s="378"/>
      <c r="R224" s="378"/>
      <c r="S224" s="378"/>
      <c r="Z224" s="1624">
        <v>170</v>
      </c>
    </row>
    <row r="225" spans="1:26" s="1821" customFormat="1">
      <c r="A225" s="2074" t="s">
        <v>3062</v>
      </c>
      <c r="B225" s="2035"/>
      <c r="C225" s="2035"/>
      <c r="D225" s="2035"/>
      <c r="E225" s="2069">
        <f>'Part II-Development Team'!E171</f>
        <v>0</v>
      </c>
      <c r="F225" s="2070"/>
      <c r="G225" s="2070"/>
      <c r="H225" s="2070"/>
      <c r="I225" s="2068" t="str">
        <f>'Part II-Development Team'!I171</f>
        <v>Select</v>
      </c>
      <c r="J225" s="2068" t="str">
        <f>'Part II-Development Team'!J171</f>
        <v>Select</v>
      </c>
      <c r="K225" s="2068">
        <f>'Part II-Development Team'!K171</f>
        <v>0</v>
      </c>
      <c r="L225" s="2068">
        <f>'Part II-Development Team'!L171</f>
        <v>0</v>
      </c>
      <c r="M225" s="2068" t="str">
        <f>'Part II-Development Team'!M171</f>
        <v>Select</v>
      </c>
      <c r="N225" s="2070">
        <f>'Part II-Development Team'!N171</f>
        <v>0</v>
      </c>
      <c r="O225" s="2070"/>
      <c r="P225" s="2070"/>
      <c r="Q225" s="2070"/>
      <c r="R225" s="2070"/>
      <c r="S225" s="2070"/>
      <c r="Z225" s="1624">
        <v>171</v>
      </c>
    </row>
    <row r="226" spans="1:26" s="1821" customFormat="1" ht="16.5" customHeight="1">
      <c r="A226" s="2074" t="s">
        <v>3063</v>
      </c>
      <c r="B226" s="2035"/>
      <c r="C226" s="2035"/>
      <c r="D226" s="2035"/>
      <c r="E226" s="2069">
        <f>'Part II-Development Team'!E172</f>
        <v>0</v>
      </c>
      <c r="F226" s="2070"/>
      <c r="G226" s="2070"/>
      <c r="H226" s="2070"/>
      <c r="I226" s="2068" t="str">
        <f>'Part II-Development Team'!I172</f>
        <v>Select</v>
      </c>
      <c r="J226" s="2068" t="str">
        <f>'Part II-Development Team'!J172</f>
        <v>Select</v>
      </c>
      <c r="K226" s="2068">
        <f>'Part II-Development Team'!K172</f>
        <v>0</v>
      </c>
      <c r="L226" s="2068">
        <f>'Part II-Development Team'!L172</f>
        <v>0</v>
      </c>
      <c r="M226" s="2068" t="str">
        <f>'Part II-Development Team'!M172</f>
        <v>Select</v>
      </c>
      <c r="N226" s="2070">
        <f>'Part II-Development Team'!N172</f>
        <v>0</v>
      </c>
      <c r="O226" s="2070"/>
      <c r="P226" s="2070"/>
      <c r="Q226" s="2070"/>
      <c r="R226" s="2070"/>
      <c r="S226" s="2070"/>
      <c r="U226" s="2018" t="s">
        <v>1884</v>
      </c>
      <c r="V226" s="2018"/>
      <c r="Z226" s="1624">
        <v>172</v>
      </c>
    </row>
    <row r="227" spans="1:26" s="1821" customFormat="1" ht="15">
      <c r="A227" s="2074" t="s">
        <v>3064</v>
      </c>
      <c r="B227" s="2035"/>
      <c r="C227" s="2035"/>
      <c r="D227" s="2035"/>
      <c r="E227" s="2069">
        <f>'Part II-Development Team'!E173</f>
        <v>0</v>
      </c>
      <c r="F227" s="2070"/>
      <c r="G227" s="2070"/>
      <c r="H227" s="2070"/>
      <c r="I227" s="2068" t="str">
        <f>'Part II-Development Team'!I173</f>
        <v>Select</v>
      </c>
      <c r="J227" s="2068" t="str">
        <f>'Part II-Development Team'!J173</f>
        <v>Select</v>
      </c>
      <c r="K227" s="2068">
        <f>'Part II-Development Team'!K173</f>
        <v>0</v>
      </c>
      <c r="L227" s="2068">
        <f>'Part II-Development Team'!L173</f>
        <v>0</v>
      </c>
      <c r="M227" s="2068" t="str">
        <f>'Part II-Development Team'!M173</f>
        <v>Select</v>
      </c>
      <c r="N227" s="2070">
        <f>'Part II-Development Team'!N173</f>
        <v>0</v>
      </c>
      <c r="O227" s="2070"/>
      <c r="P227" s="2070"/>
      <c r="Q227" s="2070"/>
      <c r="R227" s="2070"/>
      <c r="S227" s="2070"/>
      <c r="U227" s="2018"/>
      <c r="V227" s="2018"/>
      <c r="Z227" s="1624">
        <v>173</v>
      </c>
    </row>
    <row r="228" spans="1:26" s="1821" customFormat="1" ht="15">
      <c r="A228" s="2074" t="s">
        <v>3065</v>
      </c>
      <c r="B228" s="2035"/>
      <c r="C228" s="2035"/>
      <c r="D228" s="2035"/>
      <c r="E228" s="2069">
        <f>'Part II-Development Team'!E174</f>
        <v>0</v>
      </c>
      <c r="F228" s="2070"/>
      <c r="G228" s="2070"/>
      <c r="H228" s="2070"/>
      <c r="I228" s="2068" t="str">
        <f>'Part II-Development Team'!I174</f>
        <v>Select</v>
      </c>
      <c r="J228" s="2068" t="str">
        <f>'Part II-Development Team'!J174</f>
        <v>Select</v>
      </c>
      <c r="K228" s="2068">
        <f>'Part II-Development Team'!K174</f>
        <v>0</v>
      </c>
      <c r="L228" s="2068">
        <f>'Part II-Development Team'!L174</f>
        <v>0</v>
      </c>
      <c r="M228" s="2068" t="str">
        <f>'Part II-Development Team'!M174</f>
        <v>Select</v>
      </c>
      <c r="N228" s="2070">
        <f>'Part II-Development Team'!N174</f>
        <v>0</v>
      </c>
      <c r="O228" s="2070"/>
      <c r="P228" s="2070"/>
      <c r="Q228" s="2070"/>
      <c r="R228" s="2070"/>
      <c r="S228" s="2070"/>
      <c r="U228" s="2018"/>
      <c r="V228" s="2018"/>
      <c r="Z228" s="1624">
        <v>174</v>
      </c>
    </row>
    <row r="229" spans="1:26" s="1821" customFormat="1" ht="15">
      <c r="A229" s="2074" t="s">
        <v>3066</v>
      </c>
      <c r="B229" s="2035"/>
      <c r="C229" s="2035"/>
      <c r="D229" s="2035"/>
      <c r="E229" s="2069">
        <f>'Part II-Development Team'!E175</f>
        <v>0</v>
      </c>
      <c r="F229" s="2070"/>
      <c r="G229" s="2070"/>
      <c r="H229" s="2070"/>
      <c r="I229" s="2068" t="str">
        <f>'Part II-Development Team'!I175</f>
        <v>Select</v>
      </c>
      <c r="J229" s="2068" t="str">
        <f>'Part II-Development Team'!J175</f>
        <v>Select</v>
      </c>
      <c r="K229" s="2068">
        <f>'Part II-Development Team'!K175</f>
        <v>0</v>
      </c>
      <c r="L229" s="2068">
        <f>'Part II-Development Team'!L175</f>
        <v>0</v>
      </c>
      <c r="M229" s="2068" t="str">
        <f>'Part II-Development Team'!M175</f>
        <v>Select</v>
      </c>
      <c r="N229" s="2070">
        <f>'Part II-Development Team'!N175</f>
        <v>0</v>
      </c>
      <c r="O229" s="2070"/>
      <c r="P229" s="2070"/>
      <c r="Q229" s="2070"/>
      <c r="R229" s="2070"/>
      <c r="S229" s="2070"/>
      <c r="U229" s="2018"/>
      <c r="V229" s="2018"/>
      <c r="Z229" s="1624">
        <v>175</v>
      </c>
    </row>
    <row r="230" spans="1:26" s="1821" customFormat="1" ht="15">
      <c r="A230" s="2074" t="s">
        <v>2571</v>
      </c>
      <c r="B230" s="2035"/>
      <c r="C230" s="2035"/>
      <c r="D230" s="2035"/>
      <c r="E230" s="2069">
        <f>'Part II-Development Team'!E176</f>
        <v>0</v>
      </c>
      <c r="F230" s="2070"/>
      <c r="G230" s="2070"/>
      <c r="H230" s="2070"/>
      <c r="I230" s="2068" t="str">
        <f>'Part II-Development Team'!I176</f>
        <v>Select</v>
      </c>
      <c r="J230" s="2068" t="str">
        <f>'Part II-Development Team'!J176</f>
        <v>Select</v>
      </c>
      <c r="K230" s="2068">
        <f>'Part II-Development Team'!K176</f>
        <v>0</v>
      </c>
      <c r="L230" s="2068">
        <f>'Part II-Development Team'!L176</f>
        <v>0</v>
      </c>
      <c r="M230" s="2068" t="str">
        <f>'Part II-Development Team'!M176</f>
        <v>Select</v>
      </c>
      <c r="N230" s="2070">
        <f>'Part II-Development Team'!N176</f>
        <v>0</v>
      </c>
      <c r="O230" s="2070"/>
      <c r="P230" s="2070"/>
      <c r="Q230" s="2070"/>
      <c r="R230" s="2070"/>
      <c r="S230" s="2070"/>
      <c r="U230" s="2018"/>
      <c r="V230" s="2018"/>
      <c r="Z230" s="1624">
        <v>176</v>
      </c>
    </row>
    <row r="231" spans="1:26" s="1821" customFormat="1" ht="15">
      <c r="A231" s="2074" t="s">
        <v>607</v>
      </c>
      <c r="B231" s="2035"/>
      <c r="C231" s="2035"/>
      <c r="D231" s="2035"/>
      <c r="E231" s="2069">
        <f>'Part II-Development Team'!E177</f>
        <v>0</v>
      </c>
      <c r="F231" s="2070"/>
      <c r="G231" s="2070"/>
      <c r="H231" s="2070"/>
      <c r="I231" s="2068" t="str">
        <f>'Part II-Development Team'!I177</f>
        <v>Select</v>
      </c>
      <c r="J231" s="2068" t="str">
        <f>'Part II-Development Team'!J177</f>
        <v>Select</v>
      </c>
      <c r="K231" s="2068">
        <f>'Part II-Development Team'!K177</f>
        <v>0</v>
      </c>
      <c r="L231" s="2068">
        <f>'Part II-Development Team'!L177</f>
        <v>0</v>
      </c>
      <c r="M231" s="2068" t="str">
        <f>'Part II-Development Team'!M177</f>
        <v>Select</v>
      </c>
      <c r="N231" s="2070">
        <f>'Part II-Development Team'!N177</f>
        <v>0</v>
      </c>
      <c r="O231" s="2070"/>
      <c r="P231" s="2070"/>
      <c r="Q231" s="2070"/>
      <c r="R231" s="2070"/>
      <c r="S231" s="2070"/>
      <c r="U231" s="2018"/>
      <c r="V231" s="2018"/>
      <c r="Z231" s="1624">
        <v>177</v>
      </c>
    </row>
    <row r="232" spans="1:26" s="1821" customFormat="1">
      <c r="A232" s="2074" t="s">
        <v>2572</v>
      </c>
      <c r="B232" s="2035"/>
      <c r="C232" s="2035"/>
      <c r="D232" s="2035"/>
      <c r="E232" s="2069">
        <f>'Part II-Development Team'!E178</f>
        <v>0</v>
      </c>
      <c r="F232" s="2070"/>
      <c r="G232" s="2070"/>
      <c r="H232" s="2070"/>
      <c r="I232" s="2068" t="str">
        <f>'Part II-Development Team'!I178</f>
        <v>Select</v>
      </c>
      <c r="J232" s="2068" t="str">
        <f>'Part II-Development Team'!J178</f>
        <v>Select</v>
      </c>
      <c r="K232" s="2068">
        <f>'Part II-Development Team'!K178</f>
        <v>0</v>
      </c>
      <c r="L232" s="2068">
        <f>'Part II-Development Team'!L178</f>
        <v>0</v>
      </c>
      <c r="M232" s="2068" t="str">
        <f>'Part II-Development Team'!M178</f>
        <v>Select</v>
      </c>
      <c r="N232" s="2070">
        <f>'Part II-Development Team'!N178</f>
        <v>0</v>
      </c>
      <c r="O232" s="2070"/>
      <c r="P232" s="2070"/>
      <c r="Q232" s="2070"/>
      <c r="R232" s="2070"/>
      <c r="S232" s="2070"/>
      <c r="Z232" s="1624">
        <v>178</v>
      </c>
    </row>
    <row r="233" spans="1:26" s="1821" customFormat="1">
      <c r="A233" s="2074" t="s">
        <v>2573</v>
      </c>
      <c r="B233" s="2035"/>
      <c r="C233" s="2035"/>
      <c r="D233" s="2035"/>
      <c r="E233" s="2069">
        <f>'Part II-Development Team'!E179</f>
        <v>0</v>
      </c>
      <c r="F233" s="2070"/>
      <c r="G233" s="2070"/>
      <c r="H233" s="2070"/>
      <c r="I233" s="2068" t="str">
        <f>'Part II-Development Team'!I179</f>
        <v>Select</v>
      </c>
      <c r="J233" s="2068" t="str">
        <f>'Part II-Development Team'!J179</f>
        <v>Select</v>
      </c>
      <c r="K233" s="2068">
        <f>'Part II-Development Team'!K179</f>
        <v>0</v>
      </c>
      <c r="L233" s="2068">
        <f>'Part II-Development Team'!L179</f>
        <v>0</v>
      </c>
      <c r="M233" s="2068" t="str">
        <f>'Part II-Development Team'!M179</f>
        <v>Select</v>
      </c>
      <c r="N233" s="2070">
        <f>'Part II-Development Team'!N179</f>
        <v>0</v>
      </c>
      <c r="O233" s="2070"/>
      <c r="P233" s="2070"/>
      <c r="Q233" s="2070"/>
      <c r="R233" s="2070"/>
      <c r="S233" s="2070"/>
      <c r="Z233" s="1624">
        <v>179</v>
      </c>
    </row>
    <row r="234" spans="1:26" s="1821" customFormat="1">
      <c r="A234" s="2074" t="s">
        <v>2575</v>
      </c>
      <c r="B234" s="2035"/>
      <c r="C234" s="2035"/>
      <c r="D234" s="2035"/>
      <c r="E234" s="2069">
        <f>'Part II-Development Team'!E180</f>
        <v>0</v>
      </c>
      <c r="F234" s="2070"/>
      <c r="G234" s="2070"/>
      <c r="H234" s="2070"/>
      <c r="I234" s="2068" t="str">
        <f>'Part II-Development Team'!I180</f>
        <v>Select</v>
      </c>
      <c r="J234" s="2068" t="str">
        <f>'Part II-Development Team'!J180</f>
        <v>Select</v>
      </c>
      <c r="K234" s="2068">
        <f>'Part II-Development Team'!K180</f>
        <v>0</v>
      </c>
      <c r="L234" s="2068">
        <f>'Part II-Development Team'!L180</f>
        <v>0</v>
      </c>
      <c r="M234" s="2068" t="str">
        <f>'Part II-Development Team'!M180</f>
        <v>Select</v>
      </c>
      <c r="N234" s="2070">
        <f>'Part II-Development Team'!N180</f>
        <v>0</v>
      </c>
      <c r="O234" s="2070"/>
      <c r="P234" s="2070"/>
      <c r="Q234" s="2070"/>
      <c r="R234" s="2070"/>
      <c r="S234" s="2070"/>
      <c r="Z234" s="1624">
        <v>180</v>
      </c>
    </row>
    <row r="235" spans="1:26" s="1821" customFormat="1">
      <c r="A235" s="2074" t="s">
        <v>2574</v>
      </c>
      <c r="B235" s="2035"/>
      <c r="C235" s="2035"/>
      <c r="D235" s="2035"/>
      <c r="E235" s="2069">
        <f>'Part II-Development Team'!E181</f>
        <v>0</v>
      </c>
      <c r="F235" s="2070"/>
      <c r="G235" s="2070"/>
      <c r="H235" s="2070"/>
      <c r="I235" s="2068" t="str">
        <f>'Part II-Development Team'!I181</f>
        <v>Select</v>
      </c>
      <c r="J235" s="2068" t="str">
        <f>'Part II-Development Team'!J181</f>
        <v>Select</v>
      </c>
      <c r="K235" s="2068">
        <f>'Part II-Development Team'!K181</f>
        <v>0</v>
      </c>
      <c r="L235" s="2068">
        <f>'Part II-Development Team'!L181</f>
        <v>0</v>
      </c>
      <c r="M235" s="2068" t="str">
        <f>'Part II-Development Team'!M181</f>
        <v>Select</v>
      </c>
      <c r="N235" s="2070">
        <f>'Part II-Development Team'!N181</f>
        <v>0</v>
      </c>
      <c r="O235" s="2070"/>
      <c r="P235" s="2070"/>
      <c r="Q235" s="2070"/>
      <c r="R235" s="2070"/>
      <c r="S235" s="2070"/>
      <c r="Z235" s="1624">
        <v>181</v>
      </c>
    </row>
    <row r="236" spans="1:26" s="1821" customFormat="1">
      <c r="A236" s="2074" t="s">
        <v>1432</v>
      </c>
      <c r="B236" s="2035"/>
      <c r="C236" s="2035"/>
      <c r="D236" s="2035"/>
      <c r="E236" s="2069">
        <f>'Part II-Development Team'!E182</f>
        <v>0</v>
      </c>
      <c r="F236" s="2070"/>
      <c r="G236" s="2070"/>
      <c r="H236" s="2070"/>
      <c r="I236" s="2068" t="str">
        <f>'Part II-Development Team'!I182</f>
        <v>Select</v>
      </c>
      <c r="J236" s="2068" t="str">
        <f>'Part II-Development Team'!J182</f>
        <v>Select</v>
      </c>
      <c r="K236" s="2068">
        <f>'Part II-Development Team'!K182</f>
        <v>0</v>
      </c>
      <c r="L236" s="2068">
        <f>'Part II-Development Team'!L182</f>
        <v>0</v>
      </c>
      <c r="M236" s="2068" t="str">
        <f>'Part II-Development Team'!M182</f>
        <v>Select</v>
      </c>
      <c r="N236" s="2070">
        <f>'Part II-Development Team'!N182</f>
        <v>0</v>
      </c>
      <c r="O236" s="2070"/>
      <c r="P236" s="2070"/>
      <c r="Q236" s="2070"/>
      <c r="R236" s="2070"/>
      <c r="S236" s="2070"/>
      <c r="Z236" s="1624">
        <v>182</v>
      </c>
    </row>
    <row r="237" spans="1:26" s="1821" customFormat="1">
      <c r="A237" s="2074" t="s">
        <v>2576</v>
      </c>
      <c r="B237" s="2035"/>
      <c r="C237" s="2035"/>
      <c r="D237" s="2035"/>
      <c r="E237" s="2069">
        <f>'Part II-Development Team'!E183</f>
        <v>0</v>
      </c>
      <c r="F237" s="2070"/>
      <c r="G237" s="2070"/>
      <c r="H237" s="2070"/>
      <c r="I237" s="2068" t="str">
        <f>'Part II-Development Team'!I183</f>
        <v>Select</v>
      </c>
      <c r="J237" s="2068" t="str">
        <f>'Part II-Development Team'!J183</f>
        <v>Select</v>
      </c>
      <c r="K237" s="2068">
        <f>'Part II-Development Team'!K183</f>
        <v>0</v>
      </c>
      <c r="L237" s="2068">
        <f>'Part II-Development Team'!L183</f>
        <v>0</v>
      </c>
      <c r="M237" s="2068" t="str">
        <f>'Part II-Development Team'!M183</f>
        <v>Select</v>
      </c>
      <c r="N237" s="2070">
        <f>'Part II-Development Team'!N183</f>
        <v>0</v>
      </c>
      <c r="O237" s="2070"/>
      <c r="P237" s="2070"/>
      <c r="Q237" s="2070"/>
      <c r="R237" s="2070"/>
      <c r="S237" s="2070"/>
      <c r="Z237" s="1624">
        <v>183</v>
      </c>
    </row>
    <row r="238" spans="1:26" s="1821" customFormat="1" ht="12" customHeight="1">
      <c r="J238" s="1624"/>
      <c r="K238" s="2056" t="s">
        <v>504</v>
      </c>
      <c r="L238" s="2075">
        <f>SUM(L225:L237)</f>
        <v>0</v>
      </c>
      <c r="M238" s="1624"/>
      <c r="P238" s="378"/>
      <c r="Z238" s="1624">
        <v>184</v>
      </c>
    </row>
    <row r="239" spans="1:26" s="378" customFormat="1" ht="11.25" customHeight="1">
      <c r="A239" s="378" t="s">
        <v>496</v>
      </c>
      <c r="C239" s="378" t="s">
        <v>530</v>
      </c>
      <c r="N239" s="378" t="s">
        <v>496</v>
      </c>
      <c r="O239" s="378" t="s">
        <v>74</v>
      </c>
      <c r="Z239" s="1624">
        <v>185</v>
      </c>
    </row>
    <row r="240" spans="1:26" s="378" customFormat="1" ht="13.5">
      <c r="A240" s="2049">
        <f>'Part II-Development Team'!A186</f>
        <v>0</v>
      </c>
      <c r="B240" s="2050"/>
      <c r="C240" s="2050"/>
      <c r="D240" s="2050"/>
      <c r="E240" s="2050"/>
      <c r="F240" s="2050"/>
      <c r="G240" s="2050"/>
      <c r="H240" s="2050"/>
      <c r="I240" s="2050"/>
      <c r="J240" s="2050"/>
      <c r="K240" s="2050"/>
      <c r="L240" s="2050"/>
      <c r="M240" s="2050"/>
      <c r="N240" s="2050"/>
      <c r="O240" s="2050"/>
      <c r="P240" s="2050"/>
      <c r="Q240" s="2050"/>
      <c r="R240" s="2050"/>
      <c r="S240" s="2050"/>
      <c r="T240" s="357"/>
      <c r="U240" s="357"/>
      <c r="V240" s="357"/>
      <c r="W240" s="357"/>
      <c r="X240" s="357"/>
      <c r="Z240" s="1624">
        <v>186</v>
      </c>
    </row>
    <row r="244" spans="1:52" s="2046" customFormat="1" ht="14.1" customHeight="1">
      <c r="A244" s="1821" t="str">
        <f>CONCATENATE("PART TWO - SOURCES OF FUNDS (Proposed)","  -  ",'Part I-Project Identification'!$O$7," ",'Part I-Project Identification'!$F$29,", ",'Part I-Project Identification'!$F$30,", ",'Part I-Project Identification'!$J$30," County")</f>
        <v>PART TWO - SOURCES OF FUNDS (Proposed)  -  2022-522 Harrison Village Apartments, Gainesville, Hall County</v>
      </c>
      <c r="B244" s="1821"/>
      <c r="C244" s="1821"/>
      <c r="D244" s="1821"/>
      <c r="E244" s="1821"/>
      <c r="F244" s="1821"/>
      <c r="G244" s="1821"/>
      <c r="H244" s="1821"/>
      <c r="I244" s="1821"/>
      <c r="J244" s="1821"/>
      <c r="K244" s="1821"/>
      <c r="L244" s="1821"/>
      <c r="M244" s="1821"/>
      <c r="N244" s="1821"/>
      <c r="O244" s="1821"/>
      <c r="P244" s="1821"/>
      <c r="Q244" s="1821"/>
      <c r="S244" s="2046" t="str">
        <f>$A$2</f>
        <v>Harrison Village Apartments</v>
      </c>
      <c r="Z244" s="1624">
        <v>2</v>
      </c>
    </row>
    <row r="245" spans="1:52" s="2076" customFormat="1" ht="17.45" customHeight="1">
      <c r="A245" s="378"/>
      <c r="B245" s="378"/>
      <c r="C245" s="378"/>
      <c r="D245" s="378"/>
      <c r="E245" s="378"/>
      <c r="F245" s="378"/>
      <c r="G245" s="359"/>
      <c r="H245" s="359"/>
      <c r="I245" s="359"/>
      <c r="J245" s="359"/>
      <c r="K245" s="359"/>
      <c r="L245" s="359"/>
      <c r="Y245" s="2046"/>
      <c r="Z245" s="1624">
        <v>3</v>
      </c>
      <c r="AZ245" s="2046"/>
    </row>
    <row r="246" spans="1:52" s="2046" customFormat="1" ht="13.35" customHeight="1">
      <c r="A246" s="1821" t="s">
        <v>573</v>
      </c>
      <c r="B246" s="1821" t="s">
        <v>2295</v>
      </c>
      <c r="C246" s="1821"/>
      <c r="D246" s="1821"/>
      <c r="E246" s="1821"/>
      <c r="F246" s="1821"/>
      <c r="G246" s="1821"/>
      <c r="L246" s="2077" t="str">
        <f>'Part I-Project Identification'!$A$6</f>
        <v>Sept 20, 2022 Core Application - 4% Only</v>
      </c>
      <c r="M246" s="2077"/>
      <c r="N246" s="2077"/>
      <c r="O246" s="2077"/>
      <c r="P246" s="2077"/>
      <c r="S246" s="2046" t="str">
        <f>B246</f>
        <v>GOVERNMENT FUNDING SOURCES  (check all that apply)</v>
      </c>
      <c r="Z246" s="1624">
        <v>4</v>
      </c>
    </row>
    <row r="247" spans="1:52" s="2046" customFormat="1" ht="15.75" customHeight="1">
      <c r="A247" s="378"/>
      <c r="B247" s="1624"/>
      <c r="C247" s="378"/>
      <c r="D247" s="1821"/>
      <c r="E247" s="1821"/>
      <c r="F247" s="1821"/>
      <c r="G247" s="1821"/>
      <c r="S247" s="357" t="s">
        <v>2449</v>
      </c>
      <c r="T247" s="357"/>
      <c r="Z247" s="1624">
        <v>5</v>
      </c>
    </row>
    <row r="248" spans="1:52" s="2046" customFormat="1" ht="16.5" customHeight="1">
      <c r="A248" s="1624"/>
      <c r="B248" s="2038" t="str">
        <f>'Part II-Sources of Funds'!B6</f>
        <v>Yes</v>
      </c>
      <c r="C248" s="2023" t="s">
        <v>2220</v>
      </c>
      <c r="D248" s="1821"/>
      <c r="E248" s="2038" t="str">
        <f>'Part II-Sources of Funds'!E6</f>
        <v>No</v>
      </c>
      <c r="F248" s="2023" t="s">
        <v>6085</v>
      </c>
      <c r="G248" s="1821"/>
      <c r="I248" s="2078">
        <f>'Part II-Sources of Funds'!I6</f>
        <v>0</v>
      </c>
      <c r="J248" s="2079"/>
      <c r="L248" s="2038" t="str">
        <f>'Part II-Sources of Funds'!L6</f>
        <v>No</v>
      </c>
      <c r="M248" s="2023" t="s">
        <v>1438</v>
      </c>
      <c r="Q248" s="2080"/>
      <c r="S248" s="2050"/>
      <c r="T248" s="2050"/>
      <c r="Z248" s="1624">
        <v>6</v>
      </c>
    </row>
    <row r="249" spans="1:52" s="2046" customFormat="1" ht="16.5" customHeight="1">
      <c r="A249" s="1624"/>
      <c r="B249" s="2038" t="str">
        <f>'Part II-Sources of Funds'!B7</f>
        <v>No</v>
      </c>
      <c r="C249" s="2023" t="s">
        <v>3882</v>
      </c>
      <c r="D249" s="1821"/>
      <c r="E249" s="2038" t="str">
        <f>'Part II-Sources of Funds'!E7</f>
        <v>No</v>
      </c>
      <c r="F249" s="2023" t="s">
        <v>6086</v>
      </c>
      <c r="I249" s="2078">
        <f>'Part II-Sources of Funds'!I7</f>
        <v>0</v>
      </c>
      <c r="J249" s="2079"/>
      <c r="L249" s="2038" t="str">
        <f>'Part II-Sources of Funds'!L7</f>
        <v>No</v>
      </c>
      <c r="M249" s="2023" t="s">
        <v>514</v>
      </c>
      <c r="P249" s="2080"/>
      <c r="Q249" s="2080"/>
      <c r="S249" s="2050"/>
      <c r="T249" s="2050"/>
      <c r="Z249" s="1624">
        <v>7</v>
      </c>
    </row>
    <row r="250" spans="1:52" s="2046" customFormat="1" ht="16.5" customHeight="1">
      <c r="A250" s="1821"/>
      <c r="B250" s="2038" t="str">
        <f>'Part II-Sources of Funds'!B8</f>
        <v>No</v>
      </c>
      <c r="C250" s="2023" t="s">
        <v>6672</v>
      </c>
      <c r="F250" s="2046" t="s">
        <v>6675</v>
      </c>
      <c r="H250" s="2033" t="str">
        <f>'Part II-Sources of Funds'!H8</f>
        <v>Specify Other HOME Source here</v>
      </c>
      <c r="I250" s="2033"/>
      <c r="J250" s="2033"/>
      <c r="L250" s="2038" t="str">
        <f>'Part II-Sources of Funds'!L8</f>
        <v>No</v>
      </c>
      <c r="M250" s="2023" t="s">
        <v>6677</v>
      </c>
      <c r="P250" s="2080"/>
      <c r="Q250" s="2080"/>
      <c r="S250" s="2050"/>
      <c r="T250" s="2050"/>
      <c r="Z250" s="1624">
        <v>8</v>
      </c>
    </row>
    <row r="251" spans="1:52" s="2046" customFormat="1" ht="16.5" customHeight="1">
      <c r="A251" s="1624"/>
      <c r="B251" s="2038" t="str">
        <f>'Part II-Sources of Funds'!B9</f>
        <v>No</v>
      </c>
      <c r="C251" s="2046" t="s">
        <v>3305</v>
      </c>
      <c r="E251" s="2038" t="str">
        <f>'Part II-Sources of Funds'!E9</f>
        <v>No</v>
      </c>
      <c r="F251" s="2033" t="str">
        <f>'Part II-Sources of Funds'!F9</f>
        <v>Other Type of FEDERAL Funding * - describe type/program here</v>
      </c>
      <c r="G251" s="2033"/>
      <c r="H251" s="2033"/>
      <c r="I251" s="2033"/>
      <c r="J251" s="2033"/>
      <c r="L251" s="2038" t="str">
        <f>'Part II-Sources of Funds'!L9</f>
        <v>No</v>
      </c>
      <c r="M251" s="2023" t="s">
        <v>3883</v>
      </c>
      <c r="Q251" s="2080"/>
      <c r="S251" s="2050"/>
      <c r="T251" s="2050"/>
      <c r="Z251" s="1624">
        <v>9</v>
      </c>
    </row>
    <row r="252" spans="1:52" s="2046" customFormat="1" ht="16.5" customHeight="1">
      <c r="A252" s="1624"/>
      <c r="B252" s="2038" t="str">
        <f>'Part II-Sources of Funds'!B10</f>
        <v>No</v>
      </c>
      <c r="C252" s="2023" t="s">
        <v>2395</v>
      </c>
      <c r="F252" s="2033" t="str">
        <f>'Part II-Sources of Funds'!F10</f>
        <v>Specify Source/Administrator of Other FEDERAL Funding here</v>
      </c>
      <c r="G252" s="2033"/>
      <c r="H252" s="2033"/>
      <c r="I252" s="2033"/>
      <c r="J252" s="2033"/>
      <c r="L252" s="2038" t="str">
        <f>'Part II-Sources of Funds'!L10</f>
        <v>No</v>
      </c>
      <c r="M252" s="2023" t="s">
        <v>3196</v>
      </c>
      <c r="P252" s="2080"/>
      <c r="Q252" s="2080"/>
      <c r="S252" s="2050"/>
      <c r="T252" s="2050"/>
      <c r="Z252" s="1624">
        <v>10</v>
      </c>
    </row>
    <row r="253" spans="1:52" s="2046" customFormat="1" ht="16.5" customHeight="1">
      <c r="A253" s="1624"/>
      <c r="B253" s="2038" t="str">
        <f>'Part II-Sources of Funds'!B11</f>
        <v>No</v>
      </c>
      <c r="C253" s="2023" t="s">
        <v>2396</v>
      </c>
      <c r="E253" s="2038" t="str">
        <f>'Part II-Sources of Funds'!E11</f>
        <v>No</v>
      </c>
      <c r="F253" s="2033" t="str">
        <f>'Part II-Sources of Funds'!F11</f>
        <v>Other Type of STATE/LOCAL Funding * - describe type/program here</v>
      </c>
      <c r="G253" s="2033"/>
      <c r="H253" s="2033"/>
      <c r="I253" s="2033"/>
      <c r="J253" s="2033"/>
      <c r="L253" s="2038" t="str">
        <f>'Part II-Sources of Funds'!L11</f>
        <v>No</v>
      </c>
      <c r="M253" s="2046" t="s">
        <v>2399</v>
      </c>
      <c r="S253" s="2050"/>
      <c r="T253" s="2050"/>
      <c r="Z253" s="1624">
        <v>11</v>
      </c>
    </row>
    <row r="254" spans="1:52" s="2046" customFormat="1" ht="16.5" customHeight="1">
      <c r="A254" s="1624"/>
      <c r="B254" s="2038" t="str">
        <f>'Part II-Sources of Funds'!B12</f>
        <v>No</v>
      </c>
      <c r="C254" s="2023" t="s">
        <v>3197</v>
      </c>
      <c r="F254" s="2033" t="str">
        <f>'Part II-Sources of Funds'!F12</f>
        <v>Specify Source/Administrator of Other STATE/LOCAL Funding here</v>
      </c>
      <c r="G254" s="2033"/>
      <c r="H254" s="2033"/>
      <c r="I254" s="2033"/>
      <c r="J254" s="2033"/>
      <c r="L254" s="2038" t="str">
        <f>'Part II-Sources of Funds'!L12</f>
        <v>No</v>
      </c>
      <c r="M254" s="2046" t="s">
        <v>3223</v>
      </c>
      <c r="S254" s="2050"/>
      <c r="T254" s="2050"/>
      <c r="Z254" s="1624">
        <v>12</v>
      </c>
    </row>
    <row r="255" spans="1:52" s="2046" customFormat="1" ht="16.5" customHeight="1">
      <c r="A255" s="1624"/>
      <c r="B255" s="2038" t="str">
        <f>'Part II-Sources of Funds'!B13</f>
        <v>Yes</v>
      </c>
      <c r="C255" s="2023" t="s">
        <v>6674</v>
      </c>
      <c r="E255" s="2038" t="str">
        <f>'Part II-Sources of Funds'!E13</f>
        <v>No</v>
      </c>
      <c r="F255" s="2023" t="s">
        <v>6676</v>
      </c>
      <c r="H255" s="2033" t="str">
        <f>'Part II-Sources of Funds'!H13</f>
        <v>Specify Other PBRA Source here</v>
      </c>
      <c r="I255" s="2033"/>
      <c r="J255" s="2033"/>
      <c r="L255" s="2038" t="str">
        <f>'Part II-Sources of Funds'!L13</f>
        <v>No</v>
      </c>
      <c r="M255" s="2046" t="s">
        <v>6084</v>
      </c>
      <c r="S255" s="2050"/>
      <c r="T255" s="2050"/>
      <c r="Z255" s="1624">
        <v>13</v>
      </c>
    </row>
    <row r="256" spans="1:52" s="2046" customFormat="1" ht="16.5" customHeight="1">
      <c r="A256" s="1624"/>
      <c r="B256" s="2038" t="str">
        <f>'Part II-Sources of Funds'!B14</f>
        <v>No</v>
      </c>
      <c r="C256" s="2046" t="s">
        <v>2398</v>
      </c>
      <c r="E256" s="2038" t="str">
        <f>'Part II-Sources of Funds'!E14</f>
        <v>No</v>
      </c>
      <c r="F256" s="2023" t="s">
        <v>3304</v>
      </c>
      <c r="L256" s="2038" t="str">
        <f>'Part II-Sources of Funds'!L14</f>
        <v>Yes</v>
      </c>
      <c r="M256" s="2046" t="s">
        <v>6716</v>
      </c>
      <c r="S256" s="2050"/>
      <c r="T256" s="2050"/>
      <c r="Z256" s="1624">
        <v>14</v>
      </c>
    </row>
    <row r="257" spans="1:52" s="2046" customFormat="1" ht="16.5" customHeight="1">
      <c r="A257" s="1624"/>
      <c r="B257" s="2038" t="str">
        <f>'Part II-Sources of Funds'!B15</f>
        <v>No</v>
      </c>
      <c r="C257" s="2046" t="s">
        <v>3222</v>
      </c>
      <c r="E257" s="2038" t="str">
        <f>'Part II-Sources of Funds'!E15</f>
        <v>No</v>
      </c>
      <c r="F257" s="2023" t="s">
        <v>6087</v>
      </c>
      <c r="L257" s="2038" t="str">
        <f>'Part II-Sources of Funds'!L15</f>
        <v>No</v>
      </c>
      <c r="M257" s="2081" t="s">
        <v>6088</v>
      </c>
      <c r="Z257" s="1624">
        <v>15</v>
      </c>
    </row>
    <row r="258" spans="1:52" s="2046" customFormat="1" ht="16.5" customHeight="1">
      <c r="A258" s="1624"/>
      <c r="B258" s="2038" t="str">
        <f>'Part II-Sources of Funds'!B16</f>
        <v>No</v>
      </c>
      <c r="C258" s="2023" t="s">
        <v>1674</v>
      </c>
      <c r="E258" s="2038" t="str">
        <f>'Part II-Sources of Funds'!E16</f>
        <v>Yes</v>
      </c>
      <c r="F258" s="2023" t="s">
        <v>6507</v>
      </c>
      <c r="I258" s="2078">
        <f>'Part II-Sources of Funds'!I16</f>
        <v>28000000</v>
      </c>
      <c r="J258" s="2082"/>
      <c r="L258" s="2038" t="str">
        <f>'Part II-Sources of Funds'!L16</f>
        <v>No</v>
      </c>
      <c r="M258" s="2081" t="s">
        <v>6083</v>
      </c>
      <c r="Z258" s="1624">
        <v>16</v>
      </c>
    </row>
    <row r="259" spans="1:52" s="2046" customFormat="1" ht="17.100000000000001" customHeight="1">
      <c r="A259" s="1624"/>
      <c r="B259" s="2046" t="s">
        <v>3884</v>
      </c>
      <c r="C259" s="1821"/>
      <c r="D259" s="1821"/>
      <c r="E259" s="1821"/>
      <c r="F259" s="1821"/>
      <c r="G259" s="1821"/>
      <c r="H259" s="1821"/>
      <c r="I259" s="1821"/>
      <c r="J259" s="1821"/>
      <c r="K259" s="1821"/>
      <c r="L259" s="1821"/>
      <c r="M259" s="2076"/>
      <c r="N259" s="1821"/>
      <c r="O259" s="1821"/>
      <c r="P259" s="1821"/>
      <c r="Q259" s="1821"/>
      <c r="Z259" s="1624">
        <v>17</v>
      </c>
    </row>
    <row r="260" spans="1:52" s="2046" customFormat="1" ht="12" customHeight="1">
      <c r="A260" s="1624"/>
      <c r="L260" s="1821"/>
      <c r="M260" s="378"/>
      <c r="N260" s="1821"/>
      <c r="O260" s="1821"/>
      <c r="P260" s="1821"/>
      <c r="Q260" s="1821"/>
      <c r="Z260" s="1624">
        <v>18</v>
      </c>
    </row>
    <row r="261" spans="1:52" s="2046" customFormat="1" ht="15" customHeight="1">
      <c r="A261" s="1821" t="s">
        <v>689</v>
      </c>
      <c r="B261" s="2030" t="s">
        <v>2166</v>
      </c>
      <c r="C261" s="1821"/>
      <c r="D261" s="1821"/>
      <c r="E261" s="1821"/>
      <c r="F261" s="1821"/>
      <c r="G261" s="1821"/>
      <c r="L261" s="1821"/>
      <c r="M261" s="1821"/>
      <c r="N261" s="1821"/>
      <c r="O261" s="1821"/>
      <c r="P261" s="1821"/>
      <c r="Q261" s="1821"/>
      <c r="S261" s="2046" t="str">
        <f>B261</f>
        <v>CONSTRUCTION FINANCING</v>
      </c>
      <c r="Z261" s="1624">
        <v>19</v>
      </c>
    </row>
    <row r="262" spans="1:52" s="2046" customFormat="1" ht="5.25" customHeight="1">
      <c r="A262" s="1821"/>
      <c r="B262" s="2030"/>
      <c r="C262" s="1821"/>
      <c r="K262" s="1821"/>
      <c r="L262" s="1821"/>
      <c r="M262" s="1821"/>
      <c r="N262" s="1624"/>
      <c r="O262" s="1624"/>
      <c r="P262" s="1821"/>
      <c r="Q262" s="1821"/>
      <c r="Z262" s="1624">
        <v>20</v>
      </c>
    </row>
    <row r="263" spans="1:52" s="2046" customFormat="1" ht="17.100000000000001" customHeight="1">
      <c r="A263" s="1821"/>
      <c r="B263" s="2030" t="s">
        <v>1734</v>
      </c>
      <c r="C263" s="1821"/>
      <c r="D263" s="1821"/>
      <c r="E263" s="1821"/>
      <c r="F263" s="1821"/>
      <c r="G263" s="1821"/>
      <c r="H263" s="1821" t="s">
        <v>1221</v>
      </c>
      <c r="I263" s="1821"/>
      <c r="J263" s="1821"/>
      <c r="K263" s="1821"/>
      <c r="L263" s="1821" t="s">
        <v>3850</v>
      </c>
      <c r="M263" s="1821"/>
      <c r="N263" s="1821" t="s">
        <v>1411</v>
      </c>
      <c r="O263" s="1821"/>
      <c r="P263" s="1821" t="s">
        <v>1524</v>
      </c>
      <c r="Q263" s="1821"/>
      <c r="S263" s="357" t="s">
        <v>2449</v>
      </c>
      <c r="T263" s="357"/>
      <c r="Z263" s="1624">
        <v>21</v>
      </c>
      <c r="AZ263" s="2046" t="s">
        <v>6349</v>
      </c>
    </row>
    <row r="264" spans="1:52" s="2046" customFormat="1" ht="15.75" customHeight="1">
      <c r="A264" s="1821"/>
      <c r="B264" s="1821" t="s">
        <v>1487</v>
      </c>
      <c r="C264" s="1821"/>
      <c r="D264" s="1821"/>
      <c r="E264" s="1821"/>
      <c r="F264" s="1821"/>
      <c r="G264" s="1821"/>
      <c r="H264" s="2065" t="str">
        <f>'Part II-Sources of Funds'!H22</f>
        <v>JP Morgan Chase</v>
      </c>
      <c r="I264" s="2065"/>
      <c r="J264" s="2065"/>
      <c r="K264" s="2065"/>
      <c r="L264" s="2083">
        <f>'Part II-Sources of Funds'!L22</f>
        <v>24830535</v>
      </c>
      <c r="M264" s="2083"/>
      <c r="N264" s="2084">
        <f>'Part II-Sources of Funds'!N22</f>
        <v>7.7499999999999999E-2</v>
      </c>
      <c r="O264" s="2084"/>
      <c r="P264" s="2085">
        <f>'Part II-Sources of Funds'!P22</f>
        <v>24</v>
      </c>
      <c r="Q264" s="2085"/>
      <c r="S264" s="2050"/>
      <c r="T264" s="2050"/>
      <c r="Y264" s="2046" t="s">
        <v>6349</v>
      </c>
      <c r="Z264" s="1624">
        <v>22</v>
      </c>
      <c r="AZ264" s="2046" t="s">
        <v>6350</v>
      </c>
    </row>
    <row r="265" spans="1:52" s="2046" customFormat="1" ht="15.75" customHeight="1">
      <c r="A265" s="1821"/>
      <c r="B265" s="1821" t="s">
        <v>1488</v>
      </c>
      <c r="C265" s="1821"/>
      <c r="D265" s="1821"/>
      <c r="E265" s="1821"/>
      <c r="F265" s="1821"/>
      <c r="G265" s="1821"/>
      <c r="H265" s="2065">
        <f>'Part II-Sources of Funds'!H23</f>
        <v>0</v>
      </c>
      <c r="I265" s="2065"/>
      <c r="J265" s="2065"/>
      <c r="K265" s="2065"/>
      <c r="L265" s="2083">
        <f>'Part II-Sources of Funds'!L23</f>
        <v>0</v>
      </c>
      <c r="M265" s="2083"/>
      <c r="N265" s="2084">
        <f>'Part II-Sources of Funds'!N23</f>
        <v>0</v>
      </c>
      <c r="O265" s="2084"/>
      <c r="P265" s="2085">
        <f>'Part II-Sources of Funds'!P23</f>
        <v>0</v>
      </c>
      <c r="Q265" s="2082"/>
      <c r="S265" s="2050"/>
      <c r="T265" s="2050"/>
      <c r="Y265" s="2046" t="s">
        <v>6350</v>
      </c>
      <c r="Z265" s="1624">
        <v>23</v>
      </c>
      <c r="AZ265" s="2046" t="s">
        <v>6351</v>
      </c>
    </row>
    <row r="266" spans="1:52" s="2046" customFormat="1" ht="15.75" customHeight="1">
      <c r="A266" s="1821"/>
      <c r="B266" s="1821" t="s">
        <v>1489</v>
      </c>
      <c r="C266" s="1821"/>
      <c r="D266" s="1821"/>
      <c r="E266" s="1821"/>
      <c r="F266" s="1821"/>
      <c r="G266" s="1821"/>
      <c r="H266" s="2065">
        <f>'Part II-Sources of Funds'!H24</f>
        <v>0</v>
      </c>
      <c r="I266" s="2065"/>
      <c r="J266" s="2065"/>
      <c r="K266" s="2065"/>
      <c r="L266" s="2083">
        <f>'Part II-Sources of Funds'!L24</f>
        <v>0</v>
      </c>
      <c r="M266" s="2083"/>
      <c r="N266" s="2084">
        <f>'Part II-Sources of Funds'!N24</f>
        <v>0</v>
      </c>
      <c r="O266" s="2084"/>
      <c r="P266" s="2085">
        <f>'Part II-Sources of Funds'!P24</f>
        <v>0</v>
      </c>
      <c r="Q266" s="2082"/>
      <c r="S266" s="2050"/>
      <c r="T266" s="2050"/>
      <c r="Y266" s="2046" t="s">
        <v>6351</v>
      </c>
      <c r="Z266" s="1624">
        <v>24</v>
      </c>
      <c r="AZ266" s="2046" t="s">
        <v>6352</v>
      </c>
    </row>
    <row r="267" spans="1:52" s="2046" customFormat="1" ht="15.75" customHeight="1">
      <c r="A267" s="1821"/>
      <c r="B267" s="1821" t="s">
        <v>2048</v>
      </c>
      <c r="C267" s="1821"/>
      <c r="D267" s="1821"/>
      <c r="E267" s="1821"/>
      <c r="F267" s="1821"/>
      <c r="G267" s="1821"/>
      <c r="H267" s="2065">
        <f>'Part II-Sources of Funds'!H25</f>
        <v>0</v>
      </c>
      <c r="I267" s="2065"/>
      <c r="J267" s="2065"/>
      <c r="K267" s="2065"/>
      <c r="L267" s="2083">
        <f>'Part II-Sources of Funds'!L25</f>
        <v>0</v>
      </c>
      <c r="M267" s="2083"/>
      <c r="N267" s="2086"/>
      <c r="O267" s="2086"/>
      <c r="P267" s="1821"/>
      <c r="Q267" s="1821"/>
      <c r="S267" s="2050"/>
      <c r="T267" s="2050"/>
      <c r="Y267" s="2046" t="s">
        <v>6352</v>
      </c>
      <c r="Z267" s="1624">
        <v>25</v>
      </c>
      <c r="AZ267" s="2046" t="s">
        <v>6353</v>
      </c>
    </row>
    <row r="268" spans="1:52" s="2046" customFormat="1" ht="15.75" customHeight="1">
      <c r="A268" s="1821"/>
      <c r="B268" s="1821" t="s">
        <v>745</v>
      </c>
      <c r="C268" s="1821"/>
      <c r="D268" s="1821"/>
      <c r="E268" s="1821"/>
      <c r="H268" s="2065">
        <f>'Part II-Sources of Funds'!H26</f>
        <v>0</v>
      </c>
      <c r="I268" s="2065"/>
      <c r="J268" s="2065"/>
      <c r="K268" s="2065"/>
      <c r="L268" s="2083">
        <f>'Part II-Sources of Funds'!L26</f>
        <v>0</v>
      </c>
      <c r="M268" s="2083"/>
      <c r="N268" s="2086"/>
      <c r="O268" s="2086"/>
      <c r="P268" s="1821"/>
      <c r="Q268" s="1821"/>
      <c r="S268" s="2050"/>
      <c r="T268" s="2050"/>
      <c r="Y268" s="2046" t="s">
        <v>6353</v>
      </c>
      <c r="Z268" s="1624">
        <v>26</v>
      </c>
      <c r="AZ268" s="2046" t="s">
        <v>6354</v>
      </c>
    </row>
    <row r="269" spans="1:52" s="2046" customFormat="1" ht="15.75" customHeight="1">
      <c r="A269" s="1821"/>
      <c r="B269" s="1821" t="s">
        <v>595</v>
      </c>
      <c r="C269" s="1821"/>
      <c r="D269" s="1821"/>
      <c r="E269" s="1821"/>
      <c r="H269" s="2065">
        <f>'Part II-Sources of Funds'!H27</f>
        <v>0</v>
      </c>
      <c r="I269" s="2065"/>
      <c r="J269" s="2065"/>
      <c r="K269" s="2065"/>
      <c r="L269" s="2083">
        <f>'Part II-Sources of Funds'!L27</f>
        <v>0</v>
      </c>
      <c r="M269" s="2083"/>
      <c r="N269" s="2086"/>
      <c r="O269" s="2086"/>
      <c r="P269" s="1821"/>
      <c r="Q269" s="1821"/>
      <c r="S269" s="2050"/>
      <c r="T269" s="2050"/>
      <c r="Y269" s="2046" t="s">
        <v>6354</v>
      </c>
      <c r="Z269" s="1624">
        <v>27</v>
      </c>
      <c r="AZ269" s="2046" t="s">
        <v>6355</v>
      </c>
    </row>
    <row r="270" spans="1:52" s="2046" customFormat="1" ht="15.75" customHeight="1">
      <c r="A270" s="1821"/>
      <c r="B270" s="1821" t="s">
        <v>746</v>
      </c>
      <c r="C270" s="1821"/>
      <c r="D270" s="1821"/>
      <c r="E270" s="1821"/>
      <c r="H270" s="2065" t="str">
        <f>'Part II-Sources of Funds'!H28</f>
        <v>Redstone Capital Partners</v>
      </c>
      <c r="I270" s="2065"/>
      <c r="J270" s="2065"/>
      <c r="K270" s="2065"/>
      <c r="L270" s="2083">
        <f>'Part II-Sources of Funds'!L28</f>
        <v>4163254</v>
      </c>
      <c r="M270" s="2083"/>
      <c r="N270" s="1821"/>
      <c r="Q270" s="1821"/>
      <c r="S270" s="2050"/>
      <c r="T270" s="2050"/>
      <c r="Y270" s="2046" t="s">
        <v>6355</v>
      </c>
      <c r="Z270" s="1624">
        <v>28</v>
      </c>
      <c r="AZ270" s="2046" t="s">
        <v>6356</v>
      </c>
    </row>
    <row r="271" spans="1:52" s="2046" customFormat="1" ht="15.75" customHeight="1">
      <c r="A271" s="1821"/>
      <c r="B271" s="1821" t="s">
        <v>747</v>
      </c>
      <c r="C271" s="1821"/>
      <c r="D271" s="1821"/>
      <c r="E271" s="1821"/>
      <c r="H271" s="2065" t="str">
        <f>'Part II-Sources of Funds'!H29</f>
        <v>Redstone Capital Partners</v>
      </c>
      <c r="I271" s="2065"/>
      <c r="J271" s="2065"/>
      <c r="K271" s="2065"/>
      <c r="L271" s="2083">
        <f>'Part II-Sources of Funds'!L29</f>
        <v>3591166</v>
      </c>
      <c r="M271" s="2083"/>
      <c r="N271" s="1821"/>
      <c r="Q271" s="1821"/>
      <c r="S271" s="2050"/>
      <c r="T271" s="2050"/>
      <c r="Y271" s="2046" t="s">
        <v>6356</v>
      </c>
      <c r="Z271" s="1624">
        <v>29</v>
      </c>
      <c r="AZ271" s="2046" t="s">
        <v>6357</v>
      </c>
    </row>
    <row r="272" spans="1:52" s="2046" customFormat="1" ht="15.75" customHeight="1">
      <c r="A272" s="1821"/>
      <c r="B272" s="1821" t="s">
        <v>232</v>
      </c>
      <c r="C272" s="1821"/>
      <c r="D272" s="2065">
        <f>'Part II-Sources of Funds'!D30</f>
        <v>0</v>
      </c>
      <c r="E272" s="2065"/>
      <c r="F272" s="2065"/>
      <c r="G272" s="2065"/>
      <c r="H272" s="2065">
        <f>'Part II-Sources of Funds'!H30</f>
        <v>0</v>
      </c>
      <c r="I272" s="2065"/>
      <c r="J272" s="2065"/>
      <c r="K272" s="2065"/>
      <c r="L272" s="2083">
        <f>'Part II-Sources of Funds'!L30</f>
        <v>0</v>
      </c>
      <c r="M272" s="2083"/>
      <c r="N272" s="1821"/>
      <c r="Q272" s="1821"/>
      <c r="S272" s="2050"/>
      <c r="T272" s="2050"/>
      <c r="Y272" s="2046" t="s">
        <v>6357</v>
      </c>
      <c r="Z272" s="1624">
        <v>30</v>
      </c>
      <c r="AZ272" s="2046" t="s">
        <v>6358</v>
      </c>
    </row>
    <row r="273" spans="1:52" s="2046" customFormat="1" ht="15.75" customHeight="1">
      <c r="A273" s="1821"/>
      <c r="B273" s="1821" t="s">
        <v>232</v>
      </c>
      <c r="C273" s="1821"/>
      <c r="D273" s="2065">
        <f>'Part II-Sources of Funds'!D31</f>
        <v>0</v>
      </c>
      <c r="E273" s="2065"/>
      <c r="F273" s="2065"/>
      <c r="G273" s="2065"/>
      <c r="H273" s="2065">
        <f>'Part II-Sources of Funds'!H31</f>
        <v>0</v>
      </c>
      <c r="I273" s="2065"/>
      <c r="J273" s="2065"/>
      <c r="K273" s="2065"/>
      <c r="L273" s="2083">
        <f>'Part II-Sources of Funds'!L31</f>
        <v>0</v>
      </c>
      <c r="M273" s="2083"/>
      <c r="N273" s="1821"/>
      <c r="S273" s="2050"/>
      <c r="T273" s="2050"/>
      <c r="Y273" s="2046" t="s">
        <v>6358</v>
      </c>
      <c r="Z273" s="1624">
        <v>31</v>
      </c>
      <c r="AZ273" s="2046" t="s">
        <v>6359</v>
      </c>
    </row>
    <row r="274" spans="1:52" s="2046" customFormat="1" ht="15.75" customHeight="1">
      <c r="A274" s="1821"/>
      <c r="B274" s="1821" t="s">
        <v>232</v>
      </c>
      <c r="C274" s="1821"/>
      <c r="D274" s="2065">
        <f>'Part II-Sources of Funds'!D32</f>
        <v>0</v>
      </c>
      <c r="E274" s="2065"/>
      <c r="F274" s="2065"/>
      <c r="G274" s="2065"/>
      <c r="H274" s="2065">
        <f>'Part II-Sources of Funds'!H32</f>
        <v>0</v>
      </c>
      <c r="I274" s="2065"/>
      <c r="J274" s="2065"/>
      <c r="K274" s="2065"/>
      <c r="L274" s="2083">
        <f>'Part II-Sources of Funds'!L32</f>
        <v>0</v>
      </c>
      <c r="M274" s="2083"/>
      <c r="N274" s="1821"/>
      <c r="S274" s="2050"/>
      <c r="T274" s="2050"/>
      <c r="Y274" s="2046" t="s">
        <v>6359</v>
      </c>
      <c r="Z274" s="1624">
        <v>32</v>
      </c>
    </row>
    <row r="275" spans="1:52" s="2046" customFormat="1" ht="16.5" customHeight="1">
      <c r="A275" s="1821"/>
      <c r="B275" s="2030" t="s">
        <v>1222</v>
      </c>
      <c r="C275" s="1821"/>
      <c r="D275" s="1821"/>
      <c r="E275" s="1821"/>
      <c r="F275" s="1821"/>
      <c r="G275" s="1821"/>
      <c r="H275" s="1821"/>
      <c r="I275" s="1821"/>
      <c r="L275" s="2087">
        <f>SUM(L264:L274)</f>
        <v>32584955</v>
      </c>
      <c r="M275" s="2087"/>
      <c r="N275" s="378"/>
      <c r="S275" s="2050"/>
      <c r="T275" s="2050"/>
      <c r="Z275" s="1624">
        <v>33</v>
      </c>
    </row>
    <row r="276" spans="1:52" s="2046" customFormat="1" ht="16.5" customHeight="1">
      <c r="A276" s="1821"/>
      <c r="B276" s="2030" t="s">
        <v>1223</v>
      </c>
      <c r="C276" s="1821"/>
      <c r="D276" s="1821"/>
      <c r="E276" s="1821"/>
      <c r="F276" s="1821"/>
      <c r="G276" s="1821"/>
      <c r="H276" s="1821"/>
      <c r="I276" s="1821"/>
      <c r="L276" s="2088">
        <f>'Part II-Sources of Funds'!L34</f>
        <v>32584955</v>
      </c>
      <c r="M276" s="2088"/>
      <c r="N276" s="2089"/>
      <c r="S276" s="2050"/>
      <c r="T276" s="2050"/>
      <c r="Z276" s="1624">
        <v>34</v>
      </c>
    </row>
    <row r="277" spans="1:52" s="2046" customFormat="1" ht="16.5" customHeight="1">
      <c r="A277" s="1821"/>
      <c r="B277" s="2030" t="s">
        <v>2003</v>
      </c>
      <c r="C277" s="1821"/>
      <c r="D277" s="1821"/>
      <c r="E277" s="1821"/>
      <c r="F277" s="1821"/>
      <c r="G277" s="1821"/>
      <c r="H277" s="1821"/>
      <c r="I277" s="1821"/>
      <c r="L277" s="2090">
        <f>L275-L276</f>
        <v>0</v>
      </c>
      <c r="M277" s="2090"/>
      <c r="N277" s="2089"/>
      <c r="S277" s="2050"/>
      <c r="T277" s="2050"/>
      <c r="Z277" s="1624">
        <v>35</v>
      </c>
      <c r="AZ277" s="2076"/>
    </row>
    <row r="278" spans="1:52" s="2076" customFormat="1" ht="9.6" customHeight="1">
      <c r="A278" s="378"/>
      <c r="B278" s="2030"/>
      <c r="C278" s="378"/>
      <c r="D278" s="378"/>
      <c r="E278" s="378"/>
      <c r="F278" s="378"/>
      <c r="G278" s="378"/>
      <c r="H278" s="378"/>
      <c r="I278" s="378"/>
      <c r="J278" s="378"/>
      <c r="K278" s="378"/>
      <c r="L278" s="378"/>
      <c r="M278" s="1624"/>
      <c r="N278" s="1624"/>
      <c r="Z278" s="1624">
        <v>36</v>
      </c>
    </row>
    <row r="279" spans="1:52" s="2076" customFormat="1" ht="9.6" customHeight="1">
      <c r="A279" s="1821" t="s">
        <v>691</v>
      </c>
      <c r="B279" s="2030" t="s">
        <v>744</v>
      </c>
      <c r="C279" s="378"/>
      <c r="D279" s="378"/>
      <c r="E279" s="378"/>
      <c r="F279" s="378"/>
      <c r="G279" s="378"/>
      <c r="H279" s="378"/>
      <c r="I279" s="378"/>
      <c r="J279" s="378"/>
      <c r="K279" s="378"/>
      <c r="L279" s="378"/>
      <c r="M279" s="1624"/>
      <c r="N279" s="1624"/>
      <c r="O279" s="378"/>
      <c r="S279" s="2046" t="str">
        <f>B279</f>
        <v>PERMANENT FINANCING</v>
      </c>
      <c r="Z279" s="1624">
        <v>37</v>
      </c>
      <c r="AZ279" s="2046"/>
    </row>
    <row r="280" spans="1:52" s="2046" customFormat="1" ht="13.35" customHeight="1">
      <c r="A280" s="1821"/>
      <c r="B280" s="1821"/>
      <c r="C280" s="1821"/>
      <c r="D280" s="1821"/>
      <c r="E280" s="1821"/>
      <c r="F280" s="1624"/>
      <c r="G280" s="1624"/>
      <c r="H280" s="1821"/>
      <c r="I280" s="1821"/>
      <c r="K280" s="1683" t="s">
        <v>1949</v>
      </c>
      <c r="L280" s="1624" t="s">
        <v>1219</v>
      </c>
      <c r="M280" s="1624" t="s">
        <v>1224</v>
      </c>
      <c r="P280" s="2089" t="s">
        <v>31</v>
      </c>
      <c r="Q280" s="2089"/>
      <c r="Z280" s="1624">
        <v>38</v>
      </c>
    </row>
    <row r="281" spans="1:52" s="2046" customFormat="1" ht="13.35" customHeight="1">
      <c r="A281" s="1821"/>
      <c r="B281" s="2030" t="s">
        <v>1734</v>
      </c>
      <c r="C281" s="1821"/>
      <c r="D281" s="1821"/>
      <c r="E281" s="1821" t="s">
        <v>1221</v>
      </c>
      <c r="F281" s="1821"/>
      <c r="G281" s="1821"/>
      <c r="H281" s="1821"/>
      <c r="I281" s="1821" t="s">
        <v>3849</v>
      </c>
      <c r="J281" s="1821"/>
      <c r="K281" s="1624" t="s">
        <v>1676</v>
      </c>
      <c r="L281" s="1624" t="s">
        <v>2047</v>
      </c>
      <c r="M281" s="1624" t="s">
        <v>2047</v>
      </c>
      <c r="N281" s="1821" t="s">
        <v>69</v>
      </c>
      <c r="O281" s="1821"/>
      <c r="P281" s="2089"/>
      <c r="Q281" s="2089"/>
      <c r="S281" s="357" t="s">
        <v>2449</v>
      </c>
      <c r="T281" s="357"/>
      <c r="Z281" s="1624">
        <v>39</v>
      </c>
      <c r="AZ281" s="2046" t="s">
        <v>6360</v>
      </c>
    </row>
    <row r="282" spans="1:52" s="2046" customFormat="1" ht="15" customHeight="1">
      <c r="A282" s="1821"/>
      <c r="B282" s="1821" t="s">
        <v>2403</v>
      </c>
      <c r="C282" s="1821"/>
      <c r="D282" s="1821"/>
      <c r="E282" s="2065" t="str">
        <f>'Part II-Sources of Funds'!E40</f>
        <v>Bellwether (Freddie TEL)</v>
      </c>
      <c r="F282" s="2065"/>
      <c r="G282" s="2065"/>
      <c r="H282" s="2065"/>
      <c r="I282" s="2083">
        <f>'Part II-Sources of Funds'!I40</f>
        <v>10500000</v>
      </c>
      <c r="J282" s="2026"/>
      <c r="K282" s="2084">
        <f>'Part II-Sources of Funds'!K40</f>
        <v>6.2050000000000001E-2</v>
      </c>
      <c r="L282" s="2038">
        <f>'Part II-Sources of Funds'!L40</f>
        <v>17</v>
      </c>
      <c r="M282" s="2038">
        <f>'Part II-Sources of Funds'!M40</f>
        <v>40</v>
      </c>
      <c r="N282" s="2026" t="str">
        <f>'Part II-Sources of Funds'!N40</f>
        <v>Amortizing</v>
      </c>
      <c r="O282" s="2026"/>
      <c r="P282" s="2088">
        <f>'Part II-Sources of Funds'!P40</f>
        <v>711358.87799951679</v>
      </c>
      <c r="Q282" s="2088"/>
      <c r="S282" s="2050"/>
      <c r="T282" s="2050"/>
      <c r="Y282" s="2046" t="s">
        <v>6360</v>
      </c>
      <c r="Z282" s="1624">
        <v>40</v>
      </c>
      <c r="AZ282" s="2046" t="s">
        <v>6361</v>
      </c>
    </row>
    <row r="283" spans="1:52" s="2046" customFormat="1" ht="15" customHeight="1">
      <c r="A283" s="1821"/>
      <c r="B283" s="1821" t="s">
        <v>2404</v>
      </c>
      <c r="C283" s="1821"/>
      <c r="D283" s="1821"/>
      <c r="E283" s="2065">
        <f>'Part II-Sources of Funds'!E41</f>
        <v>0</v>
      </c>
      <c r="F283" s="2065"/>
      <c r="G283" s="2065"/>
      <c r="H283" s="2065"/>
      <c r="I283" s="2083">
        <f>'Part II-Sources of Funds'!I41</f>
        <v>0</v>
      </c>
      <c r="J283" s="2026"/>
      <c r="K283" s="2084">
        <f>'Part II-Sources of Funds'!K41</f>
        <v>0</v>
      </c>
      <c r="L283" s="2038">
        <f>'Part II-Sources of Funds'!L41</f>
        <v>0</v>
      </c>
      <c r="M283" s="2038">
        <f>'Part II-Sources of Funds'!M41</f>
        <v>0</v>
      </c>
      <c r="N283" s="2026">
        <f>'Part II-Sources of Funds'!N41</f>
        <v>0</v>
      </c>
      <c r="O283" s="2026"/>
      <c r="P283" s="2088" t="str">
        <f>'Part II-Sources of Funds'!P41</f>
        <v/>
      </c>
      <c r="Q283" s="2088"/>
      <c r="S283" s="2050"/>
      <c r="T283" s="2050"/>
      <c r="Y283" s="2046" t="s">
        <v>6361</v>
      </c>
      <c r="Z283" s="1624">
        <v>41</v>
      </c>
      <c r="AZ283" s="2046" t="s">
        <v>6362</v>
      </c>
    </row>
    <row r="284" spans="1:52" s="2046" customFormat="1" ht="15" customHeight="1">
      <c r="A284" s="1821"/>
      <c r="B284" s="1821" t="s">
        <v>2405</v>
      </c>
      <c r="C284" s="1821"/>
      <c r="D284" s="1821"/>
      <c r="E284" s="2065">
        <f>'Part II-Sources of Funds'!E42</f>
        <v>0</v>
      </c>
      <c r="F284" s="2065"/>
      <c r="G284" s="2065"/>
      <c r="H284" s="2065"/>
      <c r="I284" s="2083">
        <f>'Part II-Sources of Funds'!I42</f>
        <v>0</v>
      </c>
      <c r="J284" s="2026"/>
      <c r="K284" s="2084">
        <f>'Part II-Sources of Funds'!K42</f>
        <v>0</v>
      </c>
      <c r="L284" s="2038">
        <f>'Part II-Sources of Funds'!L42</f>
        <v>0</v>
      </c>
      <c r="M284" s="2038">
        <f>'Part II-Sources of Funds'!M42</f>
        <v>0</v>
      </c>
      <c r="N284" s="2026">
        <f>'Part II-Sources of Funds'!N42</f>
        <v>0</v>
      </c>
      <c r="O284" s="2026"/>
      <c r="P284" s="2088" t="str">
        <f>'Part II-Sources of Funds'!P42</f>
        <v/>
      </c>
      <c r="Q284" s="2088"/>
      <c r="S284" s="2050"/>
      <c r="T284" s="2050"/>
      <c r="Y284" s="2046" t="s">
        <v>6362</v>
      </c>
      <c r="Z284" s="1624">
        <v>42</v>
      </c>
      <c r="AZ284" s="2046" t="s">
        <v>6363</v>
      </c>
    </row>
    <row r="285" spans="1:52" s="2046" customFormat="1" ht="15" customHeight="1">
      <c r="A285" s="1821"/>
      <c r="B285" s="1821" t="s">
        <v>690</v>
      </c>
      <c r="C285" s="2065">
        <f>'Part II-Sources of Funds'!C43</f>
        <v>0</v>
      </c>
      <c r="D285" s="2065"/>
      <c r="E285" s="2065">
        <f>'Part II-Sources of Funds'!E43</f>
        <v>0</v>
      </c>
      <c r="F285" s="2065"/>
      <c r="G285" s="2065"/>
      <c r="H285" s="2065"/>
      <c r="I285" s="2083">
        <f>'Part II-Sources of Funds'!I43</f>
        <v>0</v>
      </c>
      <c r="J285" s="2091"/>
      <c r="K285" s="2084">
        <f>'Part II-Sources of Funds'!K43</f>
        <v>0</v>
      </c>
      <c r="L285" s="2038">
        <f>'Part II-Sources of Funds'!L43</f>
        <v>0</v>
      </c>
      <c r="M285" s="2038">
        <f>'Part II-Sources of Funds'!M43</f>
        <v>0</v>
      </c>
      <c r="N285" s="2026">
        <f>'Part II-Sources of Funds'!N43</f>
        <v>0</v>
      </c>
      <c r="O285" s="2026"/>
      <c r="P285" s="2088" t="str">
        <f>'Part II-Sources of Funds'!P43</f>
        <v/>
      </c>
      <c r="Q285" s="2088"/>
      <c r="S285" s="2050"/>
      <c r="T285" s="2050"/>
      <c r="Y285" s="2046" t="s">
        <v>6363</v>
      </c>
      <c r="Z285" s="1624">
        <v>43</v>
      </c>
      <c r="AZ285" s="2046" t="s">
        <v>6364</v>
      </c>
    </row>
    <row r="286" spans="1:52" s="2046" customFormat="1" ht="15" customHeight="1">
      <c r="A286" s="1821"/>
      <c r="B286" s="1821" t="s">
        <v>3949</v>
      </c>
      <c r="C286" s="1821"/>
      <c r="D286" s="1821"/>
      <c r="E286" s="2065">
        <f>'Part II-Sources of Funds'!E44</f>
        <v>0</v>
      </c>
      <c r="F286" s="2065"/>
      <c r="G286" s="2065"/>
      <c r="H286" s="2065"/>
      <c r="I286" s="2083">
        <f>'Part II-Sources of Funds'!I44</f>
        <v>0</v>
      </c>
      <c r="J286" s="2026"/>
      <c r="K286" s="2092"/>
      <c r="L286" s="1624"/>
      <c r="M286" s="1624"/>
      <c r="N286" s="1821"/>
      <c r="O286" s="1821"/>
      <c r="P286" s="2087"/>
      <c r="Q286" s="2087"/>
      <c r="S286" s="2050"/>
      <c r="T286" s="2050"/>
      <c r="Y286" s="2046" t="s">
        <v>6364</v>
      </c>
      <c r="Z286" s="1624">
        <v>44</v>
      </c>
      <c r="AZ286" s="2046" t="s">
        <v>6365</v>
      </c>
    </row>
    <row r="287" spans="1:52" s="2046" customFormat="1" ht="15" customHeight="1">
      <c r="A287" s="1821"/>
      <c r="B287" s="1821" t="s">
        <v>220</v>
      </c>
      <c r="C287" s="1821"/>
      <c r="D287" s="2093" t="str">
        <f>'Part II-Sources of Funds'!D45</f>
        <v/>
      </c>
      <c r="E287" s="2065">
        <f>'Part II-Sources of Funds'!E45</f>
        <v>0</v>
      </c>
      <c r="F287" s="2065"/>
      <c r="G287" s="2065"/>
      <c r="H287" s="2065"/>
      <c r="I287" s="2083">
        <f>'Part II-Sources of Funds'!I45</f>
        <v>0</v>
      </c>
      <c r="J287" s="2082"/>
      <c r="K287" s="2084">
        <f>'Part II-Sources of Funds'!K45</f>
        <v>0</v>
      </c>
      <c r="L287" s="2038">
        <f>'Part II-Sources of Funds'!L45</f>
        <v>0</v>
      </c>
      <c r="M287" s="2038">
        <f>'Part II-Sources of Funds'!M45</f>
        <v>0</v>
      </c>
      <c r="N287" s="2026">
        <f>'Part II-Sources of Funds'!N45</f>
        <v>0</v>
      </c>
      <c r="O287" s="2026"/>
      <c r="P287" s="2088" t="str">
        <f>'Part II-Sources of Funds'!P45</f>
        <v/>
      </c>
      <c r="Q287" s="2088"/>
      <c r="S287" s="2050"/>
      <c r="T287" s="2050"/>
      <c r="Y287" s="2046" t="s">
        <v>6365</v>
      </c>
      <c r="Z287" s="1624">
        <v>45</v>
      </c>
    </row>
    <row r="288" spans="1:52" s="2046" customFormat="1" ht="3" customHeight="1">
      <c r="A288" s="1821"/>
      <c r="B288" s="1821"/>
      <c r="C288" s="1821"/>
      <c r="D288" s="1821"/>
      <c r="E288" s="1821"/>
      <c r="F288" s="1821"/>
      <c r="G288" s="1821"/>
      <c r="H288" s="1821"/>
      <c r="I288" s="2094"/>
      <c r="J288" s="2095"/>
      <c r="K288" s="2096"/>
      <c r="L288" s="2038"/>
      <c r="M288" s="2038"/>
      <c r="N288" s="2097"/>
      <c r="O288" s="2097"/>
      <c r="P288" s="2038"/>
      <c r="Q288" s="2038"/>
      <c r="S288" s="2050"/>
      <c r="T288" s="2050"/>
      <c r="Z288" s="1624">
        <v>46</v>
      </c>
    </row>
    <row r="289" spans="1:52" s="2046" customFormat="1" ht="15" customHeight="1">
      <c r="A289" s="1821"/>
      <c r="B289" s="2046" t="s">
        <v>3410</v>
      </c>
      <c r="C289" s="1821"/>
      <c r="E289" s="2046" t="s">
        <v>3368</v>
      </c>
      <c r="F289" s="2098" t="str">
        <f>'Part II-Sources of Funds'!F47</f>
        <v/>
      </c>
      <c r="H289" s="2099" t="s">
        <v>3409</v>
      </c>
      <c r="I289" s="2098" t="str">
        <f>'Part II-Sources of Funds'!I47</f>
        <v/>
      </c>
      <c r="K289" s="2099" t="s">
        <v>3411</v>
      </c>
      <c r="L289" s="2100" t="str">
        <f>'Part II-Sources of Funds'!L47</f>
        <v/>
      </c>
      <c r="M289" s="2100"/>
      <c r="N289" s="2088" t="s">
        <v>3853</v>
      </c>
      <c r="O289" s="2088"/>
      <c r="P289" s="1822">
        <f>'Part II-Sources of Funds'!P47</f>
        <v>0</v>
      </c>
      <c r="Q289" s="1822"/>
      <c r="S289" s="2050"/>
      <c r="T289" s="2050"/>
      <c r="Z289" s="1624">
        <v>47</v>
      </c>
    </row>
    <row r="290" spans="1:52" s="2046" customFormat="1" ht="3" customHeight="1">
      <c r="A290" s="1821"/>
      <c r="B290" s="1821"/>
      <c r="C290" s="1821"/>
      <c r="D290" s="1821"/>
      <c r="E290" s="1821"/>
      <c r="F290" s="1821"/>
      <c r="G290" s="1821"/>
      <c r="H290" s="1821"/>
      <c r="I290" s="2094"/>
      <c r="J290" s="2095"/>
      <c r="K290" s="2096"/>
      <c r="L290" s="2038"/>
      <c r="M290" s="2038"/>
      <c r="N290" s="2097"/>
      <c r="O290" s="2097"/>
      <c r="P290" s="2038"/>
      <c r="Q290" s="2038"/>
      <c r="S290" s="2050"/>
      <c r="T290" s="2050"/>
      <c r="Z290" s="1624">
        <v>48</v>
      </c>
      <c r="AZ290" s="2046" t="s">
        <v>6366</v>
      </c>
    </row>
    <row r="291" spans="1:52" s="2046" customFormat="1" ht="15" customHeight="1">
      <c r="A291" s="1821"/>
      <c r="B291" s="1821" t="s">
        <v>2048</v>
      </c>
      <c r="C291" s="1821"/>
      <c r="D291" s="1821"/>
      <c r="E291" s="2065">
        <f>'Part II-Sources of Funds'!E49</f>
        <v>0</v>
      </c>
      <c r="F291" s="2065"/>
      <c r="G291" s="2065"/>
      <c r="H291" s="2065"/>
      <c r="I291" s="2083">
        <f>'Part II-Sources of Funds'!I49</f>
        <v>0</v>
      </c>
      <c r="J291" s="2026"/>
      <c r="K291" s="1821"/>
      <c r="L291" s="1821"/>
      <c r="M291" s="1821"/>
      <c r="N291" s="1821"/>
      <c r="O291" s="1821"/>
      <c r="P291" s="1624" t="s">
        <v>483</v>
      </c>
      <c r="Q291" s="1821"/>
      <c r="S291" s="2050"/>
      <c r="T291" s="2050"/>
      <c r="Y291" s="2046" t="s">
        <v>6366</v>
      </c>
      <c r="Z291" s="1624">
        <v>49</v>
      </c>
      <c r="AZ291" s="2046" t="s">
        <v>6367</v>
      </c>
    </row>
    <row r="292" spans="1:52" s="2046" customFormat="1" ht="15" customHeight="1">
      <c r="A292" s="1821"/>
      <c r="B292" s="1821" t="s">
        <v>745</v>
      </c>
      <c r="C292" s="1821"/>
      <c r="D292" s="1821"/>
      <c r="E292" s="2065">
        <f>'Part II-Sources of Funds'!E50</f>
        <v>0</v>
      </c>
      <c r="F292" s="2065"/>
      <c r="G292" s="2065"/>
      <c r="H292" s="2065"/>
      <c r="I292" s="2083">
        <f>'Part II-Sources of Funds'!I50</f>
        <v>0</v>
      </c>
      <c r="J292" s="2026"/>
      <c r="L292" s="2101" t="s">
        <v>484</v>
      </c>
      <c r="M292" s="2101"/>
      <c r="N292" s="2102" t="s">
        <v>485</v>
      </c>
      <c r="O292" s="2102"/>
      <c r="P292" s="2103" t="s">
        <v>2358</v>
      </c>
      <c r="Q292" s="1821"/>
      <c r="S292" s="2050"/>
      <c r="T292" s="2050"/>
      <c r="Y292" s="2046" t="s">
        <v>6367</v>
      </c>
      <c r="Z292" s="1624">
        <v>50</v>
      </c>
      <c r="AZ292" s="2046" t="s">
        <v>6368</v>
      </c>
    </row>
    <row r="293" spans="1:52" s="2046" customFormat="1" ht="15" customHeight="1">
      <c r="A293" s="1821"/>
      <c r="B293" s="1821" t="s">
        <v>746</v>
      </c>
      <c r="C293" s="1821"/>
      <c r="D293" s="1821"/>
      <c r="E293" s="2065" t="str">
        <f>'Part II-Sources of Funds'!E51</f>
        <v>Redstone Capital Partners</v>
      </c>
      <c r="F293" s="2065"/>
      <c r="G293" s="2065"/>
      <c r="H293" s="2065"/>
      <c r="I293" s="2083">
        <f>'Part II-Sources of Funds'!I51</f>
        <v>13877516</v>
      </c>
      <c r="J293" s="2091"/>
      <c r="L293" s="2104">
        <f>'Part III-A-Uses of Funds'!$J$191*10*'Part III-A-Uses of Funds'!$N$182</f>
        <v>13878904</v>
      </c>
      <c r="M293" s="2104"/>
      <c r="N293" s="2105">
        <f>I293-L293</f>
        <v>-1388</v>
      </c>
      <c r="O293" s="2105"/>
      <c r="P293" s="2106">
        <f>I293/I303</f>
        <v>0.38179511644510655</v>
      </c>
      <c r="Q293" s="1821"/>
      <c r="S293" s="2050"/>
      <c r="T293" s="2050"/>
      <c r="Y293" s="2046" t="s">
        <v>6368</v>
      </c>
      <c r="Z293" s="1624">
        <v>51</v>
      </c>
      <c r="AZ293" s="2046" t="s">
        <v>6369</v>
      </c>
    </row>
    <row r="294" spans="1:52" s="2046" customFormat="1" ht="15" customHeight="1">
      <c r="A294" s="1821"/>
      <c r="B294" s="1821" t="s">
        <v>747</v>
      </c>
      <c r="C294" s="1821"/>
      <c r="D294" s="1821"/>
      <c r="E294" s="2065" t="str">
        <f>'Part II-Sources of Funds'!E52</f>
        <v>Redstone Capital Partners</v>
      </c>
      <c r="F294" s="2065"/>
      <c r="G294" s="2065"/>
      <c r="H294" s="2065"/>
      <c r="I294" s="2083">
        <f>'Part II-Sources of Funds'!I52</f>
        <v>11970555</v>
      </c>
      <c r="J294" s="2091"/>
      <c r="L294" s="2104">
        <f>'Part III-A-Uses of Funds'!$J$191*10*'Part III-A-Uses of Funds'!$Q$182</f>
        <v>11953206.069999998</v>
      </c>
      <c r="M294" s="2104"/>
      <c r="N294" s="2105">
        <f>I294-L294</f>
        <v>17348.930000001565</v>
      </c>
      <c r="O294" s="2105"/>
      <c r="P294" s="2106">
        <f>I294/I303</f>
        <v>0.32933123191049118</v>
      </c>
      <c r="Q294" s="1821"/>
      <c r="S294" s="2050"/>
      <c r="T294" s="2050"/>
      <c r="Y294" s="2046" t="s">
        <v>6369</v>
      </c>
      <c r="Z294" s="1624">
        <v>52</v>
      </c>
      <c r="AZ294" s="2046" t="s">
        <v>6370</v>
      </c>
    </row>
    <row r="295" spans="1:52" s="2046" customFormat="1" ht="15" customHeight="1">
      <c r="A295" s="1821"/>
      <c r="B295" s="1821" t="s">
        <v>1332</v>
      </c>
      <c r="C295" s="1821"/>
      <c r="D295" s="1821"/>
      <c r="E295" s="2065">
        <f>'Part II-Sources of Funds'!E53</f>
        <v>0</v>
      </c>
      <c r="F295" s="2065"/>
      <c r="G295" s="2065"/>
      <c r="H295" s="2065"/>
      <c r="I295" s="2083">
        <f>'Part II-Sources of Funds'!I53</f>
        <v>0</v>
      </c>
      <c r="J295" s="2091"/>
      <c r="P295" s="2106">
        <f>SUM(P293:P294)</f>
        <v>0.71112634835559774</v>
      </c>
      <c r="Q295" s="1821"/>
      <c r="S295" s="2050"/>
      <c r="T295" s="2050"/>
      <c r="Y295" s="2046" t="s">
        <v>6370</v>
      </c>
      <c r="Z295" s="1624">
        <v>53</v>
      </c>
    </row>
    <row r="296" spans="1:52" s="2046" customFormat="1" ht="15" customHeight="1">
      <c r="A296" s="1821"/>
      <c r="B296" s="1821" t="s">
        <v>497</v>
      </c>
      <c r="C296" s="1821"/>
      <c r="D296" s="1821"/>
      <c r="E296" s="2065">
        <f>'Part II-Sources of Funds'!E54</f>
        <v>0</v>
      </c>
      <c r="F296" s="2065"/>
      <c r="G296" s="2065"/>
      <c r="H296" s="2065"/>
      <c r="I296" s="2083">
        <f>'Part II-Sources of Funds'!I54</f>
        <v>0</v>
      </c>
      <c r="J296" s="2091"/>
      <c r="K296" s="1821"/>
      <c r="Q296" s="1821"/>
      <c r="S296" s="2050"/>
      <c r="T296" s="2050"/>
      <c r="Z296" s="1624">
        <v>54</v>
      </c>
    </row>
    <row r="297" spans="1:52" s="2046" customFormat="1" ht="15" customHeight="1">
      <c r="A297" s="1821"/>
      <c r="B297" s="1821" t="s">
        <v>1732</v>
      </c>
      <c r="C297" s="1821"/>
      <c r="D297" s="1821"/>
      <c r="E297" s="2065">
        <f>'Part II-Sources of Funds'!E55</f>
        <v>0</v>
      </c>
      <c r="F297" s="2065"/>
      <c r="G297" s="2065"/>
      <c r="H297" s="2065"/>
      <c r="I297" s="2083">
        <f>'Part II-Sources of Funds'!I55</f>
        <v>0</v>
      </c>
      <c r="J297" s="2091"/>
      <c r="N297" s="2020"/>
      <c r="O297" s="2020"/>
      <c r="P297" s="2020"/>
      <c r="Q297" s="1821"/>
      <c r="S297" s="2050"/>
      <c r="T297" s="2050"/>
      <c r="Z297" s="1624">
        <v>55</v>
      </c>
    </row>
    <row r="298" spans="1:52" s="2046" customFormat="1" ht="15" customHeight="1">
      <c r="A298" s="1821"/>
      <c r="B298" s="1821" t="s">
        <v>1733</v>
      </c>
      <c r="C298" s="1821"/>
      <c r="D298" s="1821"/>
      <c r="E298" s="2065">
        <f>'Part II-Sources of Funds'!E56</f>
        <v>0</v>
      </c>
      <c r="F298" s="2065"/>
      <c r="G298" s="2065"/>
      <c r="H298" s="2065"/>
      <c r="I298" s="2083">
        <f>'Part II-Sources of Funds'!I56</f>
        <v>0</v>
      </c>
      <c r="J298" s="2091"/>
      <c r="M298" s="2020"/>
      <c r="N298" s="2020"/>
      <c r="O298" s="2020"/>
      <c r="P298" s="2020"/>
      <c r="Q298" s="1821"/>
      <c r="S298" s="2050"/>
      <c r="T298" s="2050"/>
      <c r="Z298" s="1624">
        <v>56</v>
      </c>
      <c r="AZ298" s="2046" t="s">
        <v>6371</v>
      </c>
    </row>
    <row r="299" spans="1:52" s="2046" customFormat="1" ht="15" customHeight="1">
      <c r="A299" s="1821"/>
      <c r="B299" s="1821" t="s">
        <v>690</v>
      </c>
      <c r="C299" s="2065">
        <f>'Part II-Sources of Funds'!C57</f>
        <v>0</v>
      </c>
      <c r="D299" s="2065"/>
      <c r="E299" s="2065">
        <f>'Part II-Sources of Funds'!E57</f>
        <v>0</v>
      </c>
      <c r="F299" s="2065"/>
      <c r="G299" s="2065"/>
      <c r="H299" s="2065"/>
      <c r="I299" s="2083">
        <f>'Part II-Sources of Funds'!I57</f>
        <v>0</v>
      </c>
      <c r="J299" s="2091"/>
      <c r="M299" s="2020"/>
      <c r="N299" s="2020"/>
      <c r="O299" s="2020"/>
      <c r="P299" s="2020"/>
      <c r="Q299" s="1821"/>
      <c r="S299" s="2050"/>
      <c r="T299" s="2050"/>
      <c r="Y299" s="2046" t="s">
        <v>6371</v>
      </c>
      <c r="Z299" s="1624">
        <v>57</v>
      </c>
      <c r="AZ299" s="2046" t="s">
        <v>6372</v>
      </c>
    </row>
    <row r="300" spans="1:52" s="2046" customFormat="1" ht="15" customHeight="1">
      <c r="A300" s="1821"/>
      <c r="B300" s="1821" t="s">
        <v>690</v>
      </c>
      <c r="C300" s="2065">
        <f>'Part II-Sources of Funds'!C58</f>
        <v>0</v>
      </c>
      <c r="D300" s="2065"/>
      <c r="E300" s="2065">
        <f>'Part II-Sources of Funds'!E58</f>
        <v>0</v>
      </c>
      <c r="F300" s="2065"/>
      <c r="G300" s="2065"/>
      <c r="H300" s="2065"/>
      <c r="I300" s="2083">
        <f>'Part II-Sources of Funds'!I58</f>
        <v>0</v>
      </c>
      <c r="J300" s="2091"/>
      <c r="K300" s="1821"/>
      <c r="L300" s="1624"/>
      <c r="M300" s="2020"/>
      <c r="N300" s="2020"/>
      <c r="O300" s="2020"/>
      <c r="P300" s="2020"/>
      <c r="Q300" s="1821"/>
      <c r="S300" s="2050"/>
      <c r="T300" s="2050"/>
      <c r="Y300" s="2046" t="s">
        <v>6372</v>
      </c>
      <c r="Z300" s="1624">
        <v>58</v>
      </c>
      <c r="AZ300" s="2046" t="s">
        <v>6373</v>
      </c>
    </row>
    <row r="301" spans="1:52" s="2046" customFormat="1" ht="15" customHeight="1">
      <c r="A301" s="1821"/>
      <c r="B301" s="1821" t="s">
        <v>690</v>
      </c>
      <c r="C301" s="2065">
        <f>'Part II-Sources of Funds'!C59</f>
        <v>0</v>
      </c>
      <c r="D301" s="2065"/>
      <c r="E301" s="2065">
        <f>'Part II-Sources of Funds'!E59</f>
        <v>0</v>
      </c>
      <c r="F301" s="2065"/>
      <c r="G301" s="2065"/>
      <c r="H301" s="2065"/>
      <c r="I301" s="2083">
        <f>'Part II-Sources of Funds'!I59</f>
        <v>0</v>
      </c>
      <c r="J301" s="2091"/>
      <c r="K301" s="1821"/>
      <c r="L301" s="1624"/>
      <c r="M301" s="2020"/>
      <c r="N301" s="2020"/>
      <c r="O301" s="2020"/>
      <c r="P301" s="2020"/>
      <c r="Q301" s="1821"/>
      <c r="S301" s="2050"/>
      <c r="T301" s="2050"/>
      <c r="Y301" s="2046" t="s">
        <v>6373</v>
      </c>
      <c r="Z301" s="1624">
        <v>59</v>
      </c>
    </row>
    <row r="302" spans="1:52" s="2046" customFormat="1" ht="14.25" customHeight="1">
      <c r="A302" s="1821"/>
      <c r="B302" s="2030" t="s">
        <v>2049</v>
      </c>
      <c r="C302" s="1821"/>
      <c r="D302" s="1821"/>
      <c r="E302" s="1821"/>
      <c r="F302" s="1821"/>
      <c r="G302" s="1821"/>
      <c r="I302" s="2087">
        <f>SUM(I282:J287)+SUM(I291:J301)</f>
        <v>36348071</v>
      </c>
      <c r="J302" s="2087"/>
      <c r="K302" s="1821"/>
      <c r="L302" s="1624"/>
      <c r="M302" s="2020"/>
      <c r="N302" s="2020"/>
      <c r="O302" s="2020"/>
      <c r="P302" s="2020"/>
      <c r="Q302" s="1821"/>
      <c r="S302" s="2050"/>
      <c r="T302" s="2050"/>
      <c r="Z302" s="1624">
        <v>60</v>
      </c>
    </row>
    <row r="303" spans="1:52" s="2046" customFormat="1" ht="14.25" customHeight="1">
      <c r="A303" s="1821"/>
      <c r="B303" s="2030" t="s">
        <v>2050</v>
      </c>
      <c r="C303" s="1821"/>
      <c r="D303" s="1821"/>
      <c r="E303" s="1821"/>
      <c r="F303" s="1821"/>
      <c r="G303" s="1821"/>
      <c r="I303" s="2087">
        <f>'Part III-A-Uses of Funds'!$G$146</f>
        <v>36348071</v>
      </c>
      <c r="J303" s="2087"/>
      <c r="K303" s="1821"/>
      <c r="L303" s="1624"/>
      <c r="M303" s="2020"/>
      <c r="N303" s="2020"/>
      <c r="O303" s="2020"/>
      <c r="P303" s="2020"/>
      <c r="Q303" s="1821"/>
      <c r="S303" s="2050"/>
      <c r="T303" s="2050"/>
      <c r="Z303" s="1624">
        <v>61</v>
      </c>
    </row>
    <row r="304" spans="1:52" s="2046" customFormat="1" ht="14.25" customHeight="1">
      <c r="A304" s="1821"/>
      <c r="B304" s="2030" t="s">
        <v>1429</v>
      </c>
      <c r="C304" s="1821"/>
      <c r="D304" s="1821"/>
      <c r="E304" s="1821"/>
      <c r="F304" s="1821"/>
      <c r="G304" s="1821"/>
      <c r="I304" s="2090">
        <f>I302-I303</f>
        <v>0</v>
      </c>
      <c r="J304" s="2090"/>
      <c r="K304" s="1821"/>
      <c r="L304" s="1624"/>
      <c r="M304" s="2020"/>
      <c r="N304" s="2020"/>
      <c r="O304" s="2020"/>
      <c r="P304" s="2020"/>
      <c r="Q304" s="1821"/>
      <c r="S304" s="2050"/>
      <c r="T304" s="2050"/>
      <c r="Z304" s="1624">
        <v>62</v>
      </c>
    </row>
    <row r="305" spans="1:53" s="2046" customFormat="1" ht="13.35" customHeight="1">
      <c r="A305" s="1821" t="s">
        <v>3950</v>
      </c>
      <c r="B305" s="2030"/>
      <c r="C305" s="1821"/>
      <c r="D305" s="1821"/>
      <c r="E305" s="1821"/>
      <c r="F305" s="1821"/>
      <c r="G305" s="1821"/>
      <c r="H305" s="2107"/>
      <c r="I305" s="2107"/>
      <c r="J305" s="378"/>
      <c r="K305" s="1821"/>
      <c r="L305" s="1624"/>
      <c r="M305" s="2020"/>
      <c r="N305" s="2020"/>
      <c r="O305" s="2020"/>
      <c r="P305" s="2020"/>
      <c r="Q305" s="1821"/>
      <c r="R305" s="1821"/>
      <c r="S305" s="1821"/>
      <c r="T305" s="1821"/>
      <c r="Z305" s="1624">
        <v>63</v>
      </c>
      <c r="AZ305" s="2076"/>
    </row>
    <row r="306" spans="1:53" s="2076" customFormat="1" ht="2.25" customHeight="1">
      <c r="A306" s="378"/>
      <c r="B306" s="378"/>
      <c r="C306" s="378"/>
      <c r="D306" s="378"/>
      <c r="E306" s="378"/>
      <c r="F306" s="378"/>
      <c r="G306" s="378"/>
      <c r="H306" s="378"/>
      <c r="I306" s="378"/>
      <c r="J306" s="378"/>
      <c r="K306" s="378"/>
      <c r="L306" s="378"/>
      <c r="M306" s="378"/>
      <c r="N306" s="378"/>
      <c r="O306" s="378"/>
      <c r="P306" s="378"/>
      <c r="Q306" s="378"/>
      <c r="Z306" s="1624">
        <v>64</v>
      </c>
    </row>
    <row r="307" spans="1:53" s="2076" customFormat="1" ht="12" customHeight="1">
      <c r="A307" s="1821" t="s">
        <v>1667</v>
      </c>
      <c r="B307" s="1821" t="s">
        <v>530</v>
      </c>
      <c r="C307" s="378"/>
      <c r="D307" s="378"/>
      <c r="E307" s="378"/>
      <c r="F307" s="378"/>
      <c r="G307" s="378"/>
      <c r="H307" s="378"/>
      <c r="I307" s="378"/>
      <c r="J307" s="378"/>
      <c r="M307" s="1821" t="s">
        <v>1667</v>
      </c>
      <c r="N307" s="1821" t="s">
        <v>74</v>
      </c>
      <c r="O307" s="378"/>
      <c r="P307" s="378"/>
      <c r="Q307" s="378"/>
      <c r="Z307" s="1624">
        <v>65</v>
      </c>
      <c r="AZ307" s="2018"/>
    </row>
    <row r="308" spans="1:53" s="2076" customFormat="1" ht="15">
      <c r="A308" s="2049" t="str">
        <f>'Part II-Sources of Funds'!A66</f>
        <v>The applicant has provided an updated sources of funds based on the most recent and available financing information from our lending partners JP Morgan Chase, Bellwether as the Freddie TEL Lender, and Redstone Capital Partners, who was the investor in the Gainesville Housing Authority's last award winning tax credit deal.</v>
      </c>
      <c r="B308" s="2050"/>
      <c r="C308" s="2050"/>
      <c r="D308" s="2050"/>
      <c r="E308" s="2050"/>
      <c r="F308" s="2050"/>
      <c r="G308" s="2050"/>
      <c r="H308" s="2050"/>
      <c r="I308" s="2050"/>
      <c r="J308" s="2050"/>
      <c r="K308" s="2050"/>
      <c r="L308" s="2050"/>
      <c r="M308" s="2050"/>
      <c r="N308" s="2050"/>
      <c r="O308" s="2050"/>
      <c r="P308" s="2050"/>
      <c r="Q308" s="2050"/>
      <c r="S308" s="2017" t="s">
        <v>2453</v>
      </c>
      <c r="T308" s="2018"/>
      <c r="U308" s="2018"/>
      <c r="V308" s="2018"/>
      <c r="W308" s="2018"/>
      <c r="Y308" s="2018"/>
      <c r="Z308" s="1624">
        <v>66</v>
      </c>
      <c r="AZ308" s="2018"/>
    </row>
    <row r="312" spans="1:53" s="1821" customFormat="1" ht="13.5" customHeight="1">
      <c r="A312" s="1821" t="str">
        <f>CONCATENATE("PART THREE (A):  USES OF FUNDS","  -  ",'Part I-Project Identification'!$O$7," ",'Part I-Project Identification'!$F$29,", ",'Part I-Project Identification'!F340,", ",'Part I-Project Identification'!J340," County")</f>
        <v>PART THREE (A):  USES OF FUNDS  -  2022-522 Harrison Village Apartments, ,  County</v>
      </c>
      <c r="W312" s="1821" t="str">
        <f>A312</f>
        <v>PART THREE (A):  USES OF FUNDS  -  2022-522 Harrison Village Apartments, ,  County</v>
      </c>
      <c r="BA312" s="1624">
        <v>2</v>
      </c>
    </row>
    <row r="313" spans="1:53" s="378" customFormat="1" ht="2.25" customHeight="1">
      <c r="BA313" s="1624">
        <v>3</v>
      </c>
    </row>
    <row r="314" spans="1:53" s="1821" customFormat="1" ht="4.5" customHeight="1">
      <c r="BA314" s="1624">
        <v>4</v>
      </c>
    </row>
    <row r="315" spans="1:53" s="1821" customFormat="1" ht="2.1" customHeight="1">
      <c r="A315" s="1624"/>
      <c r="B315" s="1624"/>
      <c r="C315" s="1624"/>
      <c r="D315" s="2108"/>
      <c r="E315" s="2108"/>
      <c r="F315" s="2108"/>
      <c r="G315" s="2108"/>
      <c r="H315" s="2108"/>
      <c r="J315" s="1624"/>
      <c r="K315" s="1624"/>
      <c r="L315" s="1624"/>
      <c r="M315" s="1624"/>
      <c r="N315" s="1624"/>
      <c r="O315" s="1624"/>
      <c r="P315" s="1624"/>
      <c r="Q315" s="1624"/>
      <c r="R315" s="1624"/>
      <c r="S315" s="1624"/>
      <c r="T315" s="1624"/>
      <c r="BA315" s="1624">
        <v>5</v>
      </c>
    </row>
    <row r="316" spans="1:53" s="1821" customFormat="1" ht="19.5" customHeight="1">
      <c r="A316" s="2108" t="s">
        <v>573</v>
      </c>
      <c r="B316" s="2108" t="s">
        <v>842</v>
      </c>
      <c r="D316" s="2021" t="str">
        <f>'Part I-Project Identification'!$A$6</f>
        <v>Sept 20, 2022 Core Application - 4% Only</v>
      </c>
      <c r="E316" s="2021"/>
      <c r="F316" s="2021"/>
      <c r="G316" s="2021"/>
      <c r="H316" s="2021"/>
      <c r="I316" s="2108"/>
      <c r="J316" s="2020" t="s">
        <v>259</v>
      </c>
      <c r="K316" s="2020"/>
      <c r="L316" s="2109"/>
      <c r="M316" s="2110" t="s">
        <v>460</v>
      </c>
      <c r="N316" s="2110"/>
      <c r="P316" s="2020" t="s">
        <v>260</v>
      </c>
      <c r="Q316" s="2020"/>
      <c r="S316" s="2020" t="s">
        <v>261</v>
      </c>
      <c r="T316" s="2020"/>
      <c r="V316" s="2111" t="str">
        <f>B316</f>
        <v>DEVELOPMENT BUDGET</v>
      </c>
      <c r="BA316" s="1624">
        <v>6</v>
      </c>
    </row>
    <row r="317" spans="1:53" s="1821" customFormat="1" ht="19.5" customHeight="1">
      <c r="D317" s="2021"/>
      <c r="E317" s="2021"/>
      <c r="F317" s="2021"/>
      <c r="G317" s="1821" t="s">
        <v>95</v>
      </c>
      <c r="J317" s="2020"/>
      <c r="K317" s="2020"/>
      <c r="L317" s="2109"/>
      <c r="M317" s="2110"/>
      <c r="N317" s="2110"/>
      <c r="P317" s="2020"/>
      <c r="Q317" s="2020"/>
      <c r="S317" s="2020"/>
      <c r="T317" s="2020"/>
      <c r="V317" s="378" t="s">
        <v>2449</v>
      </c>
      <c r="X317" s="378"/>
      <c r="BA317" s="1624">
        <v>7</v>
      </c>
    </row>
    <row r="318" spans="1:53" s="1821" customFormat="1" ht="12" customHeight="1">
      <c r="B318" s="1821" t="s">
        <v>96</v>
      </c>
      <c r="O318" s="1624" t="str">
        <f>B318</f>
        <v>PRE-DEVELOPMENT COSTS</v>
      </c>
      <c r="W318" s="1821" t="str">
        <f>B318</f>
        <v>PRE-DEVELOPMENT COSTS</v>
      </c>
      <c r="BA318" s="1624">
        <v>8</v>
      </c>
    </row>
    <row r="319" spans="1:53" s="1821" customFormat="1" ht="11.25" customHeight="1">
      <c r="B319" s="1821" t="s">
        <v>1856</v>
      </c>
      <c r="G319" s="2083">
        <f>'Part III-A-Uses of Funds'!G9</f>
        <v>20000</v>
      </c>
      <c r="H319" s="2083"/>
      <c r="J319" s="2083">
        <f>'Part III-A-Uses of Funds'!J9</f>
        <v>20000</v>
      </c>
      <c r="K319" s="2083"/>
      <c r="L319" s="2112"/>
      <c r="M319" s="2083">
        <f>'Part III-A-Uses of Funds'!M9</f>
        <v>0</v>
      </c>
      <c r="N319" s="2083"/>
      <c r="P319" s="2083">
        <f>'Part III-A-Uses of Funds'!P9</f>
        <v>0</v>
      </c>
      <c r="Q319" s="2083"/>
      <c r="S319" s="2083">
        <f>'Part III-A-Uses of Funds'!S9</f>
        <v>0</v>
      </c>
      <c r="T319" s="2083"/>
      <c r="V319" s="2113"/>
      <c r="W319" s="2114"/>
      <c r="X319" s="2114"/>
      <c r="BA319" s="1624">
        <v>9</v>
      </c>
    </row>
    <row r="320" spans="1:53" s="1821" customFormat="1" ht="11.25" customHeight="1">
      <c r="B320" s="1821" t="s">
        <v>431</v>
      </c>
      <c r="G320" s="2083">
        <f>'Part III-A-Uses of Funds'!G10</f>
        <v>9000</v>
      </c>
      <c r="H320" s="2083"/>
      <c r="J320" s="2083">
        <f>'Part III-A-Uses of Funds'!J10</f>
        <v>9000</v>
      </c>
      <c r="K320" s="2083"/>
      <c r="L320" s="2112"/>
      <c r="M320" s="2083">
        <f>'Part III-A-Uses of Funds'!M10</f>
        <v>0</v>
      </c>
      <c r="N320" s="2083"/>
      <c r="P320" s="2083">
        <f>'Part III-A-Uses of Funds'!P10</f>
        <v>0</v>
      </c>
      <c r="Q320" s="2083"/>
      <c r="S320" s="2083">
        <f>'Part III-A-Uses of Funds'!S10</f>
        <v>0</v>
      </c>
      <c r="T320" s="2083"/>
      <c r="V320" s="2113"/>
      <c r="W320" s="2114"/>
      <c r="X320" s="2114"/>
      <c r="BA320" s="1624">
        <v>10</v>
      </c>
    </row>
    <row r="321" spans="1:53" s="1821" customFormat="1" ht="11.25" customHeight="1">
      <c r="B321" s="1821" t="s">
        <v>458</v>
      </c>
      <c r="G321" s="2083">
        <f>'Part III-A-Uses of Funds'!G11</f>
        <v>61551</v>
      </c>
      <c r="H321" s="2083"/>
      <c r="J321" s="2083">
        <f>'Part III-A-Uses of Funds'!J11</f>
        <v>61551</v>
      </c>
      <c r="K321" s="2083"/>
      <c r="L321" s="2112"/>
      <c r="M321" s="2083">
        <f>'Part III-A-Uses of Funds'!M11</f>
        <v>0</v>
      </c>
      <c r="N321" s="2083"/>
      <c r="P321" s="2083">
        <f>'Part III-A-Uses of Funds'!P11</f>
        <v>0</v>
      </c>
      <c r="Q321" s="2083"/>
      <c r="S321" s="2083">
        <f>'Part III-A-Uses of Funds'!S11</f>
        <v>0</v>
      </c>
      <c r="T321" s="2083"/>
      <c r="V321" s="2113"/>
      <c r="W321" s="2114"/>
      <c r="X321" s="2114"/>
      <c r="BA321" s="1624">
        <v>11</v>
      </c>
    </row>
    <row r="322" spans="1:53" s="1821" customFormat="1" ht="11.25" customHeight="1">
      <c r="B322" s="1821" t="s">
        <v>459</v>
      </c>
      <c r="G322" s="2083">
        <f>'Part III-A-Uses of Funds'!G12</f>
        <v>33675</v>
      </c>
      <c r="H322" s="2083"/>
      <c r="J322" s="2083">
        <f>'Part III-A-Uses of Funds'!J12</f>
        <v>33675</v>
      </c>
      <c r="K322" s="2083"/>
      <c r="L322" s="2112"/>
      <c r="M322" s="2083">
        <f>'Part III-A-Uses of Funds'!M12</f>
        <v>0</v>
      </c>
      <c r="N322" s="2083"/>
      <c r="P322" s="2083">
        <f>'Part III-A-Uses of Funds'!P12</f>
        <v>0</v>
      </c>
      <c r="Q322" s="2083"/>
      <c r="S322" s="2083">
        <f>'Part III-A-Uses of Funds'!S12</f>
        <v>0</v>
      </c>
      <c r="T322" s="2083"/>
      <c r="V322" s="2113"/>
      <c r="W322" s="2114"/>
      <c r="X322" s="2114"/>
      <c r="BA322" s="1624">
        <v>12</v>
      </c>
    </row>
    <row r="323" spans="1:53" s="1821" customFormat="1" ht="11.25" customHeight="1">
      <c r="B323" s="1821" t="s">
        <v>2302</v>
      </c>
      <c r="G323" s="2083">
        <f>'Part III-A-Uses of Funds'!G13</f>
        <v>60000</v>
      </c>
      <c r="H323" s="2083"/>
      <c r="J323" s="2083">
        <f>'Part III-A-Uses of Funds'!J13</f>
        <v>60000</v>
      </c>
      <c r="K323" s="2083"/>
      <c r="L323" s="2112"/>
      <c r="M323" s="2083">
        <f>'Part III-A-Uses of Funds'!M13</f>
        <v>0</v>
      </c>
      <c r="N323" s="2083"/>
      <c r="P323" s="2083">
        <f>'Part III-A-Uses of Funds'!P13</f>
        <v>0</v>
      </c>
      <c r="Q323" s="2083"/>
      <c r="S323" s="2083">
        <f>'Part III-A-Uses of Funds'!S13</f>
        <v>0</v>
      </c>
      <c r="T323" s="2083"/>
      <c r="V323" s="2113"/>
      <c r="W323" s="2114"/>
      <c r="X323" s="2114"/>
      <c r="BA323" s="1624">
        <v>13</v>
      </c>
    </row>
    <row r="324" spans="1:53" s="1821" customFormat="1" ht="11.25" customHeight="1">
      <c r="B324" s="1821" t="s">
        <v>183</v>
      </c>
      <c r="G324" s="2083">
        <f>'Part III-A-Uses of Funds'!G14</f>
        <v>0</v>
      </c>
      <c r="H324" s="2083"/>
      <c r="J324" s="2083">
        <f>'Part III-A-Uses of Funds'!J14</f>
        <v>0</v>
      </c>
      <c r="K324" s="2083"/>
      <c r="L324" s="2112"/>
      <c r="M324" s="2083">
        <f>'Part III-A-Uses of Funds'!M14</f>
        <v>0</v>
      </c>
      <c r="N324" s="2083"/>
      <c r="P324" s="2083">
        <f>'Part III-A-Uses of Funds'!P14</f>
        <v>0</v>
      </c>
      <c r="Q324" s="2083"/>
      <c r="S324" s="2083">
        <f>'Part III-A-Uses of Funds'!S14</f>
        <v>0</v>
      </c>
      <c r="T324" s="2083"/>
      <c r="V324" s="2113"/>
      <c r="W324" s="2114"/>
      <c r="X324" s="2114"/>
      <c r="BA324" s="1624">
        <v>14</v>
      </c>
    </row>
    <row r="325" spans="1:53" s="1821" customFormat="1" ht="11.25" customHeight="1">
      <c r="A325" s="2115" t="str">
        <f>IF(AND(G325&gt;0,OR(C325="",C325="&lt;Enter detailed description here; use Comments section if needed&gt;")),"X","")</f>
        <v/>
      </c>
      <c r="B325" s="2029" t="s">
        <v>6280</v>
      </c>
      <c r="C325" s="2033" t="str">
        <f>'Part III-A-Uses of Funds'!C15</f>
        <v>&lt;&lt; Enter description here; provide detail &amp; justification in tab Part III-b &gt;&gt;</v>
      </c>
      <c r="D325" s="2116"/>
      <c r="E325" s="2116"/>
      <c r="F325" s="2116"/>
      <c r="G325" s="2083">
        <f>'Part III-A-Uses of Funds'!G15</f>
        <v>0</v>
      </c>
      <c r="H325" s="2083"/>
      <c r="J325" s="2083">
        <f>'Part III-A-Uses of Funds'!J15</f>
        <v>0</v>
      </c>
      <c r="K325" s="2083"/>
      <c r="L325" s="2112"/>
      <c r="M325" s="2083">
        <f>'Part III-A-Uses of Funds'!M15</f>
        <v>0</v>
      </c>
      <c r="N325" s="2083"/>
      <c r="P325" s="2083">
        <f>'Part III-A-Uses of Funds'!P15</f>
        <v>0</v>
      </c>
      <c r="Q325" s="2083"/>
      <c r="S325" s="2083">
        <f>'Part III-A-Uses of Funds'!S15</f>
        <v>0</v>
      </c>
      <c r="T325" s="2083"/>
      <c r="U325" s="2030" t="str">
        <f>IF(AND(G325&gt;0,OR(C325="",C325="&lt;Enter detailed description here; use Comments section if needed&gt;")),"NO DESCRIPTION PROVIDED - please enter detailed description in Other box at left; use Comments section below if needed.","")</f>
        <v/>
      </c>
      <c r="V325" s="2113"/>
      <c r="W325" s="2114"/>
      <c r="X325" s="2114"/>
      <c r="AZ325" s="1821" t="s">
        <v>6374</v>
      </c>
      <c r="BA325" s="1624">
        <v>15</v>
      </c>
    </row>
    <row r="326" spans="1:53" s="1821" customFormat="1" ht="11.25" customHeight="1">
      <c r="A326" s="2115" t="str">
        <f>IF(AND(G326&gt;0,OR(C326="",C326="&lt;Enter detailed description here; use Comments section if needed&gt;")),"X","")</f>
        <v/>
      </c>
      <c r="B326" s="2029" t="s">
        <v>6281</v>
      </c>
      <c r="C326" s="2033" t="str">
        <f>'Part III-A-Uses of Funds'!C16</f>
        <v>&lt;&lt; Enter description here; provide detail &amp; justification in tab Part III-b &gt;&gt;</v>
      </c>
      <c r="D326" s="2116"/>
      <c r="E326" s="2116"/>
      <c r="F326" s="2116"/>
      <c r="G326" s="2083">
        <f>'Part III-A-Uses of Funds'!G16</f>
        <v>0</v>
      </c>
      <c r="H326" s="2083"/>
      <c r="J326" s="2083">
        <f>'Part III-A-Uses of Funds'!J16</f>
        <v>0</v>
      </c>
      <c r="K326" s="2083"/>
      <c r="L326" s="2112"/>
      <c r="M326" s="2083">
        <f>'Part III-A-Uses of Funds'!M16</f>
        <v>0</v>
      </c>
      <c r="N326" s="2083"/>
      <c r="P326" s="2083">
        <f>'Part III-A-Uses of Funds'!P16</f>
        <v>0</v>
      </c>
      <c r="Q326" s="2083"/>
      <c r="S326" s="2083">
        <f>'Part III-A-Uses of Funds'!S16</f>
        <v>0</v>
      </c>
      <c r="T326" s="2083"/>
      <c r="U326" s="2030" t="str">
        <f>IF(AND(G326&gt;0,OR(C326="",C326="&lt;Enter detailed description here; use Comments section if needed&gt;")),"NO DESCRIPTION PROVIDED - please enter detailed description in Other box at left; use Comments section below if needed.","")</f>
        <v/>
      </c>
      <c r="V326" s="2113"/>
      <c r="W326" s="2114"/>
      <c r="X326" s="2114"/>
      <c r="AZ326" s="1821" t="s">
        <v>6375</v>
      </c>
      <c r="BA326" s="1624">
        <v>16</v>
      </c>
    </row>
    <row r="327" spans="1:53" s="1821" customFormat="1" ht="11.25" customHeight="1">
      <c r="A327" s="2115" t="str">
        <f>IF(AND(G327&gt;0,OR(C327="",C327="&lt;Enter detailed description here; use Comments section if needed&gt;")),"X","")</f>
        <v/>
      </c>
      <c r="B327" s="2029" t="s">
        <v>6282</v>
      </c>
      <c r="C327" s="2033" t="str">
        <f>'Part III-A-Uses of Funds'!C17</f>
        <v>&lt;&lt; Enter description here; provide detail &amp; justification in tab Part III-b &gt;&gt;</v>
      </c>
      <c r="D327" s="2116"/>
      <c r="E327" s="2116"/>
      <c r="F327" s="2116"/>
      <c r="G327" s="2083">
        <f>'Part III-A-Uses of Funds'!G17</f>
        <v>0</v>
      </c>
      <c r="H327" s="2083"/>
      <c r="J327" s="2083">
        <f>'Part III-A-Uses of Funds'!J17</f>
        <v>0</v>
      </c>
      <c r="K327" s="2083"/>
      <c r="L327" s="2112"/>
      <c r="M327" s="2083">
        <f>'Part III-A-Uses of Funds'!M17</f>
        <v>0</v>
      </c>
      <c r="N327" s="2083"/>
      <c r="P327" s="2083">
        <f>'Part III-A-Uses of Funds'!P17</f>
        <v>0</v>
      </c>
      <c r="Q327" s="2083"/>
      <c r="S327" s="2083">
        <f>'Part III-A-Uses of Funds'!S17</f>
        <v>0</v>
      </c>
      <c r="T327" s="2083"/>
      <c r="U327" s="2030" t="str">
        <f>IF(AND(G327&gt;0,OR(C327="",C327="&lt;Enter detailed description here; use Comments section if needed&gt;")),"NO DESCRIPTION PROVIDED - please enter detailed description in Other box at left; use Comments section below if needed.","")</f>
        <v/>
      </c>
      <c r="V327" s="2113"/>
      <c r="W327" s="2114"/>
      <c r="X327" s="2114"/>
      <c r="AZ327" s="1821" t="s">
        <v>6376</v>
      </c>
      <c r="BA327" s="1624">
        <v>17</v>
      </c>
    </row>
    <row r="328" spans="1:53" s="1821" customFormat="1" ht="12.6" customHeight="1">
      <c r="F328" s="2117" t="s">
        <v>184</v>
      </c>
      <c r="G328" s="2109">
        <f>SUM(G319:G327)</f>
        <v>184226</v>
      </c>
      <c r="H328" s="2109"/>
      <c r="J328" s="2109">
        <f>SUM(J319:J327)</f>
        <v>184226</v>
      </c>
      <c r="K328" s="2109"/>
      <c r="L328" s="2112"/>
      <c r="M328" s="2109">
        <f>SUM(M319:M327)</f>
        <v>0</v>
      </c>
      <c r="N328" s="2109"/>
      <c r="P328" s="2109">
        <f>SUM(P319:P327)</f>
        <v>0</v>
      </c>
      <c r="Q328" s="2109"/>
      <c r="S328" s="2109">
        <f>SUM(S319:S327)</f>
        <v>0</v>
      </c>
      <c r="T328" s="2109"/>
      <c r="V328" s="2113">
        <f>SUM(V319:V327)</f>
        <v>0</v>
      </c>
      <c r="W328" s="2114"/>
      <c r="X328" s="2114"/>
      <c r="AZ328" s="1821" t="s">
        <v>6377</v>
      </c>
      <c r="BA328" s="1624">
        <v>18</v>
      </c>
    </row>
    <row r="329" spans="1:53" s="1821" customFormat="1" ht="12" customHeight="1">
      <c r="B329" s="1821" t="s">
        <v>2038</v>
      </c>
      <c r="J329" s="2109"/>
      <c r="K329" s="2109"/>
      <c r="M329" s="2109"/>
      <c r="N329" s="2109"/>
      <c r="O329" s="2112" t="str">
        <f>B329</f>
        <v>ACQUISITION</v>
      </c>
      <c r="P329" s="2109"/>
      <c r="Q329" s="2109"/>
      <c r="S329" s="2109"/>
      <c r="T329" s="2109"/>
      <c r="V329" s="2118"/>
      <c r="W329" s="1821" t="str">
        <f>B329</f>
        <v>ACQUISITION</v>
      </c>
      <c r="BA329" s="1624">
        <v>19</v>
      </c>
    </row>
    <row r="330" spans="1:53" s="1821" customFormat="1" ht="11.25" customHeight="1">
      <c r="B330" s="1821" t="s">
        <v>2039</v>
      </c>
      <c r="E330" s="2119" t="s">
        <v>3224</v>
      </c>
      <c r="F330" s="2120">
        <f>IF('Part I-Project Identification'!$O$31="","",G330/'Part I-Project Identification'!$O$31)</f>
        <v>8719.4818136522172</v>
      </c>
      <c r="G330" s="2083">
        <f>'Part III-A-Uses of Funds'!G20</f>
        <v>175000</v>
      </c>
      <c r="H330" s="2083"/>
      <c r="J330" s="2112"/>
      <c r="K330" s="2109"/>
      <c r="L330" s="2112"/>
      <c r="M330" s="2112"/>
      <c r="N330" s="2109"/>
      <c r="P330" s="2112"/>
      <c r="Q330" s="2109"/>
      <c r="S330" s="2083">
        <f>'Part III-A-Uses of Funds'!S20</f>
        <v>175000</v>
      </c>
      <c r="T330" s="2083"/>
      <c r="V330" s="2113"/>
      <c r="W330" s="2114"/>
      <c r="X330" s="2114"/>
      <c r="BA330" s="1624">
        <v>20</v>
      </c>
    </row>
    <row r="331" spans="1:53" s="1821" customFormat="1" ht="11.25" customHeight="1">
      <c r="B331" s="1821" t="s">
        <v>1055</v>
      </c>
      <c r="G331" s="2083">
        <f>'Part III-A-Uses of Funds'!G21</f>
        <v>0</v>
      </c>
      <c r="H331" s="2083"/>
      <c r="J331" s="2112"/>
      <c r="K331" s="2109"/>
      <c r="L331" s="2112"/>
      <c r="M331" s="2112"/>
      <c r="N331" s="2109"/>
      <c r="P331" s="2112"/>
      <c r="Q331" s="2109"/>
      <c r="S331" s="2083">
        <f>'Part III-A-Uses of Funds'!S21</f>
        <v>0</v>
      </c>
      <c r="T331" s="2083"/>
      <c r="V331" s="2113"/>
      <c r="W331" s="2114"/>
      <c r="X331" s="2114"/>
      <c r="BA331" s="1624">
        <v>21</v>
      </c>
    </row>
    <row r="332" spans="1:53" s="1821" customFormat="1" ht="11.25" customHeight="1">
      <c r="B332" s="1821" t="s">
        <v>432</v>
      </c>
      <c r="G332" s="2083">
        <f>'Part III-A-Uses of Funds'!G22</f>
        <v>0</v>
      </c>
      <c r="H332" s="2083"/>
      <c r="J332" s="2112"/>
      <c r="K332" s="2109"/>
      <c r="L332" s="2112"/>
      <c r="M332" s="2083">
        <f>'Part III-A-Uses of Funds'!M22</f>
        <v>0</v>
      </c>
      <c r="N332" s="2083"/>
      <c r="P332" s="2112"/>
      <c r="Q332" s="2109"/>
      <c r="S332" s="2083">
        <f>'Part III-A-Uses of Funds'!S22</f>
        <v>0</v>
      </c>
      <c r="T332" s="2083"/>
      <c r="V332" s="2113"/>
      <c r="W332" s="2114"/>
      <c r="X332" s="2114"/>
      <c r="BA332" s="1624">
        <v>22</v>
      </c>
    </row>
    <row r="333" spans="1:53" s="1821" customFormat="1" ht="11.25" customHeight="1">
      <c r="B333" s="1821" t="s">
        <v>405</v>
      </c>
      <c r="G333" s="2083">
        <f>'Part III-A-Uses of Funds'!G23</f>
        <v>0</v>
      </c>
      <c r="H333" s="2083"/>
      <c r="J333" s="2112"/>
      <c r="K333" s="2109"/>
      <c r="L333" s="2112"/>
      <c r="M333" s="2083">
        <f>'Part III-A-Uses of Funds'!M23</f>
        <v>0</v>
      </c>
      <c r="N333" s="2083"/>
      <c r="P333" s="2112"/>
      <c r="Q333" s="2109"/>
      <c r="S333" s="2083">
        <f>'Part III-A-Uses of Funds'!S23</f>
        <v>0</v>
      </c>
      <c r="T333" s="2083"/>
      <c r="V333" s="2113"/>
      <c r="W333" s="2114"/>
      <c r="X333" s="2114"/>
      <c r="BA333" s="1624">
        <v>23</v>
      </c>
    </row>
    <row r="334" spans="1:53" s="1821" customFormat="1" ht="12.6" customHeight="1">
      <c r="F334" s="2117" t="s">
        <v>184</v>
      </c>
      <c r="G334" s="2109">
        <f>SUM(G330:G333)</f>
        <v>175000</v>
      </c>
      <c r="H334" s="2109"/>
      <c r="J334" s="2112"/>
      <c r="K334" s="2109"/>
      <c r="L334" s="2112"/>
      <c r="M334" s="2109">
        <f>SUM(M332:M333)</f>
        <v>0</v>
      </c>
      <c r="N334" s="2109"/>
      <c r="P334" s="2112"/>
      <c r="Q334" s="2109"/>
      <c r="S334" s="2109">
        <f>SUM(S330:S333)</f>
        <v>175000</v>
      </c>
      <c r="T334" s="2109"/>
      <c r="V334" s="2113">
        <f>SUM(V330:V333)</f>
        <v>0</v>
      </c>
      <c r="W334" s="2114"/>
      <c r="X334" s="2114"/>
      <c r="AZ334" s="1821" t="s">
        <v>6378</v>
      </c>
      <c r="BA334" s="1624">
        <v>24</v>
      </c>
    </row>
    <row r="335" spans="1:53" s="1821" customFormat="1" ht="12" customHeight="1">
      <c r="B335" s="1821" t="s">
        <v>1056</v>
      </c>
      <c r="J335" s="2112"/>
      <c r="K335" s="2109"/>
      <c r="M335" s="2112"/>
      <c r="N335" s="2109"/>
      <c r="O335" s="2112" t="str">
        <f>B335</f>
        <v>LAND IMPROVEMENTS</v>
      </c>
      <c r="P335" s="2112"/>
      <c r="Q335" s="2109"/>
      <c r="S335" s="2112"/>
      <c r="T335" s="2109"/>
      <c r="V335" s="2118"/>
      <c r="W335" s="1821" t="str">
        <f>B335</f>
        <v>LAND IMPROVEMENTS</v>
      </c>
      <c r="BA335" s="1624">
        <v>25</v>
      </c>
    </row>
    <row r="336" spans="1:53" s="1821" customFormat="1" ht="11.25" customHeight="1">
      <c r="B336" s="1821" t="s">
        <v>1057</v>
      </c>
      <c r="E336" s="2119" t="s">
        <v>3224</v>
      </c>
      <c r="F336" s="2120">
        <f>IF('Part I-Project Identification'!$O$31="","",G336/'Part I-Project Identification'!$O$31)</f>
        <v>230188.34080717489</v>
      </c>
      <c r="G336" s="2083">
        <f>'Part III-A-Uses of Funds'!G26</f>
        <v>4619880</v>
      </c>
      <c r="H336" s="2083"/>
      <c r="J336" s="2083">
        <f>'Part III-A-Uses of Funds'!J26</f>
        <v>4619880</v>
      </c>
      <c r="K336" s="2083"/>
      <c r="L336" s="2112"/>
      <c r="M336" s="2083">
        <f>'Part III-A-Uses of Funds'!M26</f>
        <v>0</v>
      </c>
      <c r="N336" s="2083"/>
      <c r="P336" s="2083">
        <f>'Part III-A-Uses of Funds'!P26</f>
        <v>0</v>
      </c>
      <c r="Q336" s="2083"/>
      <c r="S336" s="2083">
        <f>'Part III-A-Uses of Funds'!S26</f>
        <v>0</v>
      </c>
      <c r="T336" s="2083"/>
      <c r="V336" s="2113"/>
      <c r="W336" s="2114"/>
      <c r="X336" s="2114"/>
      <c r="BA336" s="1624">
        <v>26</v>
      </c>
    </row>
    <row r="337" spans="1:53" s="1821" customFormat="1" ht="11.25" customHeight="1">
      <c r="B337" s="1821" t="s">
        <v>1058</v>
      </c>
      <c r="G337" s="2083">
        <f>'Part III-A-Uses of Funds'!G27</f>
        <v>0</v>
      </c>
      <c r="H337" s="2083"/>
      <c r="J337" s="2083">
        <f>'Part III-A-Uses of Funds'!J27</f>
        <v>0</v>
      </c>
      <c r="K337" s="2083"/>
      <c r="L337" s="2121"/>
      <c r="M337" s="2109"/>
      <c r="N337" s="2109"/>
      <c r="P337" s="2109"/>
      <c r="Q337" s="2109"/>
      <c r="S337" s="2083">
        <f>'Part III-A-Uses of Funds'!S27</f>
        <v>0</v>
      </c>
      <c r="T337" s="2083"/>
      <c r="V337" s="2113"/>
      <c r="W337" s="2114"/>
      <c r="X337" s="2114"/>
      <c r="BA337" s="1624">
        <v>27</v>
      </c>
    </row>
    <row r="338" spans="1:53" s="1821" customFormat="1" ht="12.6" customHeight="1">
      <c r="F338" s="2117" t="s">
        <v>184</v>
      </c>
      <c r="G338" s="2109">
        <f>SUM(G336:G337)</f>
        <v>4619880</v>
      </c>
      <c r="H338" s="2109"/>
      <c r="J338" s="2109">
        <f>SUM(J336:J337)</f>
        <v>4619880</v>
      </c>
      <c r="K338" s="2109"/>
      <c r="L338" s="2112"/>
      <c r="M338" s="2109">
        <f>M336</f>
        <v>0</v>
      </c>
      <c r="N338" s="2109"/>
      <c r="P338" s="2109">
        <f>P336</f>
        <v>0</v>
      </c>
      <c r="Q338" s="2109"/>
      <c r="S338" s="2109">
        <f>SUM(S336:S337)</f>
        <v>0</v>
      </c>
      <c r="T338" s="2109"/>
      <c r="V338" s="2113">
        <f>SUM(V336:V337)</f>
        <v>0</v>
      </c>
      <c r="W338" s="2114"/>
      <c r="X338" s="2114"/>
      <c r="AZ338" s="1821" t="s">
        <v>6379</v>
      </c>
      <c r="BA338" s="1624">
        <v>28</v>
      </c>
    </row>
    <row r="339" spans="1:53" s="1821" customFormat="1" ht="12" customHeight="1">
      <c r="B339" s="1821" t="s">
        <v>1059</v>
      </c>
      <c r="J339" s="2112"/>
      <c r="K339" s="2109"/>
      <c r="M339" s="2112"/>
      <c r="N339" s="2109"/>
      <c r="O339" s="2112" t="str">
        <f>B339</f>
        <v>STRUCTURES</v>
      </c>
      <c r="P339" s="2112"/>
      <c r="Q339" s="2109"/>
      <c r="S339" s="2112"/>
      <c r="T339" s="2109"/>
      <c r="V339" s="2118"/>
      <c r="W339" s="1821" t="str">
        <f>B339</f>
        <v>STRUCTURES</v>
      </c>
      <c r="BA339" s="1624">
        <v>29</v>
      </c>
    </row>
    <row r="340" spans="1:53" s="1821" customFormat="1" ht="11.25" customHeight="1">
      <c r="B340" s="1821" t="s">
        <v>1060</v>
      </c>
      <c r="G340" s="2083">
        <f>'Part III-A-Uses of Funds'!G30</f>
        <v>17159520</v>
      </c>
      <c r="H340" s="2083"/>
      <c r="J340" s="2083">
        <f>'Part III-A-Uses of Funds'!J30</f>
        <v>17159520</v>
      </c>
      <c r="K340" s="2083"/>
      <c r="L340" s="2112"/>
      <c r="M340" s="2083">
        <f>'Part III-A-Uses of Funds'!M30</f>
        <v>0</v>
      </c>
      <c r="N340" s="2083"/>
      <c r="P340" s="2083">
        <f>'Part III-A-Uses of Funds'!P30</f>
        <v>0</v>
      </c>
      <c r="Q340" s="2083"/>
      <c r="S340" s="2083">
        <f>'Part III-A-Uses of Funds'!S30</f>
        <v>0</v>
      </c>
      <c r="T340" s="2083"/>
      <c r="V340" s="2113"/>
      <c r="W340" s="2114"/>
      <c r="X340" s="2114"/>
      <c r="BA340" s="1624">
        <v>30</v>
      </c>
    </row>
    <row r="341" spans="1:53" s="1821" customFormat="1" ht="11.25" customHeight="1">
      <c r="B341" s="1821" t="s">
        <v>1061</v>
      </c>
      <c r="G341" s="2083">
        <f>'Part III-A-Uses of Funds'!G31</f>
        <v>0</v>
      </c>
      <c r="H341" s="2083"/>
      <c r="J341" s="2083">
        <f>'Part III-A-Uses of Funds'!J31</f>
        <v>0</v>
      </c>
      <c r="K341" s="2083"/>
      <c r="L341" s="2112"/>
      <c r="M341" s="2083">
        <f>'Part III-A-Uses of Funds'!M31</f>
        <v>0</v>
      </c>
      <c r="N341" s="2083"/>
      <c r="P341" s="2083">
        <f>'Part III-A-Uses of Funds'!P31</f>
        <v>0</v>
      </c>
      <c r="Q341" s="2083"/>
      <c r="S341" s="2083">
        <f>'Part III-A-Uses of Funds'!S31</f>
        <v>0</v>
      </c>
      <c r="T341" s="2083"/>
      <c r="V341" s="2113"/>
      <c r="W341" s="2114"/>
      <c r="X341" s="2114"/>
      <c r="BA341" s="1624">
        <v>31</v>
      </c>
    </row>
    <row r="342" spans="1:53" s="1821" customFormat="1" ht="11.25" customHeight="1">
      <c r="B342" s="1821" t="s">
        <v>6094</v>
      </c>
      <c r="G342" s="2083">
        <f>'Part III-A-Uses of Funds'!G32</f>
        <v>0</v>
      </c>
      <c r="H342" s="2083"/>
      <c r="J342" s="2083">
        <f>'Part III-A-Uses of Funds'!J32</f>
        <v>0</v>
      </c>
      <c r="K342" s="2083"/>
      <c r="L342" s="2112"/>
      <c r="M342" s="2083">
        <f>'Part III-A-Uses of Funds'!M32</f>
        <v>0</v>
      </c>
      <c r="N342" s="2083"/>
      <c r="P342" s="2083">
        <f>'Part III-A-Uses of Funds'!P32</f>
        <v>0</v>
      </c>
      <c r="Q342" s="2083"/>
      <c r="S342" s="2083">
        <f>'Part III-A-Uses of Funds'!S32</f>
        <v>0</v>
      </c>
      <c r="T342" s="2083"/>
      <c r="V342" s="2113"/>
      <c r="W342" s="2114"/>
      <c r="X342" s="2114"/>
      <c r="BA342" s="1624">
        <v>32</v>
      </c>
    </row>
    <row r="343" spans="1:53" s="1821" customFormat="1" ht="11.25" customHeight="1">
      <c r="B343" s="1821" t="s">
        <v>6092</v>
      </c>
      <c r="G343" s="2083">
        <f>'Part III-A-Uses of Funds'!G33</f>
        <v>0</v>
      </c>
      <c r="H343" s="2083"/>
      <c r="J343" s="2083">
        <f>'Part III-A-Uses of Funds'!J33</f>
        <v>0</v>
      </c>
      <c r="K343" s="2083"/>
      <c r="L343" s="2112"/>
      <c r="M343" s="2083">
        <f>'Part III-A-Uses of Funds'!M33</f>
        <v>0</v>
      </c>
      <c r="N343" s="2083"/>
      <c r="P343" s="2083">
        <f>'Part III-A-Uses of Funds'!P33</f>
        <v>0</v>
      </c>
      <c r="Q343" s="2083"/>
      <c r="S343" s="2083">
        <f>'Part III-A-Uses of Funds'!S33</f>
        <v>0</v>
      </c>
      <c r="T343" s="2083"/>
      <c r="V343" s="2113"/>
      <c r="W343" s="2114"/>
      <c r="X343" s="2114"/>
      <c r="BA343" s="1624">
        <v>33</v>
      </c>
    </row>
    <row r="344" spans="1:53" s="378" customFormat="1" ht="11.25" customHeight="1">
      <c r="B344" s="1821" t="s">
        <v>2497</v>
      </c>
      <c r="G344" s="2083">
        <f>'Part III-A-Uses of Funds'!G34</f>
        <v>0</v>
      </c>
      <c r="H344" s="2083"/>
      <c r="I344" s="1821"/>
      <c r="J344" s="2083">
        <f>'Part III-A-Uses of Funds'!J34</f>
        <v>0</v>
      </c>
      <c r="K344" s="2083"/>
      <c r="L344" s="2112"/>
      <c r="M344" s="2083">
        <f>'Part III-A-Uses of Funds'!M34</f>
        <v>0</v>
      </c>
      <c r="N344" s="2083"/>
      <c r="O344" s="1821"/>
      <c r="P344" s="2083">
        <f>'Part III-A-Uses of Funds'!P34</f>
        <v>0</v>
      </c>
      <c r="Q344" s="2083"/>
      <c r="R344" s="1821"/>
      <c r="S344" s="2083">
        <f>'Part III-A-Uses of Funds'!S34</f>
        <v>0</v>
      </c>
      <c r="T344" s="2083"/>
      <c r="V344" s="2113"/>
      <c r="W344" s="2114"/>
      <c r="X344" s="2114"/>
      <c r="BA344" s="1624">
        <v>34</v>
      </c>
    </row>
    <row r="345" spans="1:53" s="378" customFormat="1" ht="11.25" customHeight="1">
      <c r="B345" s="1821" t="s">
        <v>6093</v>
      </c>
      <c r="G345" s="2083">
        <f>'Part III-A-Uses of Funds'!G35</f>
        <v>0</v>
      </c>
      <c r="H345" s="2083"/>
      <c r="I345" s="1821"/>
      <c r="J345" s="2083">
        <f>'Part III-A-Uses of Funds'!J35</f>
        <v>0</v>
      </c>
      <c r="K345" s="2083"/>
      <c r="L345" s="2112"/>
      <c r="M345" s="2083">
        <f>'Part III-A-Uses of Funds'!M35</f>
        <v>0</v>
      </c>
      <c r="N345" s="2083"/>
      <c r="O345" s="1821"/>
      <c r="P345" s="2083">
        <f>'Part III-A-Uses of Funds'!P35</f>
        <v>0</v>
      </c>
      <c r="Q345" s="2083"/>
      <c r="R345" s="1821"/>
      <c r="S345" s="2083">
        <f>'Part III-A-Uses of Funds'!S35</f>
        <v>0</v>
      </c>
      <c r="T345" s="2083"/>
      <c r="V345" s="2113"/>
      <c r="W345" s="2114"/>
      <c r="X345" s="2114"/>
      <c r="BA345" s="1624">
        <v>35</v>
      </c>
    </row>
    <row r="346" spans="1:53" s="1821" customFormat="1" ht="12.6" customHeight="1">
      <c r="C346" s="2122"/>
      <c r="D346" s="2122"/>
      <c r="E346" s="2123"/>
      <c r="F346" s="2117" t="s">
        <v>184</v>
      </c>
      <c r="G346" s="2109">
        <f>SUM(G340:G345)</f>
        <v>17159520</v>
      </c>
      <c r="H346" s="2109"/>
      <c r="J346" s="2109">
        <f>SUM(J340:J345)</f>
        <v>17159520</v>
      </c>
      <c r="K346" s="2109"/>
      <c r="L346" s="2112"/>
      <c r="M346" s="2109">
        <f>SUM(M340:M345)</f>
        <v>0</v>
      </c>
      <c r="N346" s="2109"/>
      <c r="P346" s="2109">
        <f>SUM(P340:P345)</f>
        <v>0</v>
      </c>
      <c r="Q346" s="2109"/>
      <c r="S346" s="2109">
        <f>SUM(S340:S345)</f>
        <v>0</v>
      </c>
      <c r="T346" s="2109"/>
      <c r="V346" s="2113">
        <f>SUM(V340:V345)</f>
        <v>0</v>
      </c>
      <c r="W346" s="2114"/>
      <c r="X346" s="2114"/>
      <c r="AZ346" s="1821" t="s">
        <v>6380</v>
      </c>
      <c r="BA346" s="1624">
        <v>36</v>
      </c>
    </row>
    <row r="347" spans="1:53" s="1821" customFormat="1" ht="12" customHeight="1">
      <c r="B347" s="1821" t="s">
        <v>2164</v>
      </c>
      <c r="D347" s="2046" t="s">
        <v>3228</v>
      </c>
      <c r="E347" s="2046"/>
      <c r="F347" s="2124">
        <f>SUM(F348:F350)</f>
        <v>0</v>
      </c>
      <c r="G347" s="2029" t="str">
        <f>IF(G348&gt;E348,"Proposed Builder Profit exceeds DCA Maximum!!!",IF(G349&gt;E349,"Proposed Builder Overhead exceeds DCA Maximum!!!",IF(G350&gt;E350,"Proposed General Requirements exceeds DCA Maximum!!!",IF(G351&gt;E351,"Proposed Contractor Services amount exceeds DCA Maximum!!!",""))))</f>
        <v/>
      </c>
      <c r="H347" s="378"/>
      <c r="I347" s="378"/>
      <c r="J347" s="2112"/>
      <c r="K347" s="2109"/>
      <c r="M347" s="2112"/>
      <c r="N347" s="2109"/>
      <c r="O347" s="2112" t="str">
        <f>B347</f>
        <v>CONTRACTOR SERVICES</v>
      </c>
      <c r="P347" s="2112"/>
      <c r="Q347" s="2109"/>
      <c r="S347" s="2112"/>
      <c r="T347" s="2109"/>
      <c r="V347" s="2118"/>
      <c r="W347" s="1821" t="str">
        <f>B347</f>
        <v>CONTRACTOR SERVICES</v>
      </c>
      <c r="BA347" s="1624">
        <v>37</v>
      </c>
    </row>
    <row r="348" spans="1:53" s="1821" customFormat="1" ht="11.25" customHeight="1">
      <c r="B348" s="1821" t="s">
        <v>2165</v>
      </c>
      <c r="D348" s="2124">
        <f>'DCA Underwriting Assumptions'!$R$38</f>
        <v>0.06</v>
      </c>
      <c r="E348" s="2125">
        <f>ROUNDDOWN(D348*(G338+G346),0)</f>
        <v>1306764</v>
      </c>
      <c r="F348" s="2124">
        <f>IF(($G$28+$G$36)=0,0,G348/($G$28+$G$36))</f>
        <v>0</v>
      </c>
      <c r="G348" s="2083">
        <f>'Part III-A-Uses of Funds'!G38</f>
        <v>1306764</v>
      </c>
      <c r="H348" s="2083"/>
      <c r="J348" s="2083">
        <f>'Part III-A-Uses of Funds'!J38</f>
        <v>1306764</v>
      </c>
      <c r="K348" s="2083"/>
      <c r="L348" s="2112"/>
      <c r="M348" s="2083">
        <f>'Part III-A-Uses of Funds'!M38</f>
        <v>0</v>
      </c>
      <c r="N348" s="2083"/>
      <c r="P348" s="2083">
        <f>'Part III-A-Uses of Funds'!P38</f>
        <v>0</v>
      </c>
      <c r="Q348" s="2083"/>
      <c r="S348" s="2083">
        <f>'Part III-A-Uses of Funds'!S38</f>
        <v>0</v>
      </c>
      <c r="T348" s="2083"/>
      <c r="V348" s="2113"/>
      <c r="W348" s="2114"/>
      <c r="X348" s="2114"/>
      <c r="BA348" s="1624">
        <v>38</v>
      </c>
    </row>
    <row r="349" spans="1:53" s="1821" customFormat="1" ht="11.25" customHeight="1">
      <c r="B349" s="1821" t="s">
        <v>2477</v>
      </c>
      <c r="D349" s="2124">
        <f>'DCA Underwriting Assumptions'!$R$39</f>
        <v>0.02</v>
      </c>
      <c r="E349" s="2125">
        <f>ROUNDDOWN(D349*(G338+G346),0)</f>
        <v>435588</v>
      </c>
      <c r="F349" s="2124">
        <f>IF(($G$28+$G$36)=0,0,G349/($G$28+$G$36))</f>
        <v>0</v>
      </c>
      <c r="G349" s="2083">
        <f>'Part III-A-Uses of Funds'!G39</f>
        <v>435588</v>
      </c>
      <c r="H349" s="2083"/>
      <c r="I349" s="378"/>
      <c r="J349" s="2083">
        <f>'Part III-A-Uses of Funds'!J39</f>
        <v>435588</v>
      </c>
      <c r="K349" s="2083"/>
      <c r="L349" s="2112"/>
      <c r="M349" s="2083">
        <f>'Part III-A-Uses of Funds'!M39</f>
        <v>0</v>
      </c>
      <c r="N349" s="2083"/>
      <c r="P349" s="2083">
        <f>'Part III-A-Uses of Funds'!P39</f>
        <v>0</v>
      </c>
      <c r="Q349" s="2083"/>
      <c r="S349" s="2083">
        <f>'Part III-A-Uses of Funds'!S39</f>
        <v>0</v>
      </c>
      <c r="T349" s="2083"/>
      <c r="V349" s="2113"/>
      <c r="W349" s="2114"/>
      <c r="X349" s="2114"/>
      <c r="BA349" s="1624">
        <v>39</v>
      </c>
    </row>
    <row r="350" spans="1:53" s="1821" customFormat="1" ht="11.25" customHeight="1">
      <c r="B350" s="1821" t="s">
        <v>2478</v>
      </c>
      <c r="D350" s="2124">
        <f>'DCA Underwriting Assumptions'!$R$40</f>
        <v>0.06</v>
      </c>
      <c r="E350" s="2125">
        <f>ROUNDDOWN(D350*(G338+G346),0)</f>
        <v>1306764</v>
      </c>
      <c r="F350" s="2124">
        <f>IF(($G$28+$G$36)=0,0,G350/($G$28+$G$36))</f>
        <v>0</v>
      </c>
      <c r="G350" s="2083">
        <f>'Part III-A-Uses of Funds'!G40</f>
        <v>1306764</v>
      </c>
      <c r="H350" s="2083"/>
      <c r="I350" s="378"/>
      <c r="J350" s="2083">
        <f>'Part III-A-Uses of Funds'!J40</f>
        <v>1306764</v>
      </c>
      <c r="K350" s="2083"/>
      <c r="L350" s="2112"/>
      <c r="M350" s="2083">
        <f>'Part III-A-Uses of Funds'!M40</f>
        <v>0</v>
      </c>
      <c r="N350" s="2083"/>
      <c r="P350" s="2083">
        <f>'Part III-A-Uses of Funds'!P40</f>
        <v>0</v>
      </c>
      <c r="Q350" s="2083"/>
      <c r="S350" s="2083">
        <f>'Part III-A-Uses of Funds'!S40</f>
        <v>0</v>
      </c>
      <c r="T350" s="2083"/>
      <c r="V350" s="2113"/>
      <c r="W350" s="2114"/>
      <c r="X350" s="2114"/>
      <c r="BA350" s="1624">
        <v>40</v>
      </c>
    </row>
    <row r="351" spans="1:53" s="1821" customFormat="1" ht="12.6" customHeight="1">
      <c r="B351" s="2029" t="s">
        <v>3229</v>
      </c>
      <c r="D351" s="2124">
        <f>SUM(D348:D350)</f>
        <v>0.14000000000000001</v>
      </c>
      <c r="E351" s="2126">
        <f>SUM(E348:E350)</f>
        <v>3049116</v>
      </c>
      <c r="F351" s="2117" t="s">
        <v>184</v>
      </c>
      <c r="G351" s="2109">
        <f>SUM(G348:G350)</f>
        <v>3049116</v>
      </c>
      <c r="H351" s="2109"/>
      <c r="J351" s="2109">
        <f>SUM(J348:J350)</f>
        <v>3049116</v>
      </c>
      <c r="K351" s="2109"/>
      <c r="L351" s="2112"/>
      <c r="M351" s="2109">
        <f>SUM(M348:M350)</f>
        <v>0</v>
      </c>
      <c r="N351" s="2109"/>
      <c r="P351" s="2109">
        <f>SUM(P348:P350)</f>
        <v>0</v>
      </c>
      <c r="Q351" s="2109"/>
      <c r="S351" s="2109">
        <f>SUM(S348:S350)</f>
        <v>0</v>
      </c>
      <c r="T351" s="2109"/>
      <c r="V351" s="2113">
        <f>SUM(V348:V350)</f>
        <v>0</v>
      </c>
      <c r="W351" s="2114"/>
      <c r="X351" s="2114"/>
      <c r="AZ351" s="1821" t="s">
        <v>6381</v>
      </c>
      <c r="BA351" s="1624">
        <v>41</v>
      </c>
    </row>
    <row r="352" spans="1:53" s="1821" customFormat="1" ht="3" customHeight="1">
      <c r="A352" s="1624"/>
      <c r="B352" s="1624"/>
      <c r="C352" s="1624"/>
      <c r="D352" s="1624"/>
      <c r="E352" s="1624"/>
      <c r="F352" s="1624"/>
      <c r="G352" s="1624"/>
      <c r="H352" s="1624"/>
      <c r="I352" s="1624"/>
      <c r="J352" s="1624"/>
      <c r="K352" s="1624"/>
      <c r="L352" s="1624"/>
      <c r="M352" s="1624"/>
      <c r="N352" s="1624"/>
      <c r="O352" s="1624"/>
      <c r="P352" s="1624"/>
      <c r="Q352" s="1624"/>
      <c r="R352" s="1624"/>
      <c r="S352" s="1624"/>
      <c r="T352" s="1624"/>
      <c r="V352" s="2118"/>
      <c r="BA352" s="1624">
        <v>42</v>
      </c>
    </row>
    <row r="353" spans="1:53" s="1821" customFormat="1">
      <c r="A353" s="1624"/>
      <c r="C353" s="2127" t="s">
        <v>6497</v>
      </c>
      <c r="E353" s="1624"/>
      <c r="F353" s="1624"/>
      <c r="G353" s="2128">
        <f>G338+G346+G351</f>
        <v>24828516</v>
      </c>
      <c r="H353" s="2128"/>
      <c r="I353" s="1624"/>
      <c r="J353" s="1624"/>
      <c r="K353" s="1624"/>
      <c r="L353" s="1624"/>
      <c r="M353" s="1624"/>
      <c r="N353" s="1624"/>
      <c r="O353" s="1624"/>
      <c r="P353" s="1624"/>
      <c r="Q353" s="1624"/>
      <c r="R353" s="1624"/>
      <c r="S353" s="1624"/>
      <c r="T353" s="1624"/>
      <c r="V353" s="2118"/>
      <c r="BA353" s="1624">
        <v>43</v>
      </c>
    </row>
    <row r="354" spans="1:53" s="1821" customFormat="1" ht="3" customHeight="1">
      <c r="AZ354" s="378" t="s">
        <v>6382</v>
      </c>
      <c r="BA354" s="1624">
        <v>44</v>
      </c>
    </row>
    <row r="355" spans="1:53" s="1821" customFormat="1" ht="12" customHeight="1">
      <c r="B355" s="1821" t="s">
        <v>6834</v>
      </c>
      <c r="J355" s="2112"/>
      <c r="K355" s="2109"/>
      <c r="M355" s="2112"/>
      <c r="N355" s="2109"/>
      <c r="O355" s="2112" t="str">
        <f>B355</f>
        <v>OTHER CONSTRUCTION HARD COSTS (Non-GC work scope items done by Owner)</v>
      </c>
      <c r="P355" s="2112"/>
      <c r="Q355" s="2109"/>
      <c r="S355" s="2112"/>
      <c r="T355" s="2109"/>
      <c r="V355" s="2118"/>
      <c r="W355" s="1821" t="str">
        <f>B355</f>
        <v>OTHER CONSTRUCTION HARD COSTS (Non-GC work scope items done by Owner)</v>
      </c>
      <c r="BA355" s="1624">
        <v>45</v>
      </c>
    </row>
    <row r="356" spans="1:53" s="378" customFormat="1" ht="11.25" customHeight="1">
      <c r="B356" s="2029" t="s">
        <v>6283</v>
      </c>
      <c r="C356" s="2033" t="str">
        <f>'Part III-A-Uses of Funds'!C46</f>
        <v>Builders Risk Insurance</v>
      </c>
      <c r="D356" s="2129"/>
      <c r="E356" s="2129"/>
      <c r="F356" s="2129"/>
      <c r="G356" s="2083">
        <f>'Part III-A-Uses of Funds'!G46</f>
        <v>209575</v>
      </c>
      <c r="H356" s="2083"/>
      <c r="I356" s="1821"/>
      <c r="J356" s="2083">
        <f>'Part III-A-Uses of Funds'!J46</f>
        <v>209575</v>
      </c>
      <c r="K356" s="2083"/>
      <c r="L356" s="2112"/>
      <c r="M356" s="2083">
        <f>'Part III-A-Uses of Funds'!M46</f>
        <v>0</v>
      </c>
      <c r="N356" s="2083"/>
      <c r="O356" s="1821"/>
      <c r="P356" s="2083">
        <f>'Part III-A-Uses of Funds'!P46</f>
        <v>0</v>
      </c>
      <c r="Q356" s="2083"/>
      <c r="R356" s="1821"/>
      <c r="S356" s="2083">
        <f>'Part III-A-Uses of Funds'!S46</f>
        <v>0</v>
      </c>
      <c r="T356" s="2083"/>
      <c r="V356" s="2113"/>
      <c r="W356" s="2114"/>
      <c r="X356" s="2114"/>
      <c r="AZ356" s="1821"/>
      <c r="BA356" s="1624">
        <v>46</v>
      </c>
    </row>
    <row r="357" spans="1:53" s="1821" customFormat="1" ht="6" customHeight="1">
      <c r="A357" s="1624"/>
      <c r="B357" s="1624"/>
      <c r="C357" s="1624"/>
      <c r="D357" s="1624"/>
      <c r="E357" s="1624"/>
      <c r="F357" s="1624"/>
      <c r="G357" s="1624"/>
      <c r="H357" s="1624"/>
      <c r="I357" s="1624"/>
      <c r="J357" s="1624"/>
      <c r="K357" s="1624"/>
      <c r="L357" s="1624"/>
      <c r="M357" s="1624"/>
      <c r="N357" s="1624"/>
      <c r="O357" s="1624"/>
      <c r="P357" s="1624"/>
      <c r="Q357" s="1624"/>
      <c r="R357" s="1624"/>
      <c r="S357" s="1624"/>
      <c r="T357" s="1624"/>
      <c r="V357" s="2118"/>
      <c r="W357" s="2114"/>
      <c r="X357" s="2114"/>
      <c r="AZ357" s="1821" t="s">
        <v>6383</v>
      </c>
      <c r="BA357" s="1624">
        <v>47</v>
      </c>
    </row>
    <row r="358" spans="1:53" s="1821" customFormat="1" ht="12.6" customHeight="1">
      <c r="B358" s="2130" t="s">
        <v>6835</v>
      </c>
      <c r="C358" s="2131"/>
      <c r="E358" s="2020" t="s">
        <v>2481</v>
      </c>
      <c r="F358" s="2132">
        <f>C359/'Part V-Revenues &amp; Expenses'!$P$65</f>
        <v>208650.75833333333</v>
      </c>
      <c r="G358" s="2133" t="s">
        <v>6836</v>
      </c>
      <c r="J358" s="2134">
        <f>C359/'Part V-Revenues &amp; Expenses'!$P$67</f>
        <v>208650.75833333333</v>
      </c>
      <c r="K358" s="2134"/>
      <c r="M358" s="2135" t="s">
        <v>6483</v>
      </c>
      <c r="N358" s="2135"/>
      <c r="P358" s="2134">
        <f>C359/'Part V-Revenues &amp; Expenses'!$K$175</f>
        <v>160.88216282207802</v>
      </c>
      <c r="Q358" s="2134"/>
      <c r="S358" s="2136" t="s">
        <v>6485</v>
      </c>
      <c r="T358" s="2136"/>
      <c r="V358" s="2118"/>
      <c r="W358" s="2114"/>
      <c r="X358" s="2114"/>
      <c r="BA358" s="1624">
        <v>48</v>
      </c>
    </row>
    <row r="359" spans="1:53" s="1821" customFormat="1" ht="12.6" customHeight="1">
      <c r="B359" s="2137" t="s">
        <v>6496</v>
      </c>
      <c r="C359" s="2138">
        <f>G338+G346+G351+G356</f>
        <v>25038091</v>
      </c>
      <c r="E359" s="2020"/>
      <c r="F359" s="2132">
        <f>C359/'Part V-Revenues &amp; Expenses'!$P$166</f>
        <v>164.58352067310852</v>
      </c>
      <c r="G359" s="2136" t="s">
        <v>6837</v>
      </c>
      <c r="J359" s="2134">
        <f>C359/'Part V-Revenues &amp; Expenses'!$P$168</f>
        <v>164.58352067310852</v>
      </c>
      <c r="K359" s="2134"/>
      <c r="M359" s="2136" t="s">
        <v>6484</v>
      </c>
      <c r="N359" s="2136"/>
      <c r="V359" s="2118"/>
      <c r="W359" s="2114"/>
      <c r="X359" s="2114"/>
      <c r="BA359" s="1624">
        <v>49</v>
      </c>
    </row>
    <row r="360" spans="1:53" s="1821" customFormat="1" ht="3" customHeight="1">
      <c r="A360" s="1624"/>
      <c r="B360" s="1624"/>
      <c r="C360" s="1624"/>
      <c r="D360" s="1624"/>
      <c r="E360" s="1624"/>
      <c r="F360" s="1624"/>
      <c r="G360" s="1624"/>
      <c r="H360" s="1624"/>
      <c r="I360" s="1624"/>
      <c r="J360" s="1624"/>
      <c r="K360" s="1624"/>
      <c r="L360" s="1624"/>
      <c r="M360" s="1624"/>
      <c r="N360" s="1624"/>
      <c r="O360" s="1624"/>
      <c r="P360" s="1624"/>
      <c r="Q360" s="1624"/>
      <c r="R360" s="1624"/>
      <c r="S360" s="1624"/>
      <c r="T360" s="1624"/>
      <c r="V360" s="2118"/>
      <c r="BA360" s="1624">
        <v>56</v>
      </c>
    </row>
    <row r="361" spans="1:53" s="1821" customFormat="1" ht="18.75" customHeight="1">
      <c r="A361" s="2108" t="s">
        <v>573</v>
      </c>
      <c r="B361" s="2108" t="s">
        <v>6838</v>
      </c>
      <c r="J361" s="2020" t="s">
        <v>259</v>
      </c>
      <c r="K361" s="2020"/>
      <c r="L361" s="2109"/>
      <c r="M361" s="2110" t="s">
        <v>460</v>
      </c>
      <c r="N361" s="2110"/>
      <c r="P361" s="2020" t="s">
        <v>260</v>
      </c>
      <c r="Q361" s="2020"/>
      <c r="S361" s="2020" t="s">
        <v>261</v>
      </c>
      <c r="T361" s="2020"/>
      <c r="V361" s="2118"/>
      <c r="W361" s="2111" t="str">
        <f>B361</f>
        <v>DEVELOPMENT BUDGET (cont'd)</v>
      </c>
      <c r="BA361" s="1624">
        <v>58</v>
      </c>
    </row>
    <row r="362" spans="1:53" s="1821" customFormat="1" ht="18.75" customHeight="1">
      <c r="G362" s="1821" t="s">
        <v>95</v>
      </c>
      <c r="J362" s="2020"/>
      <c r="K362" s="2020"/>
      <c r="L362" s="2109"/>
      <c r="M362" s="2110"/>
      <c r="N362" s="2110"/>
      <c r="P362" s="2020"/>
      <c r="Q362" s="2020"/>
      <c r="S362" s="2020"/>
      <c r="T362" s="2020"/>
      <c r="V362" s="2118"/>
      <c r="W362" s="378" t="s">
        <v>2449</v>
      </c>
      <c r="X362" s="378"/>
      <c r="BA362" s="1624">
        <v>59</v>
      </c>
    </row>
    <row r="363" spans="1:53" s="1821" customFormat="1" ht="9" customHeight="1">
      <c r="A363" s="1624"/>
      <c r="B363" s="1624"/>
      <c r="C363" s="1624"/>
      <c r="D363" s="1624"/>
      <c r="E363" s="1624"/>
      <c r="F363" s="1624"/>
      <c r="G363" s="1624"/>
      <c r="H363" s="1624"/>
      <c r="I363" s="1624"/>
      <c r="J363" s="1624"/>
      <c r="K363" s="1624"/>
      <c r="L363" s="1624"/>
      <c r="M363" s="1624"/>
      <c r="N363" s="1624"/>
      <c r="O363" s="1624"/>
      <c r="P363" s="1624"/>
      <c r="Q363" s="1624"/>
      <c r="R363" s="1624"/>
      <c r="S363" s="1624"/>
      <c r="T363" s="1624"/>
      <c r="V363" s="2118"/>
      <c r="AZ363" s="378"/>
      <c r="BA363" s="1624">
        <v>50</v>
      </c>
    </row>
    <row r="364" spans="1:53" s="1821" customFormat="1" ht="12" customHeight="1">
      <c r="B364" s="1821" t="s">
        <v>6305</v>
      </c>
      <c r="F364" s="1322" t="s">
        <v>3415</v>
      </c>
      <c r="G364" s="1821" t="str">
        <f>IF(G365&gt;E365,"Check Contingency Amount!!!!","")</f>
        <v/>
      </c>
      <c r="J364" s="2112"/>
      <c r="K364" s="2109"/>
      <c r="M364" s="2112"/>
      <c r="N364" s="2109"/>
      <c r="O364" s="2112" t="str">
        <f>B364</f>
        <v>CONSTRUCTION CONTINGENCY (CC)</v>
      </c>
      <c r="P364" s="2112"/>
      <c r="Q364" s="2109"/>
      <c r="S364" s="2112"/>
      <c r="T364" s="2109"/>
      <c r="V364" s="2118"/>
      <c r="W364" s="1821" t="str">
        <f>B364</f>
        <v>CONSTRUCTION CONTINGENCY (CC)</v>
      </c>
      <c r="BA364" s="1624">
        <v>51</v>
      </c>
    </row>
    <row r="365" spans="1:53" s="378" customFormat="1" ht="11.25" customHeight="1">
      <c r="B365" s="1821" t="s">
        <v>1821</v>
      </c>
      <c r="D365" s="2119" t="s">
        <v>3414</v>
      </c>
      <c r="E365" s="213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1251904.55</v>
      </c>
      <c r="F365" s="2093">
        <f>G365/C359</f>
        <v>4.9581495649967881E-2</v>
      </c>
      <c r="G365" s="2083">
        <f>'Part III-A-Uses of Funds'!G55</f>
        <v>1241426</v>
      </c>
      <c r="H365" s="2083"/>
      <c r="I365" s="1821"/>
      <c r="J365" s="2083">
        <f>'Part III-A-Uses of Funds'!J55</f>
        <v>1241426</v>
      </c>
      <c r="K365" s="2083"/>
      <c r="L365" s="2112"/>
      <c r="M365" s="2083">
        <f>'Part III-A-Uses of Funds'!M55</f>
        <v>0</v>
      </c>
      <c r="N365" s="2083"/>
      <c r="O365" s="1821"/>
      <c r="P365" s="2083">
        <f>'Part III-A-Uses of Funds'!P55</f>
        <v>0</v>
      </c>
      <c r="Q365" s="2083"/>
      <c r="R365" s="1821"/>
      <c r="S365" s="2083">
        <f>'Part III-A-Uses of Funds'!S55</f>
        <v>0</v>
      </c>
      <c r="T365" s="2083"/>
      <c r="V365" s="2113"/>
      <c r="W365" s="2114"/>
      <c r="X365" s="2114"/>
      <c r="AZ365" s="1821"/>
      <c r="BA365" s="1624">
        <v>52</v>
      </c>
    </row>
    <row r="366" spans="1:53" s="1821" customFormat="1" ht="6" customHeight="1">
      <c r="A366" s="1624"/>
      <c r="B366" s="1624"/>
      <c r="C366" s="1624"/>
      <c r="D366" s="1624"/>
      <c r="E366" s="1624"/>
      <c r="F366" s="1624"/>
      <c r="G366" s="1624"/>
      <c r="H366" s="1624"/>
      <c r="I366" s="1624"/>
      <c r="J366" s="1624"/>
      <c r="K366" s="1624"/>
      <c r="L366" s="1624"/>
      <c r="M366" s="1624"/>
      <c r="N366" s="1624"/>
      <c r="O366" s="1624"/>
      <c r="P366" s="1624"/>
      <c r="Q366" s="1624"/>
      <c r="R366" s="1624"/>
      <c r="S366" s="1624"/>
      <c r="T366" s="1624"/>
      <c r="V366" s="2118"/>
      <c r="W366" s="2114"/>
      <c r="X366" s="2114"/>
      <c r="BA366" s="1624">
        <v>53</v>
      </c>
    </row>
    <row r="367" spans="1:53" s="1821" customFormat="1" ht="12.6" customHeight="1">
      <c r="B367" s="2140" t="s">
        <v>6306</v>
      </c>
      <c r="C367" s="2131"/>
      <c r="E367" s="2020" t="s">
        <v>6307</v>
      </c>
      <c r="F367" s="2132">
        <f>B368/'Part V-Revenues &amp; Expenses'!$P$65</f>
        <v>218995.97500000001</v>
      </c>
      <c r="G367" s="2133" t="s">
        <v>6836</v>
      </c>
      <c r="J367" s="2134">
        <f>B368/'Part V-Revenues &amp; Expenses'!$P$67</f>
        <v>218995.97500000001</v>
      </c>
      <c r="K367" s="2134"/>
      <c r="M367" s="2135" t="s">
        <v>6483</v>
      </c>
      <c r="N367" s="2135"/>
      <c r="P367" s="2134">
        <f>B368/'Part V-Revenues &amp; Expenses'!$K$175</f>
        <v>168.85894107819828</v>
      </c>
      <c r="Q367" s="2134"/>
      <c r="S367" s="2136" t="s">
        <v>6485</v>
      </c>
      <c r="T367" s="2136"/>
      <c r="V367" s="2118"/>
      <c r="W367" s="2114"/>
      <c r="X367" s="2114"/>
      <c r="BA367" s="1624">
        <v>54</v>
      </c>
    </row>
    <row r="368" spans="1:53" s="1821" customFormat="1" ht="12.6" customHeight="1">
      <c r="B368" s="2138">
        <f>C359+G365</f>
        <v>26279517</v>
      </c>
      <c r="C368" s="2138"/>
      <c r="E368" s="2020"/>
      <c r="F368" s="2132">
        <f>B368/'Part V-Revenues &amp; Expenses'!$P$166</f>
        <v>172.74381778741866</v>
      </c>
      <c r="G368" s="2136" t="s">
        <v>6837</v>
      </c>
      <c r="J368" s="2134">
        <f>B368/'Part V-Revenues &amp; Expenses'!$P$168</f>
        <v>172.74381778741866</v>
      </c>
      <c r="K368" s="2134"/>
      <c r="M368" s="2136" t="s">
        <v>6484</v>
      </c>
      <c r="N368" s="2136"/>
      <c r="V368" s="2118"/>
      <c r="W368" s="2114"/>
      <c r="X368" s="2114"/>
      <c r="BA368" s="1624">
        <v>55</v>
      </c>
    </row>
    <row r="369" spans="1:53" s="1821" customFormat="1" ht="6" customHeight="1">
      <c r="A369" s="1624"/>
      <c r="B369" s="1624"/>
      <c r="C369" s="1624"/>
      <c r="D369" s="1624"/>
      <c r="E369" s="1624"/>
      <c r="F369" s="1624"/>
      <c r="G369" s="1624"/>
      <c r="H369" s="1624"/>
      <c r="I369" s="1624"/>
      <c r="J369" s="1624"/>
      <c r="K369" s="1624"/>
      <c r="L369" s="1624"/>
      <c r="M369" s="1624"/>
      <c r="N369" s="1624"/>
      <c r="O369" s="1624"/>
      <c r="P369" s="1624"/>
      <c r="Q369" s="1624"/>
      <c r="R369" s="1624"/>
      <c r="S369" s="1624"/>
      <c r="T369" s="1624"/>
      <c r="V369" s="2118"/>
      <c r="W369" s="2114"/>
      <c r="X369" s="2114"/>
      <c r="BA369" s="1624">
        <v>53</v>
      </c>
    </row>
    <row r="370" spans="1:53" s="1821" customFormat="1" ht="12" customHeight="1">
      <c r="B370" s="1821" t="s">
        <v>675</v>
      </c>
      <c r="J370" s="2112"/>
      <c r="K370" s="2109"/>
      <c r="M370" s="2112"/>
      <c r="N370" s="2109"/>
      <c r="O370" s="2112" t="str">
        <f>B370</f>
        <v>CONSTRUCTION PERIOD FINANCING</v>
      </c>
      <c r="P370" s="2112"/>
      <c r="Q370" s="2109"/>
      <c r="S370" s="2112"/>
      <c r="T370" s="2109"/>
      <c r="V370" s="2118"/>
      <c r="W370" s="1821" t="str">
        <f>B370</f>
        <v>CONSTRUCTION PERIOD FINANCING</v>
      </c>
      <c r="BA370" s="1624">
        <v>60</v>
      </c>
    </row>
    <row r="371" spans="1:53" s="1821" customFormat="1" ht="12" customHeight="1">
      <c r="B371" s="1821" t="s">
        <v>3230</v>
      </c>
      <c r="G371" s="2083">
        <f>'Part III-A-Uses of Funds'!G61</f>
        <v>0</v>
      </c>
      <c r="H371" s="2083"/>
      <c r="J371" s="2083">
        <f>'Part III-A-Uses of Funds'!J61</f>
        <v>0</v>
      </c>
      <c r="K371" s="2083"/>
      <c r="L371" s="2112"/>
      <c r="M371" s="2083">
        <f>'Part III-A-Uses of Funds'!M61</f>
        <v>0</v>
      </c>
      <c r="N371" s="2083"/>
      <c r="P371" s="2083">
        <f>'Part III-A-Uses of Funds'!P61</f>
        <v>0</v>
      </c>
      <c r="Q371" s="2083"/>
      <c r="S371" s="2083">
        <f>'Part III-A-Uses of Funds'!S61</f>
        <v>0</v>
      </c>
      <c r="T371" s="2083"/>
      <c r="V371" s="2113"/>
      <c r="W371" s="2114"/>
      <c r="X371" s="2114"/>
      <c r="BA371" s="1624">
        <v>61</v>
      </c>
    </row>
    <row r="372" spans="1:53" s="1821" customFormat="1" ht="12" customHeight="1">
      <c r="B372" s="1821" t="s">
        <v>3231</v>
      </c>
      <c r="G372" s="2083">
        <f>'Part III-A-Uses of Funds'!G62</f>
        <v>0</v>
      </c>
      <c r="H372" s="2083"/>
      <c r="J372" s="2083">
        <f>'Part III-A-Uses of Funds'!J62</f>
        <v>0</v>
      </c>
      <c r="K372" s="2083"/>
      <c r="L372" s="2112"/>
      <c r="M372" s="2083">
        <f>'Part III-A-Uses of Funds'!M62</f>
        <v>0</v>
      </c>
      <c r="N372" s="2083"/>
      <c r="P372" s="2083">
        <f>'Part III-A-Uses of Funds'!P62</f>
        <v>0</v>
      </c>
      <c r="Q372" s="2083"/>
      <c r="S372" s="2083">
        <f>'Part III-A-Uses of Funds'!S62</f>
        <v>0</v>
      </c>
      <c r="T372" s="2083"/>
      <c r="V372" s="2113"/>
      <c r="W372" s="2114"/>
      <c r="X372" s="2114"/>
      <c r="BA372" s="1624">
        <v>62</v>
      </c>
    </row>
    <row r="373" spans="1:53" s="1821" customFormat="1" ht="12" customHeight="1">
      <c r="B373" s="1821" t="s">
        <v>2167</v>
      </c>
      <c r="G373" s="2083">
        <f>'Part III-A-Uses of Funds'!G63</f>
        <v>245000</v>
      </c>
      <c r="H373" s="2083"/>
      <c r="J373" s="2083">
        <f>'Part III-A-Uses of Funds'!J63</f>
        <v>245000</v>
      </c>
      <c r="K373" s="2083"/>
      <c r="L373" s="2112"/>
      <c r="M373" s="2083">
        <f>'Part III-A-Uses of Funds'!M63</f>
        <v>0</v>
      </c>
      <c r="N373" s="2083"/>
      <c r="P373" s="2083">
        <f>'Part III-A-Uses of Funds'!P63</f>
        <v>0</v>
      </c>
      <c r="Q373" s="2083"/>
      <c r="S373" s="2083">
        <f>'Part III-A-Uses of Funds'!S63</f>
        <v>0</v>
      </c>
      <c r="T373" s="2083"/>
      <c r="V373" s="2113"/>
      <c r="W373" s="2114"/>
      <c r="X373" s="2114"/>
      <c r="BA373" s="1624">
        <v>63</v>
      </c>
    </row>
    <row r="374" spans="1:53" s="1821" customFormat="1" ht="12" customHeight="1">
      <c r="B374" s="1821" t="s">
        <v>2168</v>
      </c>
      <c r="G374" s="2083">
        <f>'Part III-A-Uses of Funds'!G64</f>
        <v>2088717</v>
      </c>
      <c r="H374" s="2083"/>
      <c r="J374" s="2083">
        <f>'Part III-A-Uses of Funds'!J64</f>
        <v>1320682</v>
      </c>
      <c r="K374" s="2083"/>
      <c r="L374" s="2112"/>
      <c r="M374" s="2083">
        <f>'Part III-A-Uses of Funds'!M64</f>
        <v>0</v>
      </c>
      <c r="N374" s="2083"/>
      <c r="P374" s="2083">
        <f>'Part III-A-Uses of Funds'!P64</f>
        <v>0</v>
      </c>
      <c r="Q374" s="2083"/>
      <c r="S374" s="2083">
        <f>'Part III-A-Uses of Funds'!S64</f>
        <v>768035</v>
      </c>
      <c r="T374" s="2083"/>
      <c r="V374" s="2113"/>
      <c r="W374" s="2114"/>
      <c r="X374" s="2114"/>
      <c r="BA374" s="1624">
        <v>64</v>
      </c>
    </row>
    <row r="375" spans="1:53" s="1821" customFormat="1" ht="12" customHeight="1">
      <c r="B375" s="1821" t="s">
        <v>2169</v>
      </c>
      <c r="G375" s="2083">
        <f>'Part III-A-Uses of Funds'!G65</f>
        <v>75000</v>
      </c>
      <c r="H375" s="2083"/>
      <c r="J375" s="2083">
        <f>'Part III-A-Uses of Funds'!J65</f>
        <v>75000</v>
      </c>
      <c r="K375" s="2083"/>
      <c r="L375" s="2112"/>
      <c r="M375" s="2083">
        <f>'Part III-A-Uses of Funds'!M65</f>
        <v>0</v>
      </c>
      <c r="N375" s="2083"/>
      <c r="P375" s="2083">
        <f>'Part III-A-Uses of Funds'!P65</f>
        <v>0</v>
      </c>
      <c r="Q375" s="2083"/>
      <c r="S375" s="2083">
        <f>'Part III-A-Uses of Funds'!S65</f>
        <v>0</v>
      </c>
      <c r="T375" s="2083"/>
      <c r="V375" s="2113"/>
      <c r="W375" s="2114"/>
      <c r="X375" s="2114"/>
      <c r="AZ375" s="1821" t="s">
        <v>6384</v>
      </c>
      <c r="BA375" s="1624">
        <v>65</v>
      </c>
    </row>
    <row r="376" spans="1:53" s="1821" customFormat="1" ht="12" customHeight="1">
      <c r="B376" s="1821" t="s">
        <v>2451</v>
      </c>
      <c r="G376" s="2083">
        <f>'Part III-A-Uses of Funds'!G66</f>
        <v>54000</v>
      </c>
      <c r="H376" s="2083"/>
      <c r="J376" s="2083">
        <f>'Part III-A-Uses of Funds'!J66</f>
        <v>54000</v>
      </c>
      <c r="K376" s="2083"/>
      <c r="L376" s="2112"/>
      <c r="M376" s="2083">
        <f>'Part III-A-Uses of Funds'!M66</f>
        <v>0</v>
      </c>
      <c r="N376" s="2083"/>
      <c r="P376" s="2083">
        <f>'Part III-A-Uses of Funds'!P66</f>
        <v>0</v>
      </c>
      <c r="Q376" s="2083"/>
      <c r="S376" s="2083">
        <f>'Part III-A-Uses of Funds'!S66</f>
        <v>0</v>
      </c>
      <c r="T376" s="2083"/>
      <c r="V376" s="2113"/>
      <c r="W376" s="2114"/>
      <c r="X376" s="2114"/>
      <c r="AZ376" s="1821" t="s">
        <v>6385</v>
      </c>
      <c r="BA376" s="1624">
        <v>66</v>
      </c>
    </row>
    <row r="377" spans="1:53" s="1821" customFormat="1" ht="12" customHeight="1">
      <c r="B377" s="1821" t="s">
        <v>676</v>
      </c>
      <c r="G377" s="2083">
        <f>'Part III-A-Uses of Funds'!G67</f>
        <v>12000</v>
      </c>
      <c r="H377" s="2083"/>
      <c r="J377" s="2083">
        <f>'Part III-A-Uses of Funds'!J67</f>
        <v>12000</v>
      </c>
      <c r="K377" s="2083"/>
      <c r="L377" s="2112"/>
      <c r="M377" s="2083">
        <f>'Part III-A-Uses of Funds'!M67</f>
        <v>0</v>
      </c>
      <c r="N377" s="2083"/>
      <c r="P377" s="2083">
        <f>'Part III-A-Uses of Funds'!P67</f>
        <v>0</v>
      </c>
      <c r="Q377" s="2083"/>
      <c r="S377" s="2083">
        <f>'Part III-A-Uses of Funds'!S67</f>
        <v>0</v>
      </c>
      <c r="T377" s="2083"/>
      <c r="V377" s="2113"/>
      <c r="W377" s="2114"/>
      <c r="X377" s="2114"/>
      <c r="AZ377" s="1821" t="s">
        <v>6386</v>
      </c>
      <c r="BA377" s="1624">
        <v>67</v>
      </c>
    </row>
    <row r="378" spans="1:53" s="1821" customFormat="1" ht="12" customHeight="1">
      <c r="B378" s="1821" t="s">
        <v>2170</v>
      </c>
      <c r="G378" s="2083">
        <f>'Part III-A-Uses of Funds'!G68</f>
        <v>79950</v>
      </c>
      <c r="H378" s="2083"/>
      <c r="J378" s="2083">
        <f>'Part III-A-Uses of Funds'!J68</f>
        <v>79950</v>
      </c>
      <c r="K378" s="2083"/>
      <c r="L378" s="2112"/>
      <c r="M378" s="2083">
        <f>'Part III-A-Uses of Funds'!M68</f>
        <v>0</v>
      </c>
      <c r="N378" s="2083"/>
      <c r="P378" s="2083">
        <f>'Part III-A-Uses of Funds'!P68</f>
        <v>0</v>
      </c>
      <c r="Q378" s="2083"/>
      <c r="S378" s="2083">
        <f>'Part III-A-Uses of Funds'!S68</f>
        <v>0</v>
      </c>
      <c r="T378" s="2083"/>
      <c r="V378" s="2113"/>
      <c r="W378" s="2114"/>
      <c r="X378" s="2114"/>
      <c r="BA378" s="1624">
        <v>68</v>
      </c>
    </row>
    <row r="379" spans="1:53" s="1821" customFormat="1" ht="12" customHeight="1">
      <c r="B379" s="1821" t="s">
        <v>1201</v>
      </c>
      <c r="G379" s="2083">
        <f>'Part III-A-Uses of Funds'!G69</f>
        <v>105000</v>
      </c>
      <c r="H379" s="2083"/>
      <c r="J379" s="2083">
        <f>'Part III-A-Uses of Funds'!J69</f>
        <v>105000</v>
      </c>
      <c r="K379" s="2083"/>
      <c r="L379" s="2112"/>
      <c r="M379" s="2083">
        <f>'Part III-A-Uses of Funds'!M69</f>
        <v>0</v>
      </c>
      <c r="N379" s="2083"/>
      <c r="P379" s="2083">
        <f>'Part III-A-Uses of Funds'!P69</f>
        <v>0</v>
      </c>
      <c r="Q379" s="2083"/>
      <c r="S379" s="2083">
        <f>'Part III-A-Uses of Funds'!S69</f>
        <v>0</v>
      </c>
      <c r="T379" s="2083"/>
      <c r="V379" s="2113"/>
      <c r="W379" s="2114"/>
      <c r="X379" s="2114"/>
      <c r="BA379" s="1624">
        <v>69</v>
      </c>
    </row>
    <row r="380" spans="1:53" s="1821" customFormat="1" ht="12" customHeight="1">
      <c r="B380" s="2141" t="s">
        <v>1086</v>
      </c>
      <c r="D380" s="2142"/>
      <c r="E380" s="2142"/>
      <c r="F380" s="2143"/>
      <c r="G380" s="2083">
        <f>'Part III-A-Uses of Funds'!G70</f>
        <v>208931</v>
      </c>
      <c r="H380" s="2083"/>
      <c r="J380" s="2083">
        <f>'Part III-A-Uses of Funds'!J70</f>
        <v>208931</v>
      </c>
      <c r="K380" s="2083"/>
      <c r="L380" s="2112"/>
      <c r="M380" s="2083">
        <f>'Part III-A-Uses of Funds'!M70</f>
        <v>0</v>
      </c>
      <c r="N380" s="2083"/>
      <c r="P380" s="2083">
        <f>'Part III-A-Uses of Funds'!P70</f>
        <v>0</v>
      </c>
      <c r="Q380" s="2083"/>
      <c r="S380" s="2083">
        <f>'Part III-A-Uses of Funds'!S70</f>
        <v>0</v>
      </c>
      <c r="T380" s="2083"/>
      <c r="V380" s="2113"/>
      <c r="W380" s="2114"/>
      <c r="X380" s="2114"/>
      <c r="BA380" s="1624">
        <v>70</v>
      </c>
    </row>
    <row r="381" spans="1:53" s="1821" customFormat="1" ht="12" customHeight="1">
      <c r="A381" s="2115" t="str">
        <f>IF(AND(G381&gt;0,OR(C381="",C381="&lt;Enter detailed description here; use Comments section if needed&gt;")),"X","")</f>
        <v/>
      </c>
      <c r="B381" s="2029" t="s">
        <v>6285</v>
      </c>
      <c r="C381" s="2033" t="str">
        <f>'Part III-A-Uses of Funds'!C71</f>
        <v>&lt;&lt; Enter description here; provide detail &amp; justification in tab Part III-b &gt;&gt;</v>
      </c>
      <c r="D381" s="2116"/>
      <c r="E381" s="2116"/>
      <c r="F381" s="2116"/>
      <c r="G381" s="2083">
        <f>'Part III-A-Uses of Funds'!G71</f>
        <v>0</v>
      </c>
      <c r="H381" s="2083"/>
      <c r="J381" s="2083">
        <f>'Part III-A-Uses of Funds'!J71</f>
        <v>0</v>
      </c>
      <c r="K381" s="2083"/>
      <c r="L381" s="2112"/>
      <c r="M381" s="2083">
        <f>'Part III-A-Uses of Funds'!M71</f>
        <v>0</v>
      </c>
      <c r="N381" s="2083"/>
      <c r="P381" s="2083">
        <f>'Part III-A-Uses of Funds'!P71</f>
        <v>0</v>
      </c>
      <c r="Q381" s="2083"/>
      <c r="S381" s="2083">
        <f>'Part III-A-Uses of Funds'!S71</f>
        <v>0</v>
      </c>
      <c r="T381" s="2083"/>
      <c r="U381" s="2030" t="str">
        <f>IF(AND(G381&gt;0,OR(C381="",C381="&lt;Enter detailed description here; use Comments section if needed&gt;")),"NO DESCRIPTION PROVIDED - please enter detailed description in Other box at left; use Comments section below if needed.","")</f>
        <v/>
      </c>
      <c r="V381" s="2113"/>
      <c r="W381" s="2114"/>
      <c r="X381" s="2114"/>
      <c r="BA381" s="1624">
        <v>71</v>
      </c>
    </row>
    <row r="382" spans="1:53" s="1821" customFormat="1" ht="12" customHeight="1">
      <c r="A382" s="2115" t="str">
        <f>IF(AND(G382&gt;0,OR(C382="",C382="&lt;Enter detailed description here; use Comments section if needed&gt;")),"X","")</f>
        <v/>
      </c>
      <c r="B382" s="2029" t="s">
        <v>6286</v>
      </c>
      <c r="C382" s="2033" t="str">
        <f>'Part III-A-Uses of Funds'!C72</f>
        <v>&lt;&lt; Enter description here; provide detail &amp; justification in tab Part III-b &gt;&gt;</v>
      </c>
      <c r="D382" s="2116"/>
      <c r="E382" s="2116"/>
      <c r="F382" s="2116"/>
      <c r="G382" s="2083">
        <f>'Part III-A-Uses of Funds'!G72</f>
        <v>0</v>
      </c>
      <c r="H382" s="2083"/>
      <c r="J382" s="2083">
        <f>'Part III-A-Uses of Funds'!J72</f>
        <v>0</v>
      </c>
      <c r="K382" s="2083"/>
      <c r="L382" s="2112"/>
      <c r="M382" s="2083">
        <f>'Part III-A-Uses of Funds'!M72</f>
        <v>0</v>
      </c>
      <c r="N382" s="2083"/>
      <c r="P382" s="2083">
        <f>'Part III-A-Uses of Funds'!P72</f>
        <v>0</v>
      </c>
      <c r="Q382" s="2083"/>
      <c r="S382" s="2083">
        <f>'Part III-A-Uses of Funds'!S72</f>
        <v>0</v>
      </c>
      <c r="T382" s="2083"/>
      <c r="U382" s="2030" t="str">
        <f>IF(AND(G382&gt;0,OR(C382="",C382="&lt;Enter detailed description here; use Comments section if needed&gt;")),"NO DESCRIPTION PROVIDED - please enter detailed description in Other box at left; use Comments section below if needed.","")</f>
        <v/>
      </c>
      <c r="V382" s="2113"/>
      <c r="W382" s="2114"/>
      <c r="X382" s="2114"/>
      <c r="BA382" s="1624">
        <v>72</v>
      </c>
    </row>
    <row r="383" spans="1:53" s="1821" customFormat="1" ht="12" customHeight="1">
      <c r="F383" s="2117" t="s">
        <v>184</v>
      </c>
      <c r="G383" s="2109">
        <f>SUM(G371:G382)</f>
        <v>2868598</v>
      </c>
      <c r="H383" s="2109"/>
      <c r="J383" s="2109">
        <f>SUM(J371:J382)</f>
        <v>2100563</v>
      </c>
      <c r="K383" s="2109"/>
      <c r="L383" s="2112"/>
      <c r="M383" s="2109">
        <f>SUM(M371:M382)</f>
        <v>0</v>
      </c>
      <c r="N383" s="2109"/>
      <c r="P383" s="2109">
        <f>SUM(P371:P382)</f>
        <v>0</v>
      </c>
      <c r="Q383" s="2109"/>
      <c r="S383" s="2109">
        <f>SUM(S371:S382)</f>
        <v>768035</v>
      </c>
      <c r="T383" s="2109"/>
      <c r="V383" s="2113">
        <f>SUM(V371:V382)</f>
        <v>0</v>
      </c>
      <c r="W383" s="2114"/>
      <c r="X383" s="2114"/>
      <c r="BA383" s="1624">
        <v>73</v>
      </c>
    </row>
    <row r="384" spans="1:53" s="1821" customFormat="1" ht="12" customHeight="1">
      <c r="B384" s="1821" t="s">
        <v>449</v>
      </c>
      <c r="G384" s="2109"/>
      <c r="H384" s="2109"/>
      <c r="J384" s="2109"/>
      <c r="K384" s="2109"/>
      <c r="M384" s="2109"/>
      <c r="N384" s="2109"/>
      <c r="O384" s="2112" t="str">
        <f>B384</f>
        <v>PROFESSIONAL SERVICES</v>
      </c>
      <c r="P384" s="2109"/>
      <c r="Q384" s="2109"/>
      <c r="S384" s="2109"/>
      <c r="T384" s="2109"/>
      <c r="V384" s="2118"/>
      <c r="W384" s="1821" t="str">
        <f>B384</f>
        <v>PROFESSIONAL SERVICES</v>
      </c>
      <c r="BA384" s="1624">
        <v>74</v>
      </c>
    </row>
    <row r="385" spans="1:53" s="1821" customFormat="1" ht="12" customHeight="1">
      <c r="B385" s="1821" t="s">
        <v>450</v>
      </c>
      <c r="G385" s="2083">
        <f>'Part III-A-Uses of Funds'!G75</f>
        <v>392500</v>
      </c>
      <c r="H385" s="2083"/>
      <c r="J385" s="2083">
        <f>'Part III-A-Uses of Funds'!J75</f>
        <v>392500</v>
      </c>
      <c r="K385" s="2083"/>
      <c r="L385" s="2112"/>
      <c r="M385" s="2083">
        <f>'Part III-A-Uses of Funds'!M75</f>
        <v>0</v>
      </c>
      <c r="N385" s="2083"/>
      <c r="P385" s="2083">
        <f>'Part III-A-Uses of Funds'!P75</f>
        <v>0</v>
      </c>
      <c r="Q385" s="2083"/>
      <c r="S385" s="2083">
        <f>'Part III-A-Uses of Funds'!S75</f>
        <v>0</v>
      </c>
      <c r="T385" s="2083"/>
      <c r="V385" s="2113"/>
      <c r="W385" s="2114"/>
      <c r="X385" s="2114"/>
      <c r="BA385" s="1624">
        <v>75</v>
      </c>
    </row>
    <row r="386" spans="1:53" s="1821" customFormat="1" ht="12" customHeight="1">
      <c r="B386" s="1821" t="s">
        <v>451</v>
      </c>
      <c r="G386" s="2083">
        <f>'Part III-A-Uses of Funds'!G76</f>
        <v>33500</v>
      </c>
      <c r="H386" s="2083"/>
      <c r="J386" s="2083">
        <f>'Part III-A-Uses of Funds'!J76</f>
        <v>33500</v>
      </c>
      <c r="K386" s="2083"/>
      <c r="L386" s="2112"/>
      <c r="M386" s="2083">
        <f>'Part III-A-Uses of Funds'!M76</f>
        <v>0</v>
      </c>
      <c r="N386" s="2083"/>
      <c r="P386" s="2083">
        <f>'Part III-A-Uses of Funds'!P76</f>
        <v>0</v>
      </c>
      <c r="Q386" s="2083"/>
      <c r="S386" s="2083">
        <f>'Part III-A-Uses of Funds'!S76</f>
        <v>0</v>
      </c>
      <c r="T386" s="2083"/>
      <c r="V386" s="2113"/>
      <c r="W386" s="2114"/>
      <c r="X386" s="2114"/>
      <c r="BA386" s="1624">
        <v>76</v>
      </c>
    </row>
    <row r="387" spans="1:53" s="1821" customFormat="1" ht="12" customHeight="1">
      <c r="B387" s="1821" t="s">
        <v>1062</v>
      </c>
      <c r="D387" s="2024"/>
      <c r="E387" s="2144"/>
      <c r="G387" s="2083">
        <f>'Part III-A-Uses of Funds'!G77</f>
        <v>10000</v>
      </c>
      <c r="H387" s="2083"/>
      <c r="J387" s="2083">
        <f>'Part III-A-Uses of Funds'!J77</f>
        <v>10000</v>
      </c>
      <c r="K387" s="2083"/>
      <c r="L387" s="2112"/>
      <c r="M387" s="2083">
        <f>'Part III-A-Uses of Funds'!M77</f>
        <v>0</v>
      </c>
      <c r="N387" s="2083"/>
      <c r="P387" s="2083">
        <f>'Part III-A-Uses of Funds'!P77</f>
        <v>0</v>
      </c>
      <c r="Q387" s="2083"/>
      <c r="S387" s="2083">
        <f>'Part III-A-Uses of Funds'!S77</f>
        <v>0</v>
      </c>
      <c r="T387" s="2083"/>
      <c r="V387" s="2113"/>
      <c r="W387" s="2114"/>
      <c r="X387" s="2114"/>
      <c r="BA387" s="1624">
        <v>77</v>
      </c>
    </row>
    <row r="388" spans="1:53" s="1821" customFormat="1" ht="12" customHeight="1">
      <c r="B388" s="1821" t="s">
        <v>1063</v>
      </c>
      <c r="G388" s="2083">
        <f>'Part III-A-Uses of Funds'!G78</f>
        <v>25000</v>
      </c>
      <c r="H388" s="2083"/>
      <c r="J388" s="2083">
        <f>'Part III-A-Uses of Funds'!J78</f>
        <v>25000</v>
      </c>
      <c r="K388" s="2083"/>
      <c r="L388" s="2112"/>
      <c r="M388" s="2083">
        <f>'Part III-A-Uses of Funds'!M78</f>
        <v>0</v>
      </c>
      <c r="N388" s="2083"/>
      <c r="P388" s="2083">
        <f>'Part III-A-Uses of Funds'!P78</f>
        <v>0</v>
      </c>
      <c r="Q388" s="2083"/>
      <c r="S388" s="2083">
        <f>'Part III-A-Uses of Funds'!S78</f>
        <v>0</v>
      </c>
      <c r="T388" s="2083"/>
      <c r="V388" s="2113"/>
      <c r="W388" s="2114"/>
      <c r="X388" s="2114"/>
      <c r="BA388" s="1624">
        <v>78</v>
      </c>
    </row>
    <row r="389" spans="1:53" s="1821" customFormat="1" ht="12" customHeight="1">
      <c r="B389" s="1821" t="s">
        <v>1064</v>
      </c>
      <c r="G389" s="2083">
        <f>'Part III-A-Uses of Funds'!G79</f>
        <v>25000</v>
      </c>
      <c r="H389" s="2083"/>
      <c r="J389" s="2083">
        <f>'Part III-A-Uses of Funds'!J79</f>
        <v>25000</v>
      </c>
      <c r="K389" s="2083"/>
      <c r="L389" s="2112"/>
      <c r="M389" s="2083">
        <f>'Part III-A-Uses of Funds'!M79</f>
        <v>0</v>
      </c>
      <c r="N389" s="2083"/>
      <c r="P389" s="2083">
        <f>'Part III-A-Uses of Funds'!P79</f>
        <v>0</v>
      </c>
      <c r="Q389" s="2083"/>
      <c r="S389" s="2083">
        <f>'Part III-A-Uses of Funds'!S79</f>
        <v>0</v>
      </c>
      <c r="T389" s="2083"/>
      <c r="V389" s="2113"/>
      <c r="W389" s="2114"/>
      <c r="X389" s="2114"/>
      <c r="AZ389" s="1821" t="s">
        <v>6387</v>
      </c>
      <c r="BA389" s="1624">
        <v>79</v>
      </c>
    </row>
    <row r="390" spans="1:53" s="1821" customFormat="1" ht="12" customHeight="1">
      <c r="B390" s="1821" t="s">
        <v>1065</v>
      </c>
      <c r="G390" s="2083">
        <f>'Part III-A-Uses of Funds'!G80</f>
        <v>21000</v>
      </c>
      <c r="H390" s="2083"/>
      <c r="J390" s="2083">
        <f>'Part III-A-Uses of Funds'!J80</f>
        <v>21000</v>
      </c>
      <c r="K390" s="2083"/>
      <c r="L390" s="2112"/>
      <c r="M390" s="2083">
        <f>'Part III-A-Uses of Funds'!M80</f>
        <v>0</v>
      </c>
      <c r="N390" s="2083"/>
      <c r="P390" s="2083">
        <f>'Part III-A-Uses of Funds'!P80</f>
        <v>0</v>
      </c>
      <c r="Q390" s="2083"/>
      <c r="S390" s="2083">
        <f>'Part III-A-Uses of Funds'!S80</f>
        <v>0</v>
      </c>
      <c r="T390" s="2083"/>
      <c r="V390" s="2113"/>
      <c r="W390" s="2114"/>
      <c r="X390" s="2114"/>
      <c r="AZ390" s="1821" t="s">
        <v>6388</v>
      </c>
      <c r="BA390" s="1624">
        <v>80</v>
      </c>
    </row>
    <row r="391" spans="1:53" s="1821" customFormat="1" ht="12" customHeight="1">
      <c r="B391" s="1821" t="s">
        <v>452</v>
      </c>
      <c r="G391" s="2083">
        <f>'Part III-A-Uses of Funds'!G81</f>
        <v>158500</v>
      </c>
      <c r="H391" s="2083"/>
      <c r="J391" s="2083">
        <f>'Part III-A-Uses of Funds'!J81</f>
        <v>158500</v>
      </c>
      <c r="K391" s="2083"/>
      <c r="L391" s="2112"/>
      <c r="M391" s="2083">
        <f>'Part III-A-Uses of Funds'!M81</f>
        <v>0</v>
      </c>
      <c r="N391" s="2083"/>
      <c r="P391" s="2083">
        <f>'Part III-A-Uses of Funds'!P81</f>
        <v>0</v>
      </c>
      <c r="Q391" s="2083"/>
      <c r="S391" s="2083">
        <f>'Part III-A-Uses of Funds'!S81</f>
        <v>0</v>
      </c>
      <c r="T391" s="2083"/>
      <c r="V391" s="2113"/>
      <c r="W391" s="2114"/>
      <c r="X391" s="2114"/>
      <c r="AZ391" s="378"/>
      <c r="BA391" s="1624">
        <v>81</v>
      </c>
    </row>
    <row r="392" spans="1:53" s="1821" customFormat="1" ht="12" customHeight="1">
      <c r="B392" s="1821" t="s">
        <v>453</v>
      </c>
      <c r="G392" s="2083">
        <f>'Part III-A-Uses of Funds'!G82</f>
        <v>120000</v>
      </c>
      <c r="H392" s="2083"/>
      <c r="J392" s="2083">
        <f>'Part III-A-Uses of Funds'!J82</f>
        <v>120000</v>
      </c>
      <c r="K392" s="2083"/>
      <c r="L392" s="2112"/>
      <c r="M392" s="2083">
        <f>'Part III-A-Uses of Funds'!M82</f>
        <v>0</v>
      </c>
      <c r="N392" s="2083"/>
      <c r="P392" s="2083">
        <f>'Part III-A-Uses of Funds'!P82</f>
        <v>0</v>
      </c>
      <c r="Q392" s="2083"/>
      <c r="S392" s="2083">
        <f>'Part III-A-Uses of Funds'!S82</f>
        <v>0</v>
      </c>
      <c r="T392" s="2083"/>
      <c r="V392" s="2113"/>
      <c r="W392" s="2114"/>
      <c r="X392" s="2114"/>
      <c r="BA392" s="1624">
        <v>82</v>
      </c>
    </row>
    <row r="393" spans="1:53" s="1821" customFormat="1" ht="12" customHeight="1">
      <c r="B393" s="1821" t="s">
        <v>1900</v>
      </c>
      <c r="G393" s="2083">
        <f>'Part III-A-Uses of Funds'!G83</f>
        <v>35000</v>
      </c>
      <c r="H393" s="2083"/>
      <c r="J393" s="2083">
        <f>'Part III-A-Uses of Funds'!J83</f>
        <v>35000</v>
      </c>
      <c r="K393" s="2083"/>
      <c r="L393" s="2112"/>
      <c r="M393" s="2083">
        <f>'Part III-A-Uses of Funds'!M83</f>
        <v>0</v>
      </c>
      <c r="N393" s="2083"/>
      <c r="P393" s="2083">
        <f>'Part III-A-Uses of Funds'!P83</f>
        <v>0</v>
      </c>
      <c r="Q393" s="2083"/>
      <c r="S393" s="2083">
        <f>'Part III-A-Uses of Funds'!S83</f>
        <v>0</v>
      </c>
      <c r="T393" s="2083"/>
      <c r="V393" s="2113"/>
      <c r="W393" s="2114"/>
      <c r="X393" s="2114"/>
      <c r="BA393" s="1624">
        <v>83</v>
      </c>
    </row>
    <row r="394" spans="1:53" s="1821" customFormat="1" ht="12" customHeight="1">
      <c r="B394" s="1821" t="s">
        <v>1202</v>
      </c>
      <c r="G394" s="2083">
        <f>'Part III-A-Uses of Funds'!G84</f>
        <v>49500</v>
      </c>
      <c r="H394" s="2083"/>
      <c r="J394" s="2083">
        <f>'Part III-A-Uses of Funds'!J84</f>
        <v>49500</v>
      </c>
      <c r="K394" s="2083"/>
      <c r="L394" s="2112"/>
      <c r="M394" s="2083">
        <f>'Part III-A-Uses of Funds'!M84</f>
        <v>0</v>
      </c>
      <c r="N394" s="2083"/>
      <c r="P394" s="2083">
        <f>'Part III-A-Uses of Funds'!P84</f>
        <v>0</v>
      </c>
      <c r="Q394" s="2083"/>
      <c r="S394" s="2083">
        <f>'Part III-A-Uses of Funds'!S84</f>
        <v>0</v>
      </c>
      <c r="T394" s="2083"/>
      <c r="V394" s="2113"/>
      <c r="W394" s="2114"/>
      <c r="X394" s="2114"/>
      <c r="BA394" s="1624">
        <v>84</v>
      </c>
    </row>
    <row r="395" spans="1:53" s="1821" customFormat="1" ht="12" customHeight="1">
      <c r="A395" s="2115" t="str">
        <f>IF(AND(G395&gt;0,OR(C395="",C395="&lt;Enter detailed description here; use Comments section if needed&gt;")),"X","")</f>
        <v/>
      </c>
      <c r="B395" s="2029" t="s">
        <v>6287</v>
      </c>
      <c r="C395" s="2033" t="str">
        <f>'Part III-A-Uses of Funds'!C85</f>
        <v>&lt;&lt; Enter description here; provide detail &amp; justification in tab Part III-b &gt;&gt;</v>
      </c>
      <c r="D395" s="2116"/>
      <c r="E395" s="2116"/>
      <c r="F395" s="2116"/>
      <c r="G395" s="2083">
        <f>'Part III-A-Uses of Funds'!G85</f>
        <v>0</v>
      </c>
      <c r="H395" s="2083"/>
      <c r="J395" s="2083">
        <f>'Part III-A-Uses of Funds'!J85</f>
        <v>0</v>
      </c>
      <c r="K395" s="2083"/>
      <c r="L395" s="2112"/>
      <c r="M395" s="2083">
        <f>'Part III-A-Uses of Funds'!M85</f>
        <v>0</v>
      </c>
      <c r="N395" s="2083"/>
      <c r="P395" s="2083">
        <f>'Part III-A-Uses of Funds'!P85</f>
        <v>0</v>
      </c>
      <c r="Q395" s="2083"/>
      <c r="S395" s="2083">
        <f>'Part III-A-Uses of Funds'!S85</f>
        <v>0</v>
      </c>
      <c r="T395" s="2083"/>
      <c r="U395" s="2030" t="str">
        <f>IF(AND(G395&gt;0,OR(C395="",C395="&lt;Enter detailed description here; use Comments section if needed&gt;")),"NO DESCRIPTION PROVIDED - please enter detailed description in Other box at left; use Comments section below if needed.","")</f>
        <v/>
      </c>
      <c r="V395" s="2113"/>
      <c r="W395" s="2114"/>
      <c r="X395" s="2114"/>
      <c r="BA395" s="1624">
        <v>85</v>
      </c>
    </row>
    <row r="396" spans="1:53" s="1821" customFormat="1" ht="12" customHeight="1">
      <c r="F396" s="2117" t="s">
        <v>184</v>
      </c>
      <c r="G396" s="2109">
        <f>SUM(G385:G395)</f>
        <v>870000</v>
      </c>
      <c r="H396" s="2109"/>
      <c r="J396" s="2109">
        <f>SUM(J385:J395)</f>
        <v>870000</v>
      </c>
      <c r="K396" s="2109"/>
      <c r="L396" s="2112"/>
      <c r="M396" s="2109">
        <f>SUM(M385:M395)</f>
        <v>0</v>
      </c>
      <c r="N396" s="2109"/>
      <c r="P396" s="2109">
        <f>SUM(P385:P395)</f>
        <v>0</v>
      </c>
      <c r="Q396" s="2109"/>
      <c r="S396" s="2109">
        <f>SUM(S385:S395)</f>
        <v>0</v>
      </c>
      <c r="T396" s="2109"/>
      <c r="V396" s="2113">
        <f>SUM(V385:V395)</f>
        <v>0</v>
      </c>
      <c r="W396" s="2114"/>
      <c r="X396" s="2114"/>
      <c r="AZ396" s="1821" t="s">
        <v>6389</v>
      </c>
      <c r="BA396" s="1624">
        <v>86</v>
      </c>
    </row>
    <row r="397" spans="1:53" s="378" customFormat="1" ht="12" customHeight="1">
      <c r="A397" s="1821"/>
      <c r="B397" s="1821" t="s">
        <v>1194</v>
      </c>
      <c r="C397" s="1821"/>
      <c r="D397" s="2145" t="s">
        <v>3232</v>
      </c>
      <c r="E397" s="2146">
        <f>G402/'Part V-Revenues &amp; Expenses'!$P$67</f>
        <v>7397.9333333333334</v>
      </c>
      <c r="F397" s="1821"/>
      <c r="G397" s="1821"/>
      <c r="H397" s="1821"/>
      <c r="I397" s="1821"/>
      <c r="J397" s="2112"/>
      <c r="K397" s="2112"/>
      <c r="M397" s="2112"/>
      <c r="N397" s="2112"/>
      <c r="O397" s="2112" t="str">
        <f>B397</f>
        <v>LOCAL GOVERNMENT FEES</v>
      </c>
      <c r="P397" s="2112"/>
      <c r="Q397" s="2112"/>
      <c r="S397" s="2112"/>
      <c r="T397" s="2112"/>
      <c r="V397" s="2118"/>
      <c r="W397" s="1821" t="str">
        <f>B397</f>
        <v>LOCAL GOVERNMENT FEES</v>
      </c>
      <c r="AZ397" s="1821"/>
      <c r="BA397" s="1624">
        <v>87</v>
      </c>
    </row>
    <row r="398" spans="1:53" s="1821" customFormat="1" ht="12" customHeight="1">
      <c r="B398" s="1821" t="s">
        <v>1195</v>
      </c>
      <c r="G398" s="2083">
        <f>'Part III-A-Uses of Funds'!G88</f>
        <v>114102</v>
      </c>
      <c r="H398" s="2083"/>
      <c r="J398" s="2083">
        <f>'Part III-A-Uses of Funds'!J88</f>
        <v>114102</v>
      </c>
      <c r="K398" s="2083"/>
      <c r="L398" s="2112"/>
      <c r="M398" s="2083">
        <f>'Part III-A-Uses of Funds'!M88</f>
        <v>0</v>
      </c>
      <c r="N398" s="2083"/>
      <c r="P398" s="2083">
        <f>'Part III-A-Uses of Funds'!P88</f>
        <v>0</v>
      </c>
      <c r="Q398" s="2083"/>
      <c r="S398" s="2083">
        <f>'Part III-A-Uses of Funds'!S88</f>
        <v>0</v>
      </c>
      <c r="T398" s="2083"/>
      <c r="V398" s="2113"/>
      <c r="W398" s="2114"/>
      <c r="X398" s="2114"/>
      <c r="BA398" s="1624">
        <v>88</v>
      </c>
    </row>
    <row r="399" spans="1:53" s="1821" customFormat="1" ht="12" customHeight="1">
      <c r="B399" s="1821" t="s">
        <v>1196</v>
      </c>
      <c r="G399" s="2083">
        <f>'Part III-A-Uses of Funds'!G89</f>
        <v>336360</v>
      </c>
      <c r="H399" s="2083"/>
      <c r="J399" s="2083">
        <f>'Part III-A-Uses of Funds'!J89</f>
        <v>336360</v>
      </c>
      <c r="K399" s="2083"/>
      <c r="L399" s="2112"/>
      <c r="M399" s="2083">
        <f>'Part III-A-Uses of Funds'!M89</f>
        <v>0</v>
      </c>
      <c r="N399" s="2083"/>
      <c r="P399" s="2083">
        <f>'Part III-A-Uses of Funds'!P89</f>
        <v>0</v>
      </c>
      <c r="Q399" s="2083"/>
      <c r="S399" s="2083">
        <f>'Part III-A-Uses of Funds'!S89</f>
        <v>0</v>
      </c>
      <c r="T399" s="2083"/>
      <c r="V399" s="2113"/>
      <c r="W399" s="2114"/>
      <c r="X399" s="2114"/>
      <c r="BA399" s="1624">
        <v>89</v>
      </c>
    </row>
    <row r="400" spans="1:53" s="1821" customFormat="1" ht="12" customHeight="1">
      <c r="B400" s="1821" t="s">
        <v>1197</v>
      </c>
      <c r="D400" s="2117" t="s">
        <v>1325</v>
      </c>
      <c r="E400" s="2147" t="str">
        <f>'Part III-A-Uses of Funds'!E90</f>
        <v>No</v>
      </c>
      <c r="G400" s="2083">
        <f>'Part III-A-Uses of Funds'!G90</f>
        <v>142222</v>
      </c>
      <c r="H400" s="2083"/>
      <c r="J400" s="2083">
        <f>'Part III-A-Uses of Funds'!J90</f>
        <v>142222</v>
      </c>
      <c r="K400" s="2083"/>
      <c r="L400" s="2112"/>
      <c r="M400" s="2083">
        <f>'Part III-A-Uses of Funds'!M90</f>
        <v>0</v>
      </c>
      <c r="N400" s="2083"/>
      <c r="P400" s="2083">
        <f>'Part III-A-Uses of Funds'!P90</f>
        <v>0</v>
      </c>
      <c r="Q400" s="2083"/>
      <c r="S400" s="2083">
        <f>'Part III-A-Uses of Funds'!S90</f>
        <v>0</v>
      </c>
      <c r="T400" s="2083"/>
      <c r="V400" s="2113"/>
      <c r="W400" s="2114"/>
      <c r="X400" s="2114"/>
      <c r="BA400" s="1624">
        <v>90</v>
      </c>
    </row>
    <row r="401" spans="1:53" s="1821" customFormat="1" ht="12" customHeight="1">
      <c r="B401" s="1821" t="s">
        <v>1198</v>
      </c>
      <c r="D401" s="2117" t="s">
        <v>1325</v>
      </c>
      <c r="E401" s="2147" t="str">
        <f>'Part III-A-Uses of Funds'!E91</f>
        <v>No</v>
      </c>
      <c r="G401" s="2083">
        <f>'Part III-A-Uses of Funds'!G91</f>
        <v>295068</v>
      </c>
      <c r="H401" s="2083"/>
      <c r="J401" s="2083">
        <f>'Part III-A-Uses of Funds'!J91</f>
        <v>295068</v>
      </c>
      <c r="K401" s="2083"/>
      <c r="L401" s="2112"/>
      <c r="M401" s="2083">
        <f>'Part III-A-Uses of Funds'!M91</f>
        <v>0</v>
      </c>
      <c r="N401" s="2083"/>
      <c r="P401" s="2083">
        <f>'Part III-A-Uses of Funds'!P91</f>
        <v>0</v>
      </c>
      <c r="Q401" s="2083"/>
      <c r="S401" s="2083">
        <f>'Part III-A-Uses of Funds'!S91</f>
        <v>0</v>
      </c>
      <c r="T401" s="2083"/>
      <c r="V401" s="2113"/>
      <c r="W401" s="2114"/>
      <c r="X401" s="2114"/>
      <c r="BA401" s="1624">
        <v>91</v>
      </c>
    </row>
    <row r="402" spans="1:53" s="1821" customFormat="1" ht="12" customHeight="1">
      <c r="F402" s="2117" t="s">
        <v>184</v>
      </c>
      <c r="G402" s="2109">
        <f>SUM(G398:G401)</f>
        <v>887752</v>
      </c>
      <c r="H402" s="2109"/>
      <c r="J402" s="2109">
        <f>SUM(J398:J401)</f>
        <v>887752</v>
      </c>
      <c r="K402" s="2109"/>
      <c r="L402" s="2112"/>
      <c r="M402" s="2109">
        <f>SUM(M398:M401)</f>
        <v>0</v>
      </c>
      <c r="N402" s="2109"/>
      <c r="P402" s="2109">
        <f>SUM(P398:P401)</f>
        <v>0</v>
      </c>
      <c r="Q402" s="2109"/>
      <c r="S402" s="2109">
        <f>SUM(S398:S401)</f>
        <v>0</v>
      </c>
      <c r="T402" s="2109"/>
      <c r="V402" s="2113">
        <f>SUM(V398:V401)</f>
        <v>0</v>
      </c>
      <c r="W402" s="2114"/>
      <c r="X402" s="2114"/>
      <c r="BA402" s="1624">
        <v>92</v>
      </c>
    </row>
    <row r="403" spans="1:53" s="1821" customFormat="1" ht="6" customHeight="1">
      <c r="A403" s="1624"/>
      <c r="B403" s="1624"/>
      <c r="C403" s="1624"/>
      <c r="D403" s="1624"/>
      <c r="E403" s="1624"/>
      <c r="F403" s="1624"/>
      <c r="G403" s="1624"/>
      <c r="H403" s="1624"/>
      <c r="I403" s="1624"/>
      <c r="J403" s="1624"/>
      <c r="K403" s="1624"/>
      <c r="L403" s="1624"/>
      <c r="M403" s="1624"/>
      <c r="N403" s="1624"/>
      <c r="O403" s="1624"/>
      <c r="P403" s="1624"/>
      <c r="Q403" s="1624"/>
      <c r="R403" s="1624"/>
      <c r="S403" s="1624"/>
      <c r="T403" s="1624"/>
      <c r="V403" s="2118"/>
      <c r="BA403" s="1624">
        <v>93</v>
      </c>
    </row>
    <row r="404" spans="1:53" s="1821" customFormat="1" ht="18" customHeight="1">
      <c r="A404" s="2108" t="s">
        <v>573</v>
      </c>
      <c r="B404" s="2108" t="s">
        <v>6839</v>
      </c>
      <c r="J404" s="2020" t="s">
        <v>259</v>
      </c>
      <c r="K404" s="2020"/>
      <c r="L404" s="2109"/>
      <c r="M404" s="2110" t="s">
        <v>460</v>
      </c>
      <c r="N404" s="2110"/>
      <c r="P404" s="2020" t="s">
        <v>260</v>
      </c>
      <c r="Q404" s="2020"/>
      <c r="S404" s="2020" t="s">
        <v>261</v>
      </c>
      <c r="T404" s="2020"/>
      <c r="V404" s="2111" t="str">
        <f>B404</f>
        <v>DEVELOPMENT BUDGET  (cont'd)</v>
      </c>
      <c r="BA404" s="1624">
        <v>94</v>
      </c>
    </row>
    <row r="405" spans="1:53" s="1821" customFormat="1" ht="18" customHeight="1">
      <c r="G405" s="1821" t="s">
        <v>95</v>
      </c>
      <c r="J405" s="2020"/>
      <c r="K405" s="2020"/>
      <c r="L405" s="2109"/>
      <c r="M405" s="2110"/>
      <c r="N405" s="2110"/>
      <c r="P405" s="2020"/>
      <c r="Q405" s="2020"/>
      <c r="S405" s="2020"/>
      <c r="T405" s="2020"/>
      <c r="V405" s="378" t="s">
        <v>2449</v>
      </c>
      <c r="X405" s="378"/>
      <c r="BA405" s="1624">
        <v>95</v>
      </c>
    </row>
    <row r="406" spans="1:53" s="1821" customFormat="1" ht="12" customHeight="1">
      <c r="B406" s="1821" t="s">
        <v>677</v>
      </c>
      <c r="J406" s="2112"/>
      <c r="K406" s="2112"/>
      <c r="M406" s="2112"/>
      <c r="N406" s="2112"/>
      <c r="O406" s="2112" t="str">
        <f>B406</f>
        <v>PERMANENT FINANCING FEES</v>
      </c>
      <c r="P406" s="2112"/>
      <c r="Q406" s="2112"/>
      <c r="S406" s="2112"/>
      <c r="T406" s="2112"/>
      <c r="V406" s="2118"/>
      <c r="W406" s="1821" t="str">
        <f>B406</f>
        <v>PERMANENT FINANCING FEES</v>
      </c>
      <c r="AZ406" s="1821" t="s">
        <v>6390</v>
      </c>
      <c r="BA406" s="1624">
        <v>96</v>
      </c>
    </row>
    <row r="407" spans="1:53" s="1821" customFormat="1" ht="12" customHeight="1">
      <c r="B407" s="1821" t="s">
        <v>1199</v>
      </c>
      <c r="G407" s="2083">
        <f>'Part III-A-Uses of Funds'!G97</f>
        <v>105000</v>
      </c>
      <c r="H407" s="2083"/>
      <c r="J407" s="2109"/>
      <c r="K407" s="2109"/>
      <c r="L407" s="2112"/>
      <c r="M407" s="2109"/>
      <c r="N407" s="2109"/>
      <c r="P407" s="2109"/>
      <c r="Q407" s="2109"/>
      <c r="S407" s="2083">
        <f>'Part III-A-Uses of Funds'!S97</f>
        <v>105000</v>
      </c>
      <c r="T407" s="2083"/>
      <c r="V407" s="2113"/>
      <c r="W407" s="2114"/>
      <c r="X407" s="2114"/>
      <c r="AZ407" s="1821" t="s">
        <v>6391</v>
      </c>
      <c r="BA407" s="1624">
        <v>97</v>
      </c>
    </row>
    <row r="408" spans="1:53" s="1821" customFormat="1" ht="12" customHeight="1">
      <c r="B408" s="1821" t="s">
        <v>1200</v>
      </c>
      <c r="G408" s="2083">
        <f>'Part III-A-Uses of Funds'!G98</f>
        <v>90000</v>
      </c>
      <c r="H408" s="2083"/>
      <c r="J408" s="2109"/>
      <c r="K408" s="2109"/>
      <c r="L408" s="2112"/>
      <c r="M408" s="2109"/>
      <c r="N408" s="2109"/>
      <c r="P408" s="2109"/>
      <c r="Q408" s="2109"/>
      <c r="S408" s="2083">
        <f>'Part III-A-Uses of Funds'!S98</f>
        <v>90000</v>
      </c>
      <c r="T408" s="2083"/>
      <c r="V408" s="2113"/>
      <c r="W408" s="2114"/>
      <c r="X408" s="2114"/>
      <c r="BA408" s="1624">
        <v>98</v>
      </c>
    </row>
    <row r="409" spans="1:53" s="1821" customFormat="1" ht="12" customHeight="1">
      <c r="B409" s="1821" t="s">
        <v>1201</v>
      </c>
      <c r="G409" s="2083">
        <f>'Part III-A-Uses of Funds'!G99</f>
        <v>15000</v>
      </c>
      <c r="H409" s="2083"/>
      <c r="J409" s="2109"/>
      <c r="K409" s="2109"/>
      <c r="L409" s="2112"/>
      <c r="M409" s="2109"/>
      <c r="N409" s="2109"/>
      <c r="P409" s="2109"/>
      <c r="Q409" s="2109"/>
      <c r="S409" s="2083">
        <f>'Part III-A-Uses of Funds'!S99</f>
        <v>15000</v>
      </c>
      <c r="T409" s="2083"/>
      <c r="V409" s="2113"/>
      <c r="W409" s="2114"/>
      <c r="X409" s="2114"/>
      <c r="BA409" s="1624">
        <v>99</v>
      </c>
    </row>
    <row r="410" spans="1:53" s="1821" customFormat="1" ht="12" customHeight="1">
      <c r="B410" s="1821" t="s">
        <v>1203</v>
      </c>
      <c r="G410" s="2083">
        <f>'Part III-A-Uses of Funds'!G100</f>
        <v>0</v>
      </c>
      <c r="H410" s="2083"/>
      <c r="J410" s="2109"/>
      <c r="K410" s="2109"/>
      <c r="L410" s="2112"/>
      <c r="M410" s="2109"/>
      <c r="N410" s="2109"/>
      <c r="P410" s="2109"/>
      <c r="Q410" s="2109"/>
      <c r="S410" s="2083">
        <f>'Part III-A-Uses of Funds'!S100</f>
        <v>0</v>
      </c>
      <c r="T410" s="2083"/>
      <c r="V410" s="2113"/>
      <c r="W410" s="2114"/>
      <c r="X410" s="2114"/>
      <c r="BA410" s="1624">
        <v>100</v>
      </c>
    </row>
    <row r="411" spans="1:53" s="1821" customFormat="1" ht="12" customHeight="1">
      <c r="B411" s="1821" t="s">
        <v>2122</v>
      </c>
      <c r="G411" s="2083">
        <f>'Part III-A-Uses of Funds'!G101</f>
        <v>483132</v>
      </c>
      <c r="H411" s="2083"/>
      <c r="J411" s="2109"/>
      <c r="K411" s="2109"/>
      <c r="L411" s="2112"/>
      <c r="M411" s="2109"/>
      <c r="N411" s="2109"/>
      <c r="P411" s="2109"/>
      <c r="Q411" s="2109"/>
      <c r="S411" s="2083">
        <f>'Part III-A-Uses of Funds'!S101</f>
        <v>483132</v>
      </c>
      <c r="T411" s="2083"/>
      <c r="V411" s="2113"/>
      <c r="W411" s="2114"/>
      <c r="X411" s="2114"/>
      <c r="BA411" s="1624">
        <v>101</v>
      </c>
    </row>
    <row r="412" spans="1:53" s="1821" customFormat="1" ht="12" customHeight="1">
      <c r="A412" s="2115" t="str">
        <f>IF(AND(G412&gt;0,OR(C412="",C412="&lt;Enter detailed description here; use Comments section if needed&gt;")),"X","")</f>
        <v/>
      </c>
      <c r="B412" s="2029" t="s">
        <v>6288</v>
      </c>
      <c r="C412" s="2033" t="str">
        <f>'Part III-A-Uses of Funds'!C102</f>
        <v>&lt;&lt; Enter description here; provide detail &amp; justification in tab Part III-b &gt;&gt;</v>
      </c>
      <c r="D412" s="2116"/>
      <c r="E412" s="2116"/>
      <c r="F412" s="2116"/>
      <c r="G412" s="2083">
        <f>'Part III-A-Uses of Funds'!G102</f>
        <v>0</v>
      </c>
      <c r="H412" s="2083"/>
      <c r="J412" s="2109"/>
      <c r="K412" s="2109"/>
      <c r="L412" s="2112"/>
      <c r="M412" s="2109"/>
      <c r="N412" s="2109"/>
      <c r="P412" s="2109"/>
      <c r="Q412" s="2109"/>
      <c r="S412" s="2083">
        <f>'Part III-A-Uses of Funds'!S102</f>
        <v>0</v>
      </c>
      <c r="T412" s="2083"/>
      <c r="U412" s="2030" t="str">
        <f>IF(AND(G412&gt;0,OR(C412="",C412="&lt;Enter detailed description here; use Comments section if needed&gt;")),"NO DESCRIPTION PROVIDED - please enter detailed description in Other box at left; use Comments section below if needed.","")</f>
        <v/>
      </c>
      <c r="V412" s="2113"/>
      <c r="W412" s="2114"/>
      <c r="X412" s="2114"/>
      <c r="BA412" s="1624">
        <v>102</v>
      </c>
    </row>
    <row r="413" spans="1:53" s="1821" customFormat="1" ht="12" customHeight="1">
      <c r="F413" s="2117" t="s">
        <v>184</v>
      </c>
      <c r="G413" s="2109">
        <f>SUM(G407:G412)</f>
        <v>693132</v>
      </c>
      <c r="H413" s="2109"/>
      <c r="J413" s="2109"/>
      <c r="K413" s="2109"/>
      <c r="L413" s="2112"/>
      <c r="M413" s="2109"/>
      <c r="N413" s="2109"/>
      <c r="P413" s="2109"/>
      <c r="Q413" s="2109"/>
      <c r="S413" s="2109">
        <f>SUM(S407:S412)</f>
        <v>693132</v>
      </c>
      <c r="T413" s="2109"/>
      <c r="V413" s="2113">
        <f>SUM(V407:V412)</f>
        <v>0</v>
      </c>
      <c r="W413" s="2114"/>
      <c r="X413" s="2114"/>
      <c r="BA413" s="1624">
        <v>103</v>
      </c>
    </row>
    <row r="414" spans="1:53" s="1821" customFormat="1" ht="13.35" customHeight="1">
      <c r="B414" s="1821" t="s">
        <v>678</v>
      </c>
      <c r="J414" s="2112"/>
      <c r="K414" s="2112"/>
      <c r="M414" s="2112"/>
      <c r="N414" s="2112"/>
      <c r="O414" s="2112" t="str">
        <f>B414</f>
        <v>DCA-RELATED COSTS</v>
      </c>
      <c r="P414" s="2112"/>
      <c r="Q414" s="2112"/>
      <c r="S414" s="2112"/>
      <c r="T414" s="2112"/>
      <c r="V414" s="2118"/>
      <c r="W414" s="1821" t="str">
        <f>B414</f>
        <v>DCA-RELATED COSTS</v>
      </c>
      <c r="AA414" s="2029" t="s">
        <v>3931</v>
      </c>
      <c r="AB414" s="2029"/>
      <c r="AC414" s="2029"/>
      <c r="AD414" s="1322" t="str">
        <f>IF(OR($M$38="9% Credit Competitive Round only", $M$38="9% Credit &amp; HOME"),"9%",IF(OR($M$38="4% Credit/TE Bond", $M$38="4% Credit/TE Bond &amp; HOME", $M$38="4% Credit/TE Bond &amp; HOME NOFA", $M$38="4% Credit &amp; NHTF", $M$38="4% Credit &amp; NHTF &amp; HOME"),"4%",""))</f>
        <v/>
      </c>
      <c r="BA414" s="1624">
        <v>104</v>
      </c>
    </row>
    <row r="415" spans="1:53" s="1821" customFormat="1" ht="12.6" customHeight="1">
      <c r="B415" s="1821" t="str">
        <f>CONCATENATE("DCA HOME Loan Consent Pre-Application Fee ($",'DCA Underwriting Assumptions'!$Q$42, " FP/JV, $",'DCA Underwriting Assumptions'!$Q$43, " NP)")</f>
        <v>DCA HOME Loan Consent Pre-Application Fee ($1000 FP/JV, $500 NP)</v>
      </c>
      <c r="G415" s="2083">
        <f>'Part III-A-Uses of Funds'!G105</f>
        <v>0</v>
      </c>
      <c r="H415" s="2083"/>
      <c r="J415" s="2112"/>
      <c r="K415" s="2112"/>
      <c r="L415" s="2112"/>
      <c r="M415" s="2112"/>
      <c r="N415" s="2112"/>
      <c r="P415" s="2112"/>
      <c r="Q415" s="2112"/>
      <c r="S415" s="2083">
        <f>'Part III-A-Uses of Funds'!S105</f>
        <v>0</v>
      </c>
      <c r="T415" s="2083"/>
      <c r="V415" s="2113"/>
      <c r="W415" s="2114"/>
      <c r="X415" s="2114"/>
      <c r="Y415" s="2020" t="s">
        <v>6709</v>
      </c>
      <c r="AA415" s="403" t="s">
        <v>6657</v>
      </c>
      <c r="AB415" s="2029"/>
      <c r="AC415" s="2029"/>
      <c r="AD415" s="2148" t="str">
        <f>'Part V-Revenues &amp; Expenses'!$O$53</f>
        <v>Income Averaging</v>
      </c>
      <c r="AE415" s="2149"/>
      <c r="AF415" s="2149"/>
      <c r="BA415" s="1624">
        <v>105</v>
      </c>
    </row>
    <row r="416" spans="1:53" s="1821" customFormat="1" ht="12.6" customHeight="1">
      <c r="B416" s="1821" t="str">
        <f>CONCATENATE("Tax Credit Application Fee ($",'DCA Underwriting Assumptions'!$Q$48, " ForProf/JntVent, $",'DCA Underwriting Assumptions'!$Q$49, " NonProf)")</f>
        <v>Tax Credit Application Fee ($6500 ForProf/JntVent, $5500 NonProf)</v>
      </c>
      <c r="G416" s="2083">
        <f>'Part III-A-Uses of Funds'!G106</f>
        <v>6500</v>
      </c>
      <c r="H416" s="2083"/>
      <c r="J416" s="2112"/>
      <c r="K416" s="2112"/>
      <c r="L416" s="2150"/>
      <c r="M416" s="2112"/>
      <c r="N416" s="2112"/>
      <c r="P416" s="2112"/>
      <c r="Q416" s="2112"/>
      <c r="S416" s="2083">
        <f>'Part III-A-Uses of Funds'!S106</f>
        <v>6500</v>
      </c>
      <c r="T416" s="2083"/>
      <c r="V416" s="2113"/>
      <c r="W416" s="2114"/>
      <c r="X416" s="2114"/>
      <c r="Y416" s="2020"/>
      <c r="AA416" s="2136" t="s">
        <v>3155</v>
      </c>
      <c r="AB416" s="2136"/>
      <c r="AC416" s="2136"/>
      <c r="AD416" s="2151">
        <f>'Part V-Revenues &amp; Expenses'!$P$67</f>
        <v>120</v>
      </c>
      <c r="AZ416" s="1821" t="s">
        <v>6392</v>
      </c>
      <c r="BA416" s="1624">
        <v>106</v>
      </c>
    </row>
    <row r="417" spans="1:53" s="1821" customFormat="1" ht="12.6" customHeight="1">
      <c r="B417" s="1821" t="s">
        <v>3323</v>
      </c>
      <c r="G417" s="2083">
        <f>'Part III-A-Uses of Funds'!G107</f>
        <v>0</v>
      </c>
      <c r="H417" s="2083"/>
      <c r="J417" s="2112"/>
      <c r="K417" s="2112"/>
      <c r="L417" s="2150"/>
      <c r="M417" s="2112"/>
      <c r="N417" s="2112"/>
      <c r="P417" s="2112"/>
      <c r="Q417" s="2112"/>
      <c r="S417" s="2083">
        <f>'Part III-A-Uses of Funds'!S107</f>
        <v>0</v>
      </c>
      <c r="T417" s="2083"/>
      <c r="V417" s="2113"/>
      <c r="W417" s="2114"/>
      <c r="X417" s="2114"/>
      <c r="Y417" s="2020"/>
      <c r="Z417" s="2020"/>
      <c r="AA417" s="2152" t="s">
        <v>6714</v>
      </c>
      <c r="AB417" s="2029"/>
      <c r="AC417" s="2029"/>
      <c r="AD417" s="2029"/>
      <c r="AF417" s="2153" t="s">
        <v>6715</v>
      </c>
      <c r="AZ417" s="1821" t="s">
        <v>6393</v>
      </c>
      <c r="BA417" s="1624">
        <v>107</v>
      </c>
    </row>
    <row r="418" spans="1:53" s="1821" customFormat="1" ht="12.6" customHeight="1">
      <c r="B418" s="1821" t="s">
        <v>486</v>
      </c>
      <c r="E418" s="2154">
        <f>ROUNDUP('DCA Underwriting Assumptions'!$Q$53*J501,0)</f>
        <v>138790</v>
      </c>
      <c r="F418" s="2154"/>
      <c r="G418" s="2083">
        <f>'Part III-A-Uses of Funds'!G108</f>
        <v>138790</v>
      </c>
      <c r="H418" s="2083"/>
      <c r="J418" s="2155" t="str">
        <f>IF(E418&gt;G418,"WARNING!  LIHTC Allocation Fee proposed is below minimum required.","")</f>
        <v/>
      </c>
      <c r="K418" s="2112"/>
      <c r="L418" s="2112"/>
      <c r="M418" s="2112"/>
      <c r="N418" s="2112"/>
      <c r="P418" s="2112"/>
      <c r="Q418" s="2112"/>
      <c r="S418" s="2083">
        <f>'Part III-A-Uses of Funds'!S108</f>
        <v>138790</v>
      </c>
      <c r="T418" s="2083"/>
      <c r="V418" s="2113"/>
      <c r="W418" s="2114"/>
      <c r="X418" s="2114"/>
      <c r="Y418" s="2020"/>
      <c r="Z418" s="2020"/>
      <c r="AA418" s="2029" t="s">
        <v>6710</v>
      </c>
      <c r="AB418" s="2029"/>
      <c r="AC418" s="2029"/>
      <c r="AD418" s="2156">
        <f>'Part V-Revenues &amp; Expenses'!P446+'Part V-Revenues &amp; Expenses'!P447</f>
        <v>0</v>
      </c>
      <c r="AF418" s="2157">
        <f>AD418*'DCA Underwriting Assumptions'!$Q$60</f>
        <v>0</v>
      </c>
      <c r="AZ418" s="1821" t="s">
        <v>6394</v>
      </c>
      <c r="BA418" s="1624">
        <v>108</v>
      </c>
    </row>
    <row r="419" spans="1:53" s="1821" customFormat="1" ht="12.6" customHeight="1">
      <c r="B419" s="1821" t="s">
        <v>702</v>
      </c>
      <c r="E419" s="2154">
        <f>AF421+AF425</f>
        <v>96000</v>
      </c>
      <c r="F419" s="2154"/>
      <c r="G419" s="2083">
        <f>'Part III-A-Uses of Funds'!G109</f>
        <v>120000</v>
      </c>
      <c r="H419" s="2083"/>
      <c r="I419" s="2158" t="str">
        <f>IF(E419&gt;G419,"WARNING!  LIHTC Compliance Fee proposed is below minimum required.","")</f>
        <v/>
      </c>
      <c r="J419" s="2158"/>
      <c r="K419" s="2158"/>
      <c r="L419" s="2158"/>
      <c r="M419" s="2158"/>
      <c r="N419" s="2158"/>
      <c r="O419" s="2158"/>
      <c r="P419" s="2158"/>
      <c r="Q419" s="2158"/>
      <c r="R419" s="2158"/>
      <c r="S419" s="2083">
        <f>'Part III-A-Uses of Funds'!S109</f>
        <v>120000</v>
      </c>
      <c r="T419" s="2083"/>
      <c r="V419" s="2113"/>
      <c r="W419" s="2114"/>
      <c r="X419" s="2114"/>
      <c r="Y419" s="2020"/>
      <c r="Z419" s="2020"/>
      <c r="AA419" s="2029" t="s">
        <v>6296</v>
      </c>
      <c r="AB419" s="2029"/>
      <c r="AC419" s="2029"/>
      <c r="AD419" s="2156">
        <f>'Part V-Revenues &amp; Expenses'!$P$140+'Part V-Revenues &amp; Expenses'!$P$141</f>
        <v>0</v>
      </c>
      <c r="AF419" s="2157">
        <f>AD419*'DCA Underwriting Assumptions'!$Q$60</f>
        <v>0</v>
      </c>
      <c r="BA419" s="1624">
        <v>109</v>
      </c>
    </row>
    <row r="420" spans="1:53" s="1821" customFormat="1" ht="12.6" customHeight="1">
      <c r="B420" s="1821" t="s">
        <v>3453</v>
      </c>
      <c r="F420" s="2159"/>
      <c r="G420" s="2083">
        <f>'Part III-A-Uses of Funds'!G110</f>
        <v>0</v>
      </c>
      <c r="H420" s="2083"/>
      <c r="I420" s="2158"/>
      <c r="J420" s="2158"/>
      <c r="K420" s="2158"/>
      <c r="L420" s="2158"/>
      <c r="M420" s="2158"/>
      <c r="N420" s="2158"/>
      <c r="O420" s="2158"/>
      <c r="P420" s="2158"/>
      <c r="Q420" s="2158"/>
      <c r="R420" s="2158"/>
      <c r="S420" s="2083">
        <f>'Part III-A-Uses of Funds'!S110</f>
        <v>0</v>
      </c>
      <c r="T420" s="2083"/>
      <c r="V420" s="2113"/>
      <c r="W420" s="2114"/>
      <c r="X420" s="2114"/>
      <c r="Y420" s="2020"/>
      <c r="AA420" s="2029" t="s">
        <v>6711</v>
      </c>
      <c r="AB420" s="2029"/>
      <c r="AC420" s="2029"/>
      <c r="AD420" s="2156">
        <f>'Part V-Revenues &amp; Expenses'!$P$142+'Part V-Revenues &amp; Expenses'!$P$143</f>
        <v>0</v>
      </c>
      <c r="AF420" s="2157">
        <f>AD420*'DCA Underwriting Assumptions'!$Q$60</f>
        <v>0</v>
      </c>
      <c r="BA420" s="1624">
        <v>110</v>
      </c>
    </row>
    <row r="421" spans="1:53" s="1821" customFormat="1" ht="12.6" customHeight="1">
      <c r="B421" s="1821" t="s">
        <v>3454</v>
      </c>
      <c r="F421" s="2159">
        <f>ROUNDUP('DCA Underwriting Assumptions'!$Q$88,0)</f>
        <v>3000</v>
      </c>
      <c r="G421" s="2083">
        <f>'Part III-A-Uses of Funds'!G111</f>
        <v>3000</v>
      </c>
      <c r="H421" s="2083"/>
      <c r="J421" s="378"/>
      <c r="K421" s="378"/>
      <c r="L421" s="378"/>
      <c r="M421" s="378"/>
      <c r="N421" s="378"/>
      <c r="O421" s="378"/>
      <c r="P421" s="378"/>
      <c r="Q421" s="378"/>
      <c r="S421" s="2083">
        <f>'Part III-A-Uses of Funds'!S111</f>
        <v>3000</v>
      </c>
      <c r="T421" s="2083"/>
      <c r="V421" s="2113"/>
      <c r="W421" s="2114"/>
      <c r="X421" s="2114"/>
      <c r="AA421" s="2029"/>
      <c r="AB421" s="2029" t="s">
        <v>6712</v>
      </c>
      <c r="AC421" s="2029"/>
      <c r="AD421" s="2156">
        <f>SUM(AD418:AD420)</f>
        <v>0</v>
      </c>
      <c r="AF421" s="2157">
        <f>SUM(AF418:AF420)</f>
        <v>0</v>
      </c>
      <c r="BA421" s="1624">
        <v>111</v>
      </c>
    </row>
    <row r="422" spans="1:53" s="1821" customFormat="1" ht="12.6" customHeight="1">
      <c r="A422" s="2115" t="str">
        <f>IF(AND(G422&gt;0,OR(C422="",C422="&lt;Enter detailed description here; use Comments section if needed&gt;")),"X","")</f>
        <v/>
      </c>
      <c r="B422" s="2029" t="s">
        <v>6284</v>
      </c>
      <c r="C422" s="2033" t="str">
        <f>'Part III-A-Uses of Funds'!C112</f>
        <v>&lt;&lt; Enter description here; provide detail &amp; justification in tab Part III-b &gt;&gt;</v>
      </c>
      <c r="D422" s="2116"/>
      <c r="E422" s="2116"/>
      <c r="F422" s="2116"/>
      <c r="G422" s="2083">
        <f>'Part III-A-Uses of Funds'!G112</f>
        <v>0</v>
      </c>
      <c r="H422" s="2083"/>
      <c r="J422" s="378"/>
      <c r="K422" s="378"/>
      <c r="L422" s="378"/>
      <c r="M422" s="378"/>
      <c r="N422" s="378"/>
      <c r="O422" s="378"/>
      <c r="P422" s="378"/>
      <c r="Q422" s="378"/>
      <c r="S422" s="2083">
        <f>'Part III-A-Uses of Funds'!S112</f>
        <v>0</v>
      </c>
      <c r="T422" s="2083"/>
      <c r="U422" s="2030" t="str">
        <f>IF(AND(G422&gt;0,OR(C422="",C422="&lt;Enter detailed description here; use Comments section if needed&gt;")),"NO DESCRIPTION PROVIDED - please enter detailed description in Other box at left; use Comments section below if needed.","")</f>
        <v/>
      </c>
      <c r="V422" s="2113"/>
      <c r="W422" s="2114"/>
      <c r="X422" s="2114"/>
      <c r="AA422" s="2152" t="s">
        <v>6713</v>
      </c>
      <c r="AB422" s="2029"/>
      <c r="AC422" s="1322"/>
      <c r="AD422" s="2029"/>
      <c r="AF422" s="2157"/>
      <c r="BA422" s="1624">
        <v>112</v>
      </c>
    </row>
    <row r="423" spans="1:53" s="1821" customFormat="1" ht="12.6" customHeight="1">
      <c r="A423" s="2115" t="str">
        <f>IF(AND(G423&gt;0,OR(C423="",C423="&lt;Enter detailed description here; use Comments section if needed&gt;")),"X","")</f>
        <v/>
      </c>
      <c r="B423" s="2029" t="s">
        <v>6284</v>
      </c>
      <c r="C423" s="2033" t="str">
        <f>'Part III-A-Uses of Funds'!C113</f>
        <v>&lt;&lt; Enter description here; provide detail &amp; justification in tab Part III-b &gt;&gt;</v>
      </c>
      <c r="D423" s="2116"/>
      <c r="E423" s="2116"/>
      <c r="F423" s="2116"/>
      <c r="G423" s="2083">
        <f>'Part III-A-Uses of Funds'!G113</f>
        <v>0</v>
      </c>
      <c r="H423" s="2083"/>
      <c r="J423" s="378"/>
      <c r="K423" s="378"/>
      <c r="L423" s="378"/>
      <c r="M423" s="378"/>
      <c r="N423" s="378"/>
      <c r="O423" s="378"/>
      <c r="P423" s="378"/>
      <c r="Q423" s="378"/>
      <c r="S423" s="2083">
        <f>'Part III-A-Uses of Funds'!S113</f>
        <v>0</v>
      </c>
      <c r="T423" s="2083"/>
      <c r="U423" s="2030" t="str">
        <f>IF(AND(G423&gt;0,OR(C423="",C423="&lt;Enter detailed description here; use Comments section if needed&gt;")),"NO DESCRIPTION PROVIDED - please enter detailed description in Other box at left; use Comments section below if needed.","")</f>
        <v/>
      </c>
      <c r="V423" s="2113"/>
      <c r="W423" s="2114"/>
      <c r="X423" s="2114"/>
      <c r="AA423" s="2029" t="s">
        <v>36</v>
      </c>
      <c r="AB423" s="2029"/>
      <c r="AC423" s="1322"/>
      <c r="AD423" s="2156">
        <f>'Part V-Revenues &amp; Expenses'!$P$127</f>
        <v>120</v>
      </c>
      <c r="AF423" s="2157">
        <f>IF($AD$105="Income Averaging",AD423*'DCA Underwriting Assumptions'!$Q$58,AD423*'DCA Underwriting Assumptions'!$Q$57)</f>
        <v>96000</v>
      </c>
      <c r="AZ423" s="1821" t="s">
        <v>6395</v>
      </c>
      <c r="BA423" s="1624">
        <v>113</v>
      </c>
    </row>
    <row r="424" spans="1:53" s="1821" customFormat="1" ht="12.6" customHeight="1">
      <c r="F424" s="2117" t="s">
        <v>184</v>
      </c>
      <c r="G424" s="2109">
        <f>SUM(G415:G423)</f>
        <v>268290</v>
      </c>
      <c r="H424" s="2109"/>
      <c r="J424" s="2112"/>
      <c r="K424" s="2112"/>
      <c r="L424" s="2112"/>
      <c r="M424" s="2112"/>
      <c r="N424" s="2112"/>
      <c r="P424" s="2112"/>
      <c r="Q424" s="2112"/>
      <c r="S424" s="2109">
        <f>SUM(S415:S423)</f>
        <v>268290</v>
      </c>
      <c r="T424" s="2109"/>
      <c r="V424" s="2113">
        <f>SUM(V415:V423)</f>
        <v>0</v>
      </c>
      <c r="W424" s="2160"/>
      <c r="X424" s="2160"/>
      <c r="AA424" s="2029" t="s">
        <v>6489</v>
      </c>
      <c r="AB424" s="2029"/>
      <c r="AC424" s="2161"/>
      <c r="AD424" s="2156">
        <f>'Part V-Revenues &amp; Expenses'!$P$138+'Part V-Revenues &amp; Expenses'!$P$139</f>
        <v>0</v>
      </c>
      <c r="AF424" s="2157">
        <f>IF($AD$105="Income Averaging",AD424*'DCA Underwriting Assumptions'!$Q$58,AD424*'DCA Underwriting Assumptions'!$Q$57)</f>
        <v>0</v>
      </c>
      <c r="AZ424" s="1821" t="s">
        <v>6396</v>
      </c>
      <c r="BA424" s="1624">
        <v>114</v>
      </c>
    </row>
    <row r="425" spans="1:53" s="1821" customFormat="1" ht="13.35" customHeight="1">
      <c r="B425" s="1821" t="s">
        <v>2123</v>
      </c>
      <c r="J425" s="2112"/>
      <c r="K425" s="2112"/>
      <c r="M425" s="2112"/>
      <c r="N425" s="2112"/>
      <c r="O425" s="2112" t="str">
        <f>B425</f>
        <v>EQUITY COSTS</v>
      </c>
      <c r="P425" s="2112"/>
      <c r="Q425" s="2112"/>
      <c r="S425" s="2112"/>
      <c r="T425" s="2112"/>
      <c r="V425" s="2118"/>
      <c r="W425" s="1821" t="str">
        <f>B425</f>
        <v>EQUITY COSTS</v>
      </c>
      <c r="AA425" s="2029"/>
      <c r="AB425" s="2029" t="s">
        <v>6712</v>
      </c>
      <c r="AC425" s="2029"/>
      <c r="AD425" s="2156">
        <f>SUM(AD423:AD424)</f>
        <v>120</v>
      </c>
      <c r="AF425" s="2157">
        <f>SUM(AF423:AF424)</f>
        <v>96000</v>
      </c>
      <c r="AZ425" s="357"/>
      <c r="BA425" s="1624">
        <v>115</v>
      </c>
    </row>
    <row r="426" spans="1:53" s="1821" customFormat="1" ht="12.6" customHeight="1">
      <c r="B426" s="1821" t="s">
        <v>267</v>
      </c>
      <c r="G426" s="2083">
        <f>'Part III-A-Uses of Funds'!G116</f>
        <v>2000</v>
      </c>
      <c r="H426" s="2083"/>
      <c r="J426" s="2109"/>
      <c r="K426" s="2109"/>
      <c r="L426" s="2112"/>
      <c r="M426" s="2109"/>
      <c r="N426" s="2109"/>
      <c r="P426" s="2109"/>
      <c r="Q426" s="2109"/>
      <c r="S426" s="2083">
        <f>'Part III-A-Uses of Funds'!S116</f>
        <v>2000</v>
      </c>
      <c r="T426" s="2083"/>
      <c r="V426" s="2113"/>
      <c r="W426" s="2114"/>
      <c r="X426" s="2114"/>
      <c r="AZ426" s="357"/>
      <c r="BA426" s="1624">
        <v>116</v>
      </c>
    </row>
    <row r="427" spans="1:53" s="1821" customFormat="1" ht="12.6" customHeight="1">
      <c r="B427" s="1821" t="s">
        <v>268</v>
      </c>
      <c r="G427" s="2083">
        <f>'Part III-A-Uses of Funds'!G117</f>
        <v>0</v>
      </c>
      <c r="H427" s="2083"/>
      <c r="J427" s="2109"/>
      <c r="K427" s="2109"/>
      <c r="L427" s="2112"/>
      <c r="M427" s="2109"/>
      <c r="N427" s="2109"/>
      <c r="P427" s="2109"/>
      <c r="Q427" s="2109"/>
      <c r="S427" s="2083">
        <f>'Part III-A-Uses of Funds'!S117</f>
        <v>0</v>
      </c>
      <c r="T427" s="2083"/>
      <c r="V427" s="2113"/>
      <c r="W427" s="2114"/>
      <c r="X427" s="2114"/>
      <c r="AZ427" s="357"/>
      <c r="BA427" s="1624">
        <v>117</v>
      </c>
    </row>
    <row r="428" spans="1:53" s="1821" customFormat="1" ht="12.6" customHeight="1">
      <c r="B428" s="1821" t="s">
        <v>2201</v>
      </c>
      <c r="G428" s="2083">
        <f>'Part III-A-Uses of Funds'!G118</f>
        <v>65000</v>
      </c>
      <c r="H428" s="2083"/>
      <c r="J428" s="2109"/>
      <c r="K428" s="2109"/>
      <c r="L428" s="2112"/>
      <c r="M428" s="2109"/>
      <c r="N428" s="2109"/>
      <c r="P428" s="2109"/>
      <c r="Q428" s="2109"/>
      <c r="S428" s="2083">
        <f>'Part III-A-Uses of Funds'!S118</f>
        <v>65000</v>
      </c>
      <c r="T428" s="2083"/>
      <c r="V428" s="2113"/>
      <c r="W428" s="2114"/>
      <c r="X428" s="2114"/>
      <c r="AZ428" s="357"/>
      <c r="BA428" s="1624">
        <v>118</v>
      </c>
    </row>
    <row r="429" spans="1:53" s="1821" customFormat="1" ht="12.6" customHeight="1">
      <c r="A429" s="2115" t="str">
        <f>IF(AND(G429&gt;0,OR(C429="",C429="&lt;Enter detailed description here; use Comments section if needed&gt;")),"X","")</f>
        <v/>
      </c>
      <c r="B429" s="2029" t="s">
        <v>6284</v>
      </c>
      <c r="C429" s="2033" t="str">
        <f>'Part III-A-Uses of Funds'!C119</f>
        <v>&lt;&lt; Enter description here; provide detail &amp; justification in tab Part III-b &gt;&gt;</v>
      </c>
      <c r="D429" s="2116"/>
      <c r="E429" s="2116"/>
      <c r="F429" s="2116"/>
      <c r="G429" s="2083">
        <f>'Part III-A-Uses of Funds'!G119</f>
        <v>0</v>
      </c>
      <c r="H429" s="2083"/>
      <c r="J429" s="2109"/>
      <c r="K429" s="2109"/>
      <c r="L429" s="2112"/>
      <c r="M429" s="2109"/>
      <c r="N429" s="2109"/>
      <c r="P429" s="2109"/>
      <c r="Q429" s="2109"/>
      <c r="S429" s="2083">
        <f>'Part III-A-Uses of Funds'!S119</f>
        <v>0</v>
      </c>
      <c r="T429" s="2083"/>
      <c r="U429" s="2030" t="str">
        <f>IF(AND(G429&gt;0,OR(C429="",C429="&lt;Enter detailed description here; use Comments section if needed&gt;")),"NO DESCRIPTION PROVIDED - please enter detailed description in Other box at left; use Comments section below if needed.","")</f>
        <v/>
      </c>
      <c r="V429" s="2113"/>
      <c r="W429" s="2114"/>
      <c r="X429" s="2114"/>
      <c r="AZ429" s="357"/>
      <c r="BA429" s="1624">
        <v>119</v>
      </c>
    </row>
    <row r="430" spans="1:53" s="1821" customFormat="1" ht="12.6" customHeight="1">
      <c r="F430" s="2117" t="s">
        <v>184</v>
      </c>
      <c r="G430" s="2109">
        <f>SUM(G426:G429)</f>
        <v>67000</v>
      </c>
      <c r="H430" s="2109"/>
      <c r="J430" s="2109"/>
      <c r="K430" s="2109"/>
      <c r="L430" s="2112"/>
      <c r="M430" s="2109"/>
      <c r="N430" s="2109"/>
      <c r="P430" s="2109"/>
      <c r="Q430" s="2109"/>
      <c r="S430" s="2109">
        <f>SUM(S426:S429)</f>
        <v>67000</v>
      </c>
      <c r="T430" s="2109"/>
      <c r="V430" s="2113">
        <f>SUM(V426:V429)</f>
        <v>0</v>
      </c>
      <c r="W430" s="2114"/>
      <c r="X430" s="2114"/>
      <c r="AC430" s="2072" t="s">
        <v>3928</v>
      </c>
      <c r="AD430" s="2072" t="s">
        <v>3929</v>
      </c>
      <c r="AE430" s="2072" t="s">
        <v>3932</v>
      </c>
      <c r="AF430" s="2039" t="s">
        <v>3930</v>
      </c>
      <c r="AG430" s="2072" t="s">
        <v>3921</v>
      </c>
      <c r="AH430" s="2072" t="s">
        <v>6746</v>
      </c>
      <c r="AI430" s="2072"/>
      <c r="AZ430" s="357"/>
      <c r="BA430" s="1624">
        <v>120</v>
      </c>
    </row>
    <row r="431" spans="1:53" s="1821" customFormat="1" ht="13.35" customHeight="1">
      <c r="B431" s="1821" t="s">
        <v>269</v>
      </c>
      <c r="D431" s="2099" t="s">
        <v>3931</v>
      </c>
      <c r="E431" s="2023"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029"/>
      <c r="J431" s="2112"/>
      <c r="K431" s="2109"/>
      <c r="M431" s="2112"/>
      <c r="N431" s="2109"/>
      <c r="O431" s="2112" t="str">
        <f>B431</f>
        <v>DEVELOPER'S FEE</v>
      </c>
      <c r="P431" s="2112"/>
      <c r="Q431" s="2109"/>
      <c r="S431" s="2112"/>
      <c r="T431" s="2109"/>
      <c r="V431" s="2118"/>
      <c r="W431" s="1821" t="str">
        <f>B431</f>
        <v>DEVELOPER'S FEE</v>
      </c>
      <c r="Y431" s="403" t="s">
        <v>3919</v>
      </c>
      <c r="Z431" s="403"/>
      <c r="AA431" s="1322" t="s">
        <v>3925</v>
      </c>
      <c r="AB431" s="1322" t="s">
        <v>3926</v>
      </c>
      <c r="AC431" s="2072"/>
      <c r="AD431" s="2072"/>
      <c r="AE431" s="2072"/>
      <c r="AF431" s="2039"/>
      <c r="AG431" s="2072"/>
      <c r="AH431" s="2072"/>
      <c r="AI431" s="2072"/>
      <c r="AK431" s="807"/>
      <c r="AZ431" s="357" t="s">
        <v>6397</v>
      </c>
      <c r="BA431" s="1624">
        <v>121</v>
      </c>
    </row>
    <row r="432" spans="1:53" s="1821" customFormat="1" ht="12.6" customHeight="1">
      <c r="B432" s="1821" t="s">
        <v>1724</v>
      </c>
      <c r="F432" s="2092">
        <f>IF($G$127=0,0,G432/$G$127)</f>
        <v>0</v>
      </c>
      <c r="G432" s="2083">
        <f>'Part III-A-Uses of Funds'!G122</f>
        <v>2640000</v>
      </c>
      <c r="H432" s="2083"/>
      <c r="J432" s="2083">
        <f>'Part III-A-Uses of Funds'!J122</f>
        <v>2640000</v>
      </c>
      <c r="K432" s="2083"/>
      <c r="L432" s="2112"/>
      <c r="M432" s="2083">
        <f>'Part III-A-Uses of Funds'!M122</f>
        <v>0</v>
      </c>
      <c r="N432" s="2083"/>
      <c r="P432" s="2083">
        <f>'Part III-A-Uses of Funds'!P122</f>
        <v>0</v>
      </c>
      <c r="Q432" s="2083"/>
      <c r="S432" s="2083">
        <f>'Part III-A-Uses of Funds'!S122</f>
        <v>0</v>
      </c>
      <c r="T432" s="2083"/>
      <c r="V432" s="2113"/>
      <c r="W432" s="2114"/>
      <c r="X432" s="2114"/>
      <c r="Y432" s="357"/>
      <c r="Z432" s="2162">
        <v>0.09</v>
      </c>
      <c r="AA432" s="2163">
        <f>'DCA Underwriting Assumptions'!$J$65</f>
        <v>1</v>
      </c>
      <c r="AB432" s="2163">
        <f>'DCA Underwriting Assumptions'!$K$65</f>
        <v>50</v>
      </c>
      <c r="AC432" s="2156">
        <f>'DCA Underwriting Assumptions'!$Q$65</f>
        <v>27500</v>
      </c>
      <c r="AD432" s="2156">
        <f>AB432*AC432</f>
        <v>1375000</v>
      </c>
      <c r="AE432" s="2156">
        <f>IF('Part V-Revenues &amp; Expenses'!$P$67&lt;AA433,'Part V-Revenues &amp; Expenses'!$P$67*'Part III-A-Uses of Funds'!AC432,AB432*AC432)</f>
        <v>1375000</v>
      </c>
      <c r="AF432" s="2164">
        <f>SUM(AE432:AE434)</f>
        <v>1560000</v>
      </c>
      <c r="AG432" s="2164">
        <f>'DCA Underwriting Assumptions'!$Q$72</f>
        <v>2000000</v>
      </c>
      <c r="AH432" s="2090">
        <f>MIN(AF432,AG432)</f>
        <v>1560000</v>
      </c>
      <c r="AI432" s="2090"/>
      <c r="AZ432" s="357"/>
      <c r="BA432" s="1624">
        <v>122</v>
      </c>
    </row>
    <row r="433" spans="1:53" s="1821" customFormat="1" ht="12.6" customHeight="1">
      <c r="B433" s="1821" t="s">
        <v>3416</v>
      </c>
      <c r="F433" s="2165"/>
      <c r="G433" s="2161" t="s">
        <v>6726</v>
      </c>
      <c r="V433" s="2113"/>
      <c r="W433" s="2114"/>
      <c r="X433" s="2114"/>
      <c r="Y433" s="357"/>
      <c r="Z433" s="1750"/>
      <c r="AA433" s="2163">
        <f>'DCA Underwriting Assumptions'!$J$66</f>
        <v>51</v>
      </c>
      <c r="AB433" s="2163">
        <f>'DCA Underwriting Assumptions'!$K$66</f>
        <v>70</v>
      </c>
      <c r="AC433" s="2156">
        <f>'DCA Underwriting Assumptions'!$Q$66</f>
        <v>22000</v>
      </c>
      <c r="AD433" s="2156">
        <f>(AB433-AB432)*AC433</f>
        <v>440000</v>
      </c>
      <c r="AE433" s="2156">
        <f>IF(AND('Part V-Revenues &amp; Expenses'!$P$67&gt;AB432,'Part V-Revenues &amp; Expenses'!$P$67&lt;AA434),('Part V-Revenues &amp; Expenses'!$P$67-AB432)*'Part III-A-Uses of Funds'!AC433,IF(AND('Part V-Revenues &amp; Expenses'!$P$67&gt;AB432,'Part V-Revenues &amp; Expenses'!$P$67&gt;AB433),(AB433-AB432)*'Part III-A-Uses of Funds'!AC433,0))</f>
        <v>0</v>
      </c>
      <c r="AF433" s="2164"/>
      <c r="AG433" s="2164"/>
      <c r="AH433" s="2090"/>
      <c r="AI433" s="2090"/>
      <c r="AZ433" s="357"/>
      <c r="BA433" s="1624">
        <v>123</v>
      </c>
    </row>
    <row r="434" spans="1:53" s="1821" customFormat="1" ht="12.6" customHeight="1">
      <c r="B434" s="1821" t="s">
        <v>1725</v>
      </c>
      <c r="F434" s="2092">
        <f>IF($G$127=0,0,G434/$G$127)</f>
        <v>0</v>
      </c>
      <c r="G434" s="2083">
        <f>'Part III-A-Uses of Funds'!G124</f>
        <v>0</v>
      </c>
      <c r="H434" s="2083"/>
      <c r="J434" s="2083">
        <f>'Part III-A-Uses of Funds'!J124</f>
        <v>0</v>
      </c>
      <c r="K434" s="2083"/>
      <c r="L434" s="2112"/>
      <c r="M434" s="2083">
        <f>'Part III-A-Uses of Funds'!M124</f>
        <v>0</v>
      </c>
      <c r="N434" s="2083"/>
      <c r="P434" s="2083">
        <f>'Part III-A-Uses of Funds'!P124</f>
        <v>0</v>
      </c>
      <c r="Q434" s="2083"/>
      <c r="S434" s="2083">
        <f>'Part III-A-Uses of Funds'!S124</f>
        <v>0</v>
      </c>
      <c r="T434" s="2083"/>
      <c r="V434" s="2113"/>
      <c r="W434" s="2114"/>
      <c r="X434" s="2114"/>
      <c r="Y434" s="357"/>
      <c r="Z434" s="1750"/>
      <c r="AA434" s="2163">
        <f>'DCA Underwriting Assumptions'!$J$67</f>
        <v>71</v>
      </c>
      <c r="AB434" s="1750"/>
      <c r="AC434" s="2156">
        <f>'DCA Underwriting Assumptions'!$Q$67</f>
        <v>16500</v>
      </c>
      <c r="AD434" s="2156">
        <f>AG432-AD433-AD432</f>
        <v>185000</v>
      </c>
      <c r="AE434" s="2156">
        <f>MIN(AD434,IF('Part V-Revenues &amp; Expenses'!$P$67&gt;AB433,('Part V-Revenues &amp; Expenses'!$P$67-AB433)*AC434,0))</f>
        <v>185000</v>
      </c>
      <c r="AF434" s="2164"/>
      <c r="AG434" s="2164"/>
      <c r="AH434" s="2090"/>
      <c r="AI434" s="2090"/>
      <c r="AZ434" s="357"/>
      <c r="BA434" s="1624">
        <v>124</v>
      </c>
    </row>
    <row r="435" spans="1:53" s="1821" customFormat="1" ht="12.6" customHeight="1">
      <c r="B435" s="1821" t="s">
        <v>3167</v>
      </c>
      <c r="F435" s="2092">
        <f>IF($G$127=0,0,G435/$G$127)</f>
        <v>0</v>
      </c>
      <c r="G435" s="2083">
        <f>'Part III-A-Uses of Funds'!G125</f>
        <v>0</v>
      </c>
      <c r="H435" s="2083"/>
      <c r="J435" s="2083">
        <f>'Part III-A-Uses of Funds'!J125</f>
        <v>0</v>
      </c>
      <c r="K435" s="2083"/>
      <c r="L435" s="2112"/>
      <c r="M435" s="2083">
        <f>'Part III-A-Uses of Funds'!M125</f>
        <v>0</v>
      </c>
      <c r="N435" s="2083"/>
      <c r="P435" s="2083">
        <f>'Part III-A-Uses of Funds'!P125</f>
        <v>0</v>
      </c>
      <c r="Q435" s="2083"/>
      <c r="S435" s="2083">
        <f>'Part III-A-Uses of Funds'!S125</f>
        <v>0</v>
      </c>
      <c r="T435" s="2083"/>
      <c r="V435" s="2113"/>
      <c r="W435" s="2114"/>
      <c r="X435" s="2114"/>
      <c r="Y435" s="357"/>
      <c r="Z435" s="2162">
        <v>0.04</v>
      </c>
      <c r="AA435" s="2163">
        <f>'DCA Underwriting Assumptions'!$J$68</f>
        <v>1</v>
      </c>
      <c r="AB435" s="2163">
        <f>'DCA Underwriting Assumptions'!$K$68</f>
        <v>50</v>
      </c>
      <c r="AC435" s="2156">
        <f>'DCA Underwriting Assumptions'!$Q$68</f>
        <v>27500</v>
      </c>
      <c r="AD435" s="2156">
        <f>AB435*AC435</f>
        <v>1375000</v>
      </c>
      <c r="AE435" s="2156">
        <f>IF('Part V-Revenues &amp; Expenses'!$P$67&lt;AA436,'Part V-Revenues &amp; Expenses'!$P$67*'Part III-A-Uses of Funds'!AC435,AB435*AC435)</f>
        <v>1375000</v>
      </c>
      <c r="AF435" s="2164">
        <f>SUM(AE435:AE437)</f>
        <v>2200000</v>
      </c>
      <c r="AG435" s="2164">
        <f>'DCA Underwriting Assumptions'!$Q$73</f>
        <v>3500000</v>
      </c>
      <c r="AH435" s="2090">
        <f>MIN(AF435,AG435)</f>
        <v>2200000</v>
      </c>
      <c r="AI435" s="2090"/>
      <c r="AZ435" s="357"/>
      <c r="BA435" s="1624">
        <v>125</v>
      </c>
    </row>
    <row r="436" spans="1:53" s="1821" customFormat="1" ht="12.6" customHeight="1">
      <c r="B436" s="1821" t="s">
        <v>1717</v>
      </c>
      <c r="F436" s="2092">
        <f>IF($G$127=0,0,G436/$G$127)</f>
        <v>0</v>
      </c>
      <c r="G436" s="2083">
        <f>'Part III-A-Uses of Funds'!G126</f>
        <v>0</v>
      </c>
      <c r="H436" s="2083"/>
      <c r="J436" s="2083">
        <f>'Part III-A-Uses of Funds'!J126</f>
        <v>0</v>
      </c>
      <c r="K436" s="2083"/>
      <c r="L436" s="2112"/>
      <c r="M436" s="2083">
        <f>'Part III-A-Uses of Funds'!M126</f>
        <v>0</v>
      </c>
      <c r="N436" s="2083"/>
      <c r="P436" s="2083">
        <f>'Part III-A-Uses of Funds'!P126</f>
        <v>0</v>
      </c>
      <c r="Q436" s="2083"/>
      <c r="S436" s="2083">
        <f>'Part III-A-Uses of Funds'!S126</f>
        <v>0</v>
      </c>
      <c r="T436" s="2083"/>
      <c r="V436" s="2113"/>
      <c r="W436" s="2114"/>
      <c r="X436" s="2114"/>
      <c r="Y436" s="357"/>
      <c r="Z436" s="1750"/>
      <c r="AA436" s="2163">
        <f>'DCA Underwriting Assumptions'!$J$69</f>
        <v>51</v>
      </c>
      <c r="AB436" s="2163">
        <f>'DCA Underwriting Assumptions'!$K$69</f>
        <v>70</v>
      </c>
      <c r="AC436" s="2156">
        <f>'DCA Underwriting Assumptions'!$Q$69</f>
        <v>22000</v>
      </c>
      <c r="AD436" s="2156">
        <f>(AB436-AB435)*AC436</f>
        <v>440000</v>
      </c>
      <c r="AE436" s="2156">
        <f>IF(AND('Part V-Revenues &amp; Expenses'!$P$67&gt;AB435,'Part V-Revenues &amp; Expenses'!$P$67&lt;AA437),('Part V-Revenues &amp; Expenses'!$P$67-AB435)*'Part III-A-Uses of Funds'!AC436,IF(AND('Part V-Revenues &amp; Expenses'!$P$67&gt;AB435,'Part V-Revenues &amp; Expenses'!$P$67&gt;AB436),(AB436-AB435)*'Part III-A-Uses of Funds'!AC436,0))</f>
        <v>0</v>
      </c>
      <c r="AF436" s="2164"/>
      <c r="AG436" s="2164"/>
      <c r="AH436" s="2090"/>
      <c r="AI436" s="2090"/>
      <c r="BA436" s="1624">
        <v>126</v>
      </c>
    </row>
    <row r="437" spans="1:53" s="1821" customFormat="1" ht="12.6" customHeight="1">
      <c r="A437" s="2023" t="str">
        <f>IF(G437&gt;E437,"DF over limit!  Round down/Enter nbr.","")</f>
        <v/>
      </c>
      <c r="B437" s="2166"/>
      <c r="D437" s="2099" t="s">
        <v>3927</v>
      </c>
      <c r="E437" s="2167" t="str">
        <f>IF(E431="9%",AH432,IF(E431="4%",AH435,"Select App Type!"))</f>
        <v>Select App Type!</v>
      </c>
      <c r="F437" s="2117" t="s">
        <v>184</v>
      </c>
      <c r="G437" s="2109">
        <f>SUM(G432:G436)</f>
        <v>2640000</v>
      </c>
      <c r="H437" s="2109"/>
      <c r="J437" s="2109">
        <f>SUM(J432:J436)</f>
        <v>2640000</v>
      </c>
      <c r="K437" s="2109"/>
      <c r="L437" s="2112"/>
      <c r="M437" s="2109">
        <f>SUM(M432:M436)</f>
        <v>0</v>
      </c>
      <c r="N437" s="2109"/>
      <c r="P437" s="2109">
        <f>SUM(P432:P436)</f>
        <v>0</v>
      </c>
      <c r="Q437" s="2109"/>
      <c r="S437" s="2109">
        <f>SUM(S432:S436)</f>
        <v>0</v>
      </c>
      <c r="T437" s="2109"/>
      <c r="V437" s="2113">
        <f>SUM(V432:V436)</f>
        <v>0</v>
      </c>
      <c r="W437" s="2114"/>
      <c r="X437" s="2114"/>
      <c r="Y437" s="357"/>
      <c r="Z437" s="1750"/>
      <c r="AA437" s="2163">
        <f>'DCA Underwriting Assumptions'!$J$70</f>
        <v>71</v>
      </c>
      <c r="AB437" s="1750"/>
      <c r="AC437" s="2156">
        <f>'DCA Underwriting Assumptions'!$Q$70</f>
        <v>16500</v>
      </c>
      <c r="AD437" s="2156">
        <f>AG435-AD436-AD435</f>
        <v>1685000</v>
      </c>
      <c r="AE437" s="2156">
        <f>MIN(AD437,IF('Part V-Revenues &amp; Expenses'!$P$67&gt;AB436,('Part V-Revenues &amp; Expenses'!$P$67-AB436)*AC437,0))</f>
        <v>825000</v>
      </c>
      <c r="AF437" s="2164"/>
      <c r="AG437" s="2164"/>
      <c r="AH437" s="2090"/>
      <c r="AI437" s="2090"/>
      <c r="BA437" s="1624">
        <v>127</v>
      </c>
    </row>
    <row r="438" spans="1:53" s="1821" customFormat="1" ht="13.35" customHeight="1">
      <c r="B438" s="1821" t="s">
        <v>1232</v>
      </c>
      <c r="J438" s="2109"/>
      <c r="K438" s="2109"/>
      <c r="M438" s="2109"/>
      <c r="N438" s="2109"/>
      <c r="O438" s="2112" t="str">
        <f>B438</f>
        <v>START-UP AND RESERVES</v>
      </c>
      <c r="P438" s="2109"/>
      <c r="Q438" s="2109"/>
      <c r="S438" s="2109"/>
      <c r="T438" s="2109"/>
      <c r="V438" s="2118"/>
      <c r="W438" s="1821" t="str">
        <f>B438</f>
        <v>START-UP AND RESERVES</v>
      </c>
      <c r="Y438" s="807"/>
      <c r="Z438" s="808"/>
      <c r="AB438" s="807"/>
      <c r="AC438" s="357"/>
      <c r="AD438" s="357"/>
      <c r="AF438" s="357"/>
      <c r="AG438" s="357"/>
      <c r="AH438" s="357"/>
      <c r="AI438" s="357"/>
      <c r="AJ438" s="357"/>
      <c r="AK438" s="357"/>
      <c r="AZ438" s="1821" t="s">
        <v>6398</v>
      </c>
      <c r="BA438" s="1624">
        <v>128</v>
      </c>
    </row>
    <row r="439" spans="1:53" s="1821" customFormat="1" ht="12.6" customHeight="1">
      <c r="B439" s="1821" t="s">
        <v>241</v>
      </c>
      <c r="G439" s="2083">
        <f>'Part III-A-Uses of Funds'!G129</f>
        <v>3000</v>
      </c>
      <c r="H439" s="2083"/>
      <c r="J439" s="2150"/>
      <c r="K439" s="2150"/>
      <c r="L439" s="2150"/>
      <c r="M439" s="2150"/>
      <c r="N439" s="2150"/>
      <c r="P439" s="2150"/>
      <c r="Q439" s="2150"/>
      <c r="S439" s="2083">
        <f>'Part III-A-Uses of Funds'!S129</f>
        <v>3000</v>
      </c>
      <c r="T439" s="2083"/>
      <c r="V439" s="2113"/>
      <c r="W439" s="2114"/>
      <c r="X439" s="2114"/>
      <c r="Z439" s="808"/>
      <c r="AB439" s="807"/>
      <c r="AC439" s="357"/>
      <c r="AD439" s="357"/>
      <c r="AF439" s="357"/>
      <c r="AG439" s="357"/>
      <c r="AH439" s="357"/>
      <c r="AI439" s="357"/>
      <c r="AJ439" s="357"/>
      <c r="AK439" s="357"/>
      <c r="AZ439" s="1821" t="s">
        <v>6399</v>
      </c>
      <c r="BA439" s="1624">
        <v>129</v>
      </c>
    </row>
    <row r="440" spans="1:53" s="1821" customFormat="1" ht="12.6" customHeight="1">
      <c r="B440" s="1821" t="s">
        <v>1437</v>
      </c>
      <c r="F440" s="2120">
        <f>+'Part V-Revenues &amp; Expenses'!$Q$228*('DCA Underwriting Assumptions'!$Q$87/12)</f>
        <v>216018.75</v>
      </c>
      <c r="G440" s="2083">
        <f>'Part III-A-Uses of Funds'!G130</f>
        <v>216019</v>
      </c>
      <c r="H440" s="2083"/>
      <c r="J440" s="2168" t="str">
        <f>IF(E440&gt;G440,"WARNING! Rent-Up Reserves proposed is below minimum - add comment.","")</f>
        <v/>
      </c>
      <c r="K440" s="2168"/>
      <c r="L440" s="2112"/>
      <c r="M440" s="2109"/>
      <c r="N440" s="2109"/>
      <c r="P440" s="2109"/>
      <c r="Q440" s="2109"/>
      <c r="S440" s="2083">
        <f>'Part III-A-Uses of Funds'!S130</f>
        <v>216019</v>
      </c>
      <c r="T440" s="2083"/>
      <c r="V440" s="2113"/>
      <c r="W440" s="2114"/>
      <c r="X440" s="2114"/>
      <c r="Y440" s="357"/>
      <c r="Z440" s="2162"/>
      <c r="AB440" s="403"/>
      <c r="AD440" s="357"/>
      <c r="AG440" s="357"/>
      <c r="AH440" s="357"/>
      <c r="AI440" s="357"/>
      <c r="BA440" s="1624">
        <v>130</v>
      </c>
    </row>
    <row r="441" spans="1:53" s="1821" customFormat="1" ht="12.6" customHeight="1">
      <c r="B441" s="1821" t="s">
        <v>632</v>
      </c>
      <c r="F441" s="2120">
        <f>'Part V-Revenues &amp; Expenses'!$Q$228*('DCA Underwriting Assumptions'!$Q$86/12)+('Part VI-Pro Forma'!$B$26+'Part VI-Pro Forma'!$B$27+'Part VI-Pro Forma'!$B$28+'Part VI-Pro Forma'!$B$29)*'DCA Underwriting Assumptions'!$Q$85/(-12)</f>
        <v>787716.93899975833</v>
      </c>
      <c r="G441" s="2083">
        <f>'Part III-A-Uses of Funds'!G131</f>
        <v>793965</v>
      </c>
      <c r="H441" s="2083"/>
      <c r="J441" s="2168" t="str">
        <f>IF(E441&gt;G441,"WARNING! ODR proposed is below minimum - add comment.","")</f>
        <v/>
      </c>
      <c r="K441" s="2150"/>
      <c r="L441" s="2150"/>
      <c r="M441" s="2150"/>
      <c r="N441" s="2150"/>
      <c r="P441" s="2150"/>
      <c r="Q441" s="2150"/>
      <c r="S441" s="2083">
        <f>'Part III-A-Uses of Funds'!S131</f>
        <v>793965</v>
      </c>
      <c r="T441" s="2083"/>
      <c r="V441" s="2113"/>
      <c r="W441" s="2114"/>
      <c r="X441" s="2114"/>
      <c r="Y441" s="357"/>
      <c r="Z441" s="2162"/>
      <c r="AB441" s="403"/>
      <c r="AD441" s="357"/>
      <c r="AG441" s="357"/>
      <c r="AH441" s="357"/>
      <c r="AI441" s="357"/>
      <c r="BA441" s="1624">
        <v>131</v>
      </c>
    </row>
    <row r="442" spans="1:53" s="1821" customFormat="1" ht="12.6" customHeight="1">
      <c r="B442" s="1821" t="s">
        <v>1171</v>
      </c>
      <c r="G442" s="2083">
        <f>'Part III-A-Uses of Funds'!G132</f>
        <v>0</v>
      </c>
      <c r="H442" s="2083"/>
      <c r="J442" s="2150"/>
      <c r="K442" s="2150"/>
      <c r="L442" s="2150"/>
      <c r="M442" s="2150"/>
      <c r="N442" s="2150"/>
      <c r="P442" s="2150"/>
      <c r="Q442" s="2150"/>
      <c r="S442" s="2083">
        <f>'Part III-A-Uses of Funds'!S132</f>
        <v>0</v>
      </c>
      <c r="T442" s="2083"/>
      <c r="V442" s="2113"/>
      <c r="W442" s="2114"/>
      <c r="X442" s="2114"/>
      <c r="AZ442" s="1821" t="s">
        <v>6400</v>
      </c>
      <c r="BA442" s="1624">
        <v>132</v>
      </c>
    </row>
    <row r="443" spans="1:53" s="1821" customFormat="1" ht="12.6" customHeight="1">
      <c r="B443" s="1821" t="s">
        <v>1172</v>
      </c>
      <c r="E443" s="2119" t="s">
        <v>3141</v>
      </c>
      <c r="F443" s="2120">
        <f>IF('Part V-Revenues &amp; Expenses'!$P$67=0,0,G443/'Part V-Revenues &amp; Expenses'!$P$67)</f>
        <v>1263.5166666666667</v>
      </c>
      <c r="G443" s="2083">
        <f>'Part III-A-Uses of Funds'!G133</f>
        <v>151622</v>
      </c>
      <c r="H443" s="2083"/>
      <c r="J443" s="2083">
        <f>'Part III-A-Uses of Funds'!J133</f>
        <v>151622</v>
      </c>
      <c r="K443" s="2083"/>
      <c r="L443" s="2112"/>
      <c r="M443" s="2083">
        <f>'Part III-A-Uses of Funds'!M133</f>
        <v>0</v>
      </c>
      <c r="N443" s="2083"/>
      <c r="P443" s="2083">
        <f>'Part III-A-Uses of Funds'!P133</f>
        <v>0</v>
      </c>
      <c r="Q443" s="2083"/>
      <c r="S443" s="2083">
        <f>'Part III-A-Uses of Funds'!S133</f>
        <v>0</v>
      </c>
      <c r="T443" s="2083"/>
      <c r="V443" s="2113"/>
      <c r="W443" s="2114"/>
      <c r="X443" s="2114"/>
      <c r="AZ443" s="1821" t="s">
        <v>6401</v>
      </c>
      <c r="BA443" s="1624">
        <v>133</v>
      </c>
    </row>
    <row r="444" spans="1:53" s="1821" customFormat="1" ht="12.6" customHeight="1">
      <c r="A444" s="2115" t="str">
        <f>IF(AND(G444&gt;0,OR(C444="",C444="&lt;Enter detailed description here; use Comments section if needed&gt;")),"X","")</f>
        <v/>
      </c>
      <c r="B444" s="2029" t="s">
        <v>6284</v>
      </c>
      <c r="C444" s="2033" t="str">
        <f>'Part III-A-Uses of Funds'!C134</f>
        <v>&lt;&lt; Enter description here; provide detail &amp; justification in tab Part III-b &gt;&gt;</v>
      </c>
      <c r="D444" s="2116"/>
      <c r="E444" s="2116"/>
      <c r="F444" s="2116"/>
      <c r="G444" s="2083">
        <f>'Part III-A-Uses of Funds'!G134</f>
        <v>0</v>
      </c>
      <c r="H444" s="2083"/>
      <c r="J444" s="2083">
        <f>'Part III-A-Uses of Funds'!J134</f>
        <v>0</v>
      </c>
      <c r="K444" s="2083"/>
      <c r="L444" s="2112"/>
      <c r="M444" s="2083">
        <f>'Part III-A-Uses of Funds'!M134</f>
        <v>0</v>
      </c>
      <c r="N444" s="2083"/>
      <c r="P444" s="2083">
        <f>'Part III-A-Uses of Funds'!P134</f>
        <v>0</v>
      </c>
      <c r="Q444" s="2083"/>
      <c r="S444" s="2083">
        <f>'Part III-A-Uses of Funds'!S134</f>
        <v>0</v>
      </c>
      <c r="T444" s="2083"/>
      <c r="U444" s="2030" t="str">
        <f>IF(AND(G444&gt;0,OR(C444="",C444="&lt;Enter detailed description here; use Comments section if needed&gt;")),"NO DESCRIPTION PROVIDED - please enter detailed description in Other box at left; use Comments section below if needed.","")</f>
        <v/>
      </c>
      <c r="V444" s="2113"/>
      <c r="W444" s="2114"/>
      <c r="X444" s="2114"/>
      <c r="BA444" s="1624">
        <v>134</v>
      </c>
    </row>
    <row r="445" spans="1:53" s="1821" customFormat="1" ht="12.6" customHeight="1">
      <c r="B445" s="2169"/>
      <c r="F445" s="2117" t="s">
        <v>184</v>
      </c>
      <c r="G445" s="2109">
        <f>SUM(G439:G444)</f>
        <v>1164606</v>
      </c>
      <c r="H445" s="2109"/>
      <c r="J445" s="2109">
        <f>SUM(J443:J444)</f>
        <v>151622</v>
      </c>
      <c r="K445" s="2109"/>
      <c r="L445" s="2112"/>
      <c r="M445" s="2109">
        <f>SUM(M443:M444)</f>
        <v>0</v>
      </c>
      <c r="N445" s="2109"/>
      <c r="P445" s="2109">
        <f>SUM(P443:P444)</f>
        <v>0</v>
      </c>
      <c r="Q445" s="2109"/>
      <c r="S445" s="2109">
        <f>SUM(S439:S444)</f>
        <v>1012984</v>
      </c>
      <c r="T445" s="2109"/>
      <c r="V445" s="2113">
        <f>SUM(V439:V444)</f>
        <v>0</v>
      </c>
      <c r="W445" s="2114"/>
      <c r="X445" s="2114"/>
      <c r="BA445" s="1624">
        <v>135</v>
      </c>
    </row>
    <row r="446" spans="1:53" s="1821" customFormat="1" ht="3" customHeight="1">
      <c r="I446" s="2170"/>
      <c r="L446" s="2170"/>
      <c r="V446" s="2118"/>
      <c r="BA446" s="1624">
        <v>136</v>
      </c>
    </row>
    <row r="447" spans="1:53" s="1821" customFormat="1" ht="3.6" customHeight="1">
      <c r="D447" s="2030"/>
      <c r="E447" s="2030"/>
      <c r="I447" s="2171"/>
      <c r="J447" s="2171"/>
      <c r="K447" s="2172"/>
      <c r="L447" s="2030"/>
      <c r="V447" s="2118"/>
      <c r="BA447" s="1624">
        <v>137</v>
      </c>
    </row>
    <row r="448" spans="1:53" s="1821" customFormat="1" ht="6" customHeight="1">
      <c r="A448" s="1624"/>
      <c r="B448" s="1624"/>
      <c r="C448" s="1624"/>
      <c r="D448" s="1624"/>
      <c r="E448" s="1624"/>
      <c r="F448" s="1624"/>
      <c r="G448" s="1624"/>
      <c r="H448" s="1624"/>
      <c r="I448" s="1624"/>
      <c r="J448" s="1624"/>
      <c r="K448" s="1624"/>
      <c r="L448" s="1624"/>
      <c r="M448" s="1624"/>
      <c r="N448" s="1624"/>
      <c r="O448" s="1624"/>
      <c r="P448" s="1624"/>
      <c r="Q448" s="1624"/>
      <c r="R448" s="1624"/>
      <c r="S448" s="1624"/>
      <c r="T448" s="1624"/>
      <c r="V448" s="2118"/>
      <c r="BA448" s="1624">
        <v>138</v>
      </c>
    </row>
    <row r="449" spans="1:53" s="1821" customFormat="1" ht="18" customHeight="1">
      <c r="A449" s="2108" t="s">
        <v>573</v>
      </c>
      <c r="B449" s="2108" t="s">
        <v>6839</v>
      </c>
      <c r="J449" s="2020" t="s">
        <v>259</v>
      </c>
      <c r="K449" s="2020"/>
      <c r="L449" s="2109"/>
      <c r="M449" s="2110" t="s">
        <v>460</v>
      </c>
      <c r="N449" s="2110"/>
      <c r="P449" s="2020" t="s">
        <v>260</v>
      </c>
      <c r="Q449" s="2020"/>
      <c r="S449" s="2020" t="s">
        <v>261</v>
      </c>
      <c r="T449" s="2020"/>
      <c r="V449" s="2111" t="str">
        <f>B449</f>
        <v>DEVELOPMENT BUDGET  (cont'd)</v>
      </c>
      <c r="BA449" s="1624">
        <v>139</v>
      </c>
    </row>
    <row r="450" spans="1:53" s="1821" customFormat="1" ht="18" customHeight="1">
      <c r="G450" s="1821" t="s">
        <v>95</v>
      </c>
      <c r="J450" s="2020"/>
      <c r="K450" s="2020"/>
      <c r="L450" s="2109"/>
      <c r="M450" s="2110"/>
      <c r="N450" s="2110"/>
      <c r="P450" s="2020"/>
      <c r="Q450" s="2020"/>
      <c r="S450" s="2020"/>
      <c r="T450" s="2020"/>
      <c r="V450" s="378" t="s">
        <v>2449</v>
      </c>
      <c r="X450" s="378"/>
      <c r="BA450" s="1624">
        <v>140</v>
      </c>
    </row>
    <row r="451" spans="1:53" s="1821" customFormat="1" ht="13.35" customHeight="1">
      <c r="B451" s="1821" t="s">
        <v>568</v>
      </c>
      <c r="C451" s="2030"/>
      <c r="H451" s="2171"/>
      <c r="I451" s="2171"/>
      <c r="J451" s="2109"/>
      <c r="K451" s="2109"/>
      <c r="M451" s="2109"/>
      <c r="N451" s="2109"/>
      <c r="O451" s="2112" t="str">
        <f>B451</f>
        <v>OTHER COSTS</v>
      </c>
      <c r="P451" s="2109"/>
      <c r="Q451" s="2109"/>
      <c r="S451" s="2109"/>
      <c r="T451" s="2109"/>
      <c r="V451" s="2118"/>
      <c r="W451" s="1821" t="str">
        <f>B451</f>
        <v>OTHER COSTS</v>
      </c>
      <c r="BA451" s="1624">
        <v>141</v>
      </c>
    </row>
    <row r="452" spans="1:53" s="1821" customFormat="1" ht="12.6" customHeight="1">
      <c r="B452" s="1821" t="s">
        <v>569</v>
      </c>
      <c r="C452" s="2030"/>
      <c r="G452" s="2083">
        <f>'Part III-A-Uses of Funds'!G142</f>
        <v>249950</v>
      </c>
      <c r="H452" s="2083"/>
      <c r="J452" s="2083">
        <f>'Part III-A-Uses of Funds'!J142</f>
        <v>249950</v>
      </c>
      <c r="K452" s="2083"/>
      <c r="L452" s="2112"/>
      <c r="M452" s="2083">
        <f>'Part III-A-Uses of Funds'!M142</f>
        <v>0</v>
      </c>
      <c r="N452" s="2083"/>
      <c r="P452" s="2083">
        <f>'Part III-A-Uses of Funds'!P142</f>
        <v>0</v>
      </c>
      <c r="Q452" s="2083"/>
      <c r="S452" s="2083">
        <f>'Part III-A-Uses of Funds'!S142</f>
        <v>0</v>
      </c>
      <c r="T452" s="2083"/>
      <c r="V452" s="2113"/>
      <c r="W452" s="2114"/>
      <c r="X452" s="2114"/>
      <c r="BA452" s="1624">
        <v>142</v>
      </c>
    </row>
    <row r="453" spans="1:53" s="1821" customFormat="1" ht="12.6" customHeight="1">
      <c r="A453" s="2115" t="str">
        <f>IF(AND(G453&gt;0,OR(C453="",C453="&lt;Enter detailed description here; use Comments section if needed&gt;")),"X","")</f>
        <v/>
      </c>
      <c r="B453" s="2029" t="s">
        <v>6284</v>
      </c>
      <c r="C453" s="2033" t="str">
        <f>'Part III-A-Uses of Funds'!C143</f>
        <v>&lt;&lt; Enter description here; provide detail &amp; justification in tab Part III-b &gt;&gt;</v>
      </c>
      <c r="D453" s="2116"/>
      <c r="E453" s="2116"/>
      <c r="F453" s="2116"/>
      <c r="G453" s="2083">
        <f>'Part III-A-Uses of Funds'!G143</f>
        <v>0</v>
      </c>
      <c r="H453" s="2083"/>
      <c r="J453" s="2083">
        <f>'Part III-A-Uses of Funds'!J143</f>
        <v>0</v>
      </c>
      <c r="K453" s="2083"/>
      <c r="L453" s="2112"/>
      <c r="M453" s="2083">
        <f>'Part III-A-Uses of Funds'!M143</f>
        <v>0</v>
      </c>
      <c r="N453" s="2083"/>
      <c r="P453" s="2083">
        <f>'Part III-A-Uses of Funds'!P143</f>
        <v>0</v>
      </c>
      <c r="Q453" s="2083"/>
      <c r="S453" s="2083">
        <f>'Part III-A-Uses of Funds'!S143</f>
        <v>0</v>
      </c>
      <c r="T453" s="2083"/>
      <c r="U453" s="2030" t="str">
        <f>IF(AND(G453&gt;0,OR(C453="",C453="&lt;Enter detailed description here; use Comments section if needed&gt;")),"NO DESCRIPTION PROVIDED - please enter detailed description in Other box at left; use Comments section below if needed.","")</f>
        <v/>
      </c>
      <c r="V453" s="2113"/>
      <c r="W453" s="2114"/>
      <c r="X453" s="2114"/>
      <c r="BA453" s="1624">
        <v>143</v>
      </c>
    </row>
    <row r="454" spans="1:53" s="1821" customFormat="1" ht="12.6" customHeight="1">
      <c r="C454" s="2030"/>
      <c r="F454" s="2117" t="s">
        <v>184</v>
      </c>
      <c r="G454" s="2109">
        <f>SUM(G452:G453)</f>
        <v>249950</v>
      </c>
      <c r="H454" s="2109"/>
      <c r="J454" s="2109">
        <f>SUM(J452:J453)</f>
        <v>249950</v>
      </c>
      <c r="K454" s="2109"/>
      <c r="L454" s="2112"/>
      <c r="M454" s="2109">
        <f>SUM(M452:M453)</f>
        <v>0</v>
      </c>
      <c r="N454" s="2109"/>
      <c r="P454" s="2109">
        <f>SUM(P452:P453)</f>
        <v>0</v>
      </c>
      <c r="Q454" s="2109"/>
      <c r="S454" s="2109">
        <f>SUM(S452:S453)</f>
        <v>0</v>
      </c>
      <c r="T454" s="2109"/>
      <c r="V454" s="2113">
        <f>SUM(V452:V453)</f>
        <v>0</v>
      </c>
      <c r="W454" s="2114"/>
      <c r="X454" s="2114"/>
      <c r="BA454" s="1624">
        <v>144</v>
      </c>
    </row>
    <row r="455" spans="1:53" s="1821" customFormat="1" ht="15" customHeight="1">
      <c r="C455" s="2030"/>
      <c r="H455" s="2171"/>
      <c r="I455" s="2171"/>
      <c r="V455" s="2118"/>
      <c r="W455" s="2160"/>
      <c r="X455" s="2160"/>
      <c r="BA455" s="1624">
        <v>145</v>
      </c>
    </row>
    <row r="456" spans="1:53" s="1821" customFormat="1" ht="18.75" customHeight="1">
      <c r="B456" s="2173" t="s">
        <v>6840</v>
      </c>
      <c r="E456" s="2119"/>
      <c r="F456" s="2174"/>
      <c r="G456" s="2109">
        <f>G328+G334+G338+G346+G351+G356+G365+G383+G396+G402+G413+G424+G430+G437+G445+G454</f>
        <v>36348071</v>
      </c>
      <c r="H456" s="2109"/>
      <c r="J456" s="2109">
        <f>J328+J334+J338+J346+J351+J356+J365+J383+J396+J402+J413+J424+J430+J437+J445+J454</f>
        <v>33363630</v>
      </c>
      <c r="K456" s="2109"/>
      <c r="M456" s="2109">
        <f>M328+M334+M338+M346+M351+M356+M365+M383+M396+M402+M413+M424+M430+M437+M445+M454</f>
        <v>0</v>
      </c>
      <c r="N456" s="2109"/>
      <c r="P456" s="2109">
        <f>P328+P334+P338+P346+P351+P356+P365+P383+P396+P402+P413+P424+P430+P437+P445+P454</f>
        <v>0</v>
      </c>
      <c r="Q456" s="2109"/>
      <c r="S456" s="2109">
        <f>S328+S334+S338+S346+S351+S356+S365+S383+S396+S402+S413+S424+S430+S437+S445+S454</f>
        <v>2984441</v>
      </c>
      <c r="T456" s="2109"/>
      <c r="V456" s="2113">
        <f>V328+V334+V338+V346+V351+V356+V365+V383+V396+V402+V413+V424+V430+V437+V445+V454</f>
        <v>0</v>
      </c>
      <c r="W456" s="2114"/>
      <c r="X456" s="2114"/>
      <c r="BA456" s="1624">
        <v>146</v>
      </c>
    </row>
    <row r="457" spans="1:53" s="1821" customFormat="1" ht="12" customHeight="1">
      <c r="C457" s="2030"/>
      <c r="H457" s="2171"/>
      <c r="I457" s="2171"/>
      <c r="V457" s="2118"/>
      <c r="BA457" s="1624">
        <v>147</v>
      </c>
    </row>
    <row r="458" spans="1:53" s="1821" customFormat="1" ht="14.1" customHeight="1">
      <c r="B458" s="2127" t="s">
        <v>6754</v>
      </c>
      <c r="C458" s="2131"/>
      <c r="D458" s="2175">
        <f>IF('Part V-Revenues &amp; Expenses'!$P$67=0,0,G456/'Part V-Revenues &amp; Expenses'!$P$67)</f>
        <v>302900.59166666667</v>
      </c>
      <c r="E458" s="2175"/>
      <c r="F458" s="2169" t="s">
        <v>2490</v>
      </c>
      <c r="G458" s="2175">
        <f>IF('Part V-Revenues &amp; Expenses'!$K$175=0,0,G456/'Part V-Revenues &amp; Expenses'!$K$175)</f>
        <v>233.55439825226497</v>
      </c>
      <c r="H458" s="2175"/>
      <c r="I458" s="2170"/>
      <c r="V458" s="2118"/>
      <c r="BA458" s="1624">
        <v>148</v>
      </c>
    </row>
    <row r="459" spans="1:53" s="1821" customFormat="1" ht="21" customHeight="1">
      <c r="B459" s="2127"/>
      <c r="C459" s="2131"/>
      <c r="D459" s="2176"/>
      <c r="E459" s="2176"/>
      <c r="F459" s="2169"/>
      <c r="G459" s="2175"/>
      <c r="H459" s="2175"/>
      <c r="I459" s="2170"/>
      <c r="V459" s="2118"/>
      <c r="BA459" s="1624">
        <v>149</v>
      </c>
    </row>
    <row r="460" spans="1:53" s="1821" customFormat="1" ht="26.1" customHeight="1">
      <c r="A460" s="2108" t="s">
        <v>689</v>
      </c>
      <c r="B460" s="2177" t="s">
        <v>1342</v>
      </c>
      <c r="C460" s="1624"/>
      <c r="D460" s="2112"/>
      <c r="E460" s="2112"/>
      <c r="F460" s="2112"/>
      <c r="I460" s="2178"/>
      <c r="J460" s="2020" t="s">
        <v>259</v>
      </c>
      <c r="K460" s="2020"/>
      <c r="M460" s="2020" t="s">
        <v>94</v>
      </c>
      <c r="N460" s="2020"/>
      <c r="P460" s="2020" t="s">
        <v>260</v>
      </c>
      <c r="Q460" s="2020"/>
      <c r="V460" s="2118"/>
      <c r="W460" s="2111" t="str">
        <f>B460</f>
        <v>TAX CREDIT CALCULATION - BASIS METHOD</v>
      </c>
      <c r="BA460" s="1624">
        <v>150</v>
      </c>
    </row>
    <row r="461" spans="1:53" s="1821" customFormat="1" ht="15" customHeight="1">
      <c r="B461" s="2030" t="s">
        <v>1895</v>
      </c>
      <c r="D461" s="2112"/>
      <c r="E461" s="2112"/>
      <c r="I461" s="2178"/>
      <c r="J461" s="2020"/>
      <c r="K461" s="2020"/>
      <c r="L461" s="1624"/>
      <c r="M461" s="2020"/>
      <c r="N461" s="2020"/>
      <c r="P461" s="2020"/>
      <c r="Q461" s="2020"/>
      <c r="V461" s="2118"/>
      <c r="W461" s="1821" t="str">
        <f>B461</f>
        <v>Subtractions From Eligible Basis</v>
      </c>
      <c r="X461" s="378"/>
      <c r="BA461" s="1624">
        <v>151</v>
      </c>
    </row>
    <row r="462" spans="1:53" s="1821" customFormat="1" ht="6" customHeight="1">
      <c r="D462" s="2030"/>
      <c r="E462" s="2030"/>
      <c r="I462" s="2171"/>
      <c r="J462" s="2171"/>
      <c r="K462" s="2172"/>
      <c r="L462" s="2030"/>
      <c r="V462" s="2118"/>
      <c r="BA462" s="1624">
        <v>152</v>
      </c>
    </row>
    <row r="463" spans="1:53" s="1821" customFormat="1" ht="14.1" customHeight="1">
      <c r="B463" s="2030" t="s">
        <v>138</v>
      </c>
      <c r="I463" s="2178"/>
      <c r="J463" s="2091">
        <f>'Part III-A-Uses of Funds'!J153</f>
        <v>0</v>
      </c>
      <c r="K463" s="2091"/>
      <c r="P463" s="2091">
        <f>'Part III-A-Uses of Funds'!P153</f>
        <v>0</v>
      </c>
      <c r="Q463" s="2091"/>
      <c r="V463" s="2113"/>
      <c r="W463" s="2114"/>
      <c r="X463" s="2114"/>
      <c r="BA463" s="1624">
        <v>153</v>
      </c>
    </row>
    <row r="464" spans="1:53" s="1821" customFormat="1" ht="14.1" customHeight="1">
      <c r="B464" s="1821" t="s">
        <v>1999</v>
      </c>
      <c r="I464" s="2178"/>
      <c r="J464" s="2091">
        <f>'Part III-A-Uses of Funds'!J154</f>
        <v>0</v>
      </c>
      <c r="K464" s="2091"/>
      <c r="P464" s="2091">
        <f>'Part III-A-Uses of Funds'!P154</f>
        <v>0</v>
      </c>
      <c r="Q464" s="2091"/>
      <c r="V464" s="2113"/>
      <c r="W464" s="2114"/>
      <c r="X464" s="2114"/>
      <c r="BA464" s="1624">
        <v>154</v>
      </c>
    </row>
    <row r="465" spans="2:53" s="1821" customFormat="1" ht="14.1" customHeight="1">
      <c r="B465" s="1821" t="s">
        <v>1727</v>
      </c>
      <c r="I465" s="2178"/>
      <c r="J465" s="2091">
        <f>'Part III-A-Uses of Funds'!J155</f>
        <v>0</v>
      </c>
      <c r="K465" s="2091"/>
      <c r="P465" s="2091">
        <f>'Part III-A-Uses of Funds'!P155</f>
        <v>0</v>
      </c>
      <c r="Q465" s="2091"/>
      <c r="V465" s="2113"/>
      <c r="W465" s="2114"/>
      <c r="X465" s="2114"/>
      <c r="BA465" s="1624">
        <v>155</v>
      </c>
    </row>
    <row r="466" spans="2:53" s="1821" customFormat="1" ht="14.1" customHeight="1">
      <c r="B466" s="1821" t="s">
        <v>1728</v>
      </c>
      <c r="I466" s="2178"/>
      <c r="J466" s="2091">
        <f>'Part III-A-Uses of Funds'!J156</f>
        <v>0</v>
      </c>
      <c r="K466" s="2091"/>
      <c r="P466" s="2091">
        <f>'Part III-A-Uses of Funds'!P156</f>
        <v>0</v>
      </c>
      <c r="Q466" s="2091"/>
      <c r="V466" s="2113"/>
      <c r="W466" s="2114"/>
      <c r="X466" s="2114"/>
      <c r="BA466" s="1624">
        <v>156</v>
      </c>
    </row>
    <row r="467" spans="2:53" s="1821" customFormat="1" ht="14.1" customHeight="1">
      <c r="B467" s="1821" t="s">
        <v>243</v>
      </c>
      <c r="I467" s="2178"/>
      <c r="J467" s="2091">
        <f>'Part III-A-Uses of Funds'!J157</f>
        <v>0</v>
      </c>
      <c r="K467" s="2091"/>
      <c r="P467" s="2091">
        <f>'Part III-A-Uses of Funds'!P157</f>
        <v>0</v>
      </c>
      <c r="Q467" s="2091"/>
      <c r="V467" s="2113"/>
      <c r="W467" s="2114"/>
      <c r="X467" s="2114"/>
      <c r="BA467" s="1624">
        <v>157</v>
      </c>
    </row>
    <row r="468" spans="2:53" s="1821" customFormat="1" ht="14.1" customHeight="1">
      <c r="B468" s="1821" t="s">
        <v>1497</v>
      </c>
      <c r="C468" s="2033" t="str">
        <f>'Part III-A-Uses of Funds'!C158</f>
        <v>&lt;Enter detailed description here; use Comments section if needed&gt;</v>
      </c>
      <c r="D468" s="2065"/>
      <c r="E468" s="2065"/>
      <c r="F468" s="2065"/>
      <c r="G468" s="2065"/>
      <c r="H468" s="2065"/>
      <c r="I468" s="2065"/>
      <c r="J468" s="2091">
        <f>'Part III-A-Uses of Funds'!J158</f>
        <v>0</v>
      </c>
      <c r="K468" s="2091"/>
      <c r="P468" s="2091">
        <f>'Part III-A-Uses of Funds'!P158</f>
        <v>0</v>
      </c>
      <c r="Q468" s="2091"/>
      <c r="V468" s="2113"/>
      <c r="W468" s="2114"/>
      <c r="X468" s="2114"/>
      <c r="BA468" s="1624">
        <v>158</v>
      </c>
    </row>
    <row r="469" spans="2:53" s="1821" customFormat="1" ht="14.1" customHeight="1">
      <c r="B469" s="1821" t="s">
        <v>1729</v>
      </c>
      <c r="C469" s="2054"/>
      <c r="J469" s="2090">
        <f>SUM(J463:K468)</f>
        <v>0</v>
      </c>
      <c r="K469" s="2090"/>
      <c r="P469" s="2090">
        <f>SUM(P463:Q468)</f>
        <v>0</v>
      </c>
      <c r="Q469" s="2090"/>
      <c r="V469" s="2113">
        <f>SUM(V463:V468)</f>
        <v>0</v>
      </c>
      <c r="W469" s="2114"/>
      <c r="X469" s="2114"/>
      <c r="BA469" s="1624">
        <v>159</v>
      </c>
    </row>
    <row r="470" spans="2:53" s="1821" customFormat="1" ht="3" customHeight="1">
      <c r="V470" s="2118"/>
      <c r="BA470" s="1624">
        <v>160</v>
      </c>
    </row>
    <row r="471" spans="2:53" s="1821" customFormat="1" ht="15" customHeight="1">
      <c r="B471" s="1821" t="s">
        <v>2161</v>
      </c>
      <c r="V471" s="2118"/>
      <c r="W471" s="1821" t="str">
        <f>B471</f>
        <v>Eligible Basis Calculation</v>
      </c>
      <c r="BA471" s="1624">
        <v>161</v>
      </c>
    </row>
    <row r="472" spans="2:53" s="1821" customFormat="1" ht="14.1" customHeight="1">
      <c r="B472" s="1821" t="s">
        <v>1666</v>
      </c>
      <c r="J472" s="2090">
        <f>J456</f>
        <v>33363630</v>
      </c>
      <c r="K472" s="2090"/>
      <c r="M472" s="2090">
        <f>M456</f>
        <v>0</v>
      </c>
      <c r="N472" s="2090"/>
      <c r="P472" s="2090">
        <f>P456</f>
        <v>0</v>
      </c>
      <c r="Q472" s="2090"/>
      <c r="R472" s="2179" t="s">
        <v>3777</v>
      </c>
      <c r="S472" s="2179"/>
      <c r="T472" s="2179"/>
      <c r="V472" s="2113"/>
      <c r="W472" s="2114"/>
      <c r="X472" s="2114"/>
      <c r="BA472" s="1624">
        <v>162</v>
      </c>
    </row>
    <row r="473" spans="2:53" s="1821" customFormat="1" ht="14.1" customHeight="1">
      <c r="B473" s="1821" t="s">
        <v>2053</v>
      </c>
      <c r="J473" s="2090">
        <f>J469</f>
        <v>0</v>
      </c>
      <c r="K473" s="2090"/>
      <c r="M473" s="2090"/>
      <c r="N473" s="2090"/>
      <c r="P473" s="2090">
        <f>P469</f>
        <v>0</v>
      </c>
      <c r="Q473" s="2090"/>
      <c r="R473" s="2179"/>
      <c r="S473" s="2179"/>
      <c r="T473" s="2179"/>
      <c r="U473" s="2039"/>
      <c r="V473" s="2113"/>
      <c r="W473" s="2114"/>
      <c r="X473" s="2114"/>
      <c r="BA473" s="1624">
        <v>163</v>
      </c>
    </row>
    <row r="474" spans="2:53" s="1821" customFormat="1" ht="14.1" customHeight="1">
      <c r="B474" s="1821" t="s">
        <v>2054</v>
      </c>
      <c r="J474" s="2090">
        <f>J472-J473</f>
        <v>33363630</v>
      </c>
      <c r="K474" s="2090"/>
      <c r="M474" s="2090">
        <f>M472</f>
        <v>0</v>
      </c>
      <c r="N474" s="2090"/>
      <c r="P474" s="2090">
        <f>P472-P473</f>
        <v>0</v>
      </c>
      <c r="Q474" s="2090"/>
      <c r="R474" s="2179"/>
      <c r="S474" s="2179"/>
      <c r="T474" s="2179"/>
      <c r="U474" s="2039"/>
      <c r="V474" s="2113"/>
      <c r="W474" s="2114"/>
      <c r="X474" s="2114"/>
      <c r="BA474" s="1624">
        <v>164</v>
      </c>
    </row>
    <row r="475" spans="2:53" s="1821" customFormat="1" ht="14.1" customHeight="1">
      <c r="B475" s="1821" t="s">
        <v>1391</v>
      </c>
      <c r="G475" s="1624" t="s">
        <v>1594</v>
      </c>
      <c r="H475" s="2147" t="str">
        <f>'Part III-A-Uses of Funds'!H165</f>
        <v>DDA/QCT</v>
      </c>
      <c r="I475" s="2026"/>
      <c r="J475" s="2180">
        <f>'Part III-A-Uses of Funds'!J165</f>
        <v>1.3</v>
      </c>
      <c r="K475" s="2180"/>
      <c r="M475" s="2181"/>
      <c r="N475" s="2181"/>
      <c r="P475" s="2180">
        <f>'Part III-A-Uses of Funds'!P165</f>
        <v>0</v>
      </c>
      <c r="Q475" s="2180"/>
      <c r="R475" s="2147" t="str">
        <f>'Part III-A-Uses of Funds'!R165</f>
        <v>&lt;&lt; Select &gt;&gt;</v>
      </c>
      <c r="S475" s="2182"/>
      <c r="T475" s="2182"/>
      <c r="U475" s="2020"/>
      <c r="V475" s="2113"/>
      <c r="W475" s="2114"/>
      <c r="X475" s="2114"/>
      <c r="BA475" s="1624">
        <v>165</v>
      </c>
    </row>
    <row r="476" spans="2:53" s="1821" customFormat="1" ht="14.1" customHeight="1">
      <c r="B476" s="1821" t="s">
        <v>1904</v>
      </c>
      <c r="J476" s="2090">
        <f>J474*J475</f>
        <v>43372719</v>
      </c>
      <c r="K476" s="2090"/>
      <c r="M476" s="2090">
        <f>+M474</f>
        <v>0</v>
      </c>
      <c r="N476" s="2090"/>
      <c r="P476" s="2090">
        <f>P474*P475</f>
        <v>0</v>
      </c>
      <c r="Q476" s="2090"/>
      <c r="R476" s="2182"/>
      <c r="S476" s="2182"/>
      <c r="T476" s="2182"/>
      <c r="U476" s="2020"/>
      <c r="V476" s="2113"/>
      <c r="W476" s="2114"/>
      <c r="X476" s="2114"/>
      <c r="BA476" s="1624">
        <v>166</v>
      </c>
    </row>
    <row r="477" spans="2:53" s="1821" customFormat="1" ht="14.1" customHeight="1">
      <c r="B477" s="1821" t="s">
        <v>2340</v>
      </c>
      <c r="J477" s="2181">
        <f>MIN('Part V-Revenues &amp; Expenses'!$P$63/'Part V-Revenues &amp; Expenses'!$P$65,'Part V-Revenues &amp; Expenses'!$P$164/'Part V-Revenues &amp; Expenses'!$P$166)</f>
        <v>1</v>
      </c>
      <c r="K477" s="2181"/>
      <c r="M477" s="2181">
        <f>MIN('Part V-Revenues &amp; Expenses'!$P$63/'Part V-Revenues &amp; Expenses'!$P$65,'Part V-Revenues &amp; Expenses'!$P$164/'Part V-Revenues &amp; Expenses'!$P$166)</f>
        <v>1</v>
      </c>
      <c r="N477" s="2181"/>
      <c r="P477" s="2181">
        <f>MIN('Part V-Revenues &amp; Expenses'!$P$63/'Part V-Revenues &amp; Expenses'!$P$65,'Part V-Revenues &amp; Expenses'!$P$164/'Part V-Revenues &amp; Expenses'!$P$166)</f>
        <v>1</v>
      </c>
      <c r="Q477" s="2181"/>
      <c r="R477" s="2182"/>
      <c r="S477" s="2182"/>
      <c r="T477" s="2182"/>
      <c r="V477" s="2113"/>
      <c r="W477" s="2114"/>
      <c r="X477" s="2114"/>
      <c r="BA477" s="1624">
        <v>167</v>
      </c>
    </row>
    <row r="478" spans="2:53" s="1821" customFormat="1" ht="14.1" customHeight="1">
      <c r="B478" s="1821" t="s">
        <v>1896</v>
      </c>
      <c r="J478" s="2090">
        <f>J476*J477</f>
        <v>43372719</v>
      </c>
      <c r="K478" s="2090"/>
      <c r="M478" s="2090">
        <f>M476*M477</f>
        <v>0</v>
      </c>
      <c r="N478" s="2090"/>
      <c r="P478" s="2090">
        <f>P476*P477</f>
        <v>0</v>
      </c>
      <c r="Q478" s="2090"/>
      <c r="V478" s="2113"/>
      <c r="W478" s="2114"/>
      <c r="X478" s="2114"/>
      <c r="BA478" s="1624">
        <v>168</v>
      </c>
    </row>
    <row r="479" spans="2:53" s="1821" customFormat="1" ht="14.1" customHeight="1">
      <c r="B479" s="1821" t="s">
        <v>1897</v>
      </c>
      <c r="J479" s="2180">
        <f>'Part III-A-Uses of Funds'!J169</f>
        <v>0.04</v>
      </c>
      <c r="K479" s="2180"/>
      <c r="M479" s="2180">
        <f>'Part III-A-Uses of Funds'!M169</f>
        <v>0.04</v>
      </c>
      <c r="N479" s="2180"/>
      <c r="P479" s="2180">
        <f>'Part III-A-Uses of Funds'!P169</f>
        <v>0</v>
      </c>
      <c r="Q479" s="2180"/>
      <c r="V479" s="2113"/>
      <c r="W479" s="2114"/>
      <c r="X479" s="2114"/>
      <c r="BA479" s="1624">
        <v>169</v>
      </c>
    </row>
    <row r="480" spans="2:53" s="1821" customFormat="1" ht="14.1" customHeight="1">
      <c r="B480" s="1821" t="s">
        <v>2341</v>
      </c>
      <c r="J480" s="2090">
        <f>J478*J479</f>
        <v>1734908.76</v>
      </c>
      <c r="K480" s="2090"/>
      <c r="M480" s="2090">
        <f>M478*M479</f>
        <v>0</v>
      </c>
      <c r="N480" s="2090"/>
      <c r="P480" s="2090">
        <f>P478*P479</f>
        <v>0</v>
      </c>
      <c r="Q480" s="2090"/>
      <c r="V480" s="2113"/>
      <c r="W480" s="2114"/>
      <c r="X480" s="2114"/>
      <c r="BA480" s="1624">
        <v>170</v>
      </c>
    </row>
    <row r="481" spans="1:53" s="1821" customFormat="1" ht="14.1" customHeight="1">
      <c r="B481" s="1821" t="s">
        <v>1340</v>
      </c>
      <c r="J481" s="2090">
        <f>ROUNDDOWN(J480+M480+P480,0)</f>
        <v>1734908</v>
      </c>
      <c r="K481" s="2090"/>
      <c r="L481" s="2090"/>
      <c r="M481" s="2090"/>
      <c r="N481" s="2090"/>
      <c r="O481" s="2090"/>
      <c r="P481" s="2090"/>
      <c r="Q481" s="2090"/>
      <c r="V481" s="2113"/>
      <c r="W481" s="2160"/>
      <c r="X481" s="2160"/>
      <c r="BA481" s="1624">
        <v>171</v>
      </c>
    </row>
    <row r="482" spans="1:53" s="1821" customFormat="1" ht="6" customHeight="1">
      <c r="B482" s="2183"/>
      <c r="L482" s="2107"/>
      <c r="M482" s="2107"/>
      <c r="N482" s="2107"/>
      <c r="O482" s="2107"/>
      <c r="V482" s="2118"/>
      <c r="BA482" s="1624">
        <v>172</v>
      </c>
    </row>
    <row r="483" spans="1:53" s="1821" customFormat="1" ht="14.1" customHeight="1">
      <c r="A483" s="2111" t="s">
        <v>691</v>
      </c>
      <c r="B483" s="2111" t="s">
        <v>1343</v>
      </c>
      <c r="H483" s="2171"/>
      <c r="I483" s="2171"/>
      <c r="M483" s="2184"/>
      <c r="V483" s="2118"/>
      <c r="BA483" s="1624">
        <v>173</v>
      </c>
    </row>
    <row r="484" spans="1:53" s="1821" customFormat="1" ht="3" customHeight="1">
      <c r="H484" s="2171"/>
      <c r="I484" s="2171"/>
      <c r="M484" s="2184"/>
      <c r="BA484" s="1624">
        <v>174</v>
      </c>
    </row>
    <row r="485" spans="1:53" s="1821" customFormat="1" ht="15" customHeight="1">
      <c r="B485" s="1821" t="s">
        <v>167</v>
      </c>
      <c r="V485" s="2118"/>
      <c r="W485" s="2111" t="str">
        <f>B483</f>
        <v>TAX CREDIT CALCULATION - GAP METHOD</v>
      </c>
      <c r="BA485" s="1624">
        <v>175</v>
      </c>
    </row>
    <row r="486" spans="1:53" s="1821" customFormat="1" ht="15" customHeight="1">
      <c r="B486" s="1821" t="s">
        <v>6841</v>
      </c>
      <c r="J486" s="2090">
        <f>G456</f>
        <v>36348071</v>
      </c>
      <c r="K486" s="2090"/>
      <c r="L486" s="2090"/>
      <c r="N486" s="2179" t="s">
        <v>6720</v>
      </c>
      <c r="O486" s="2179"/>
      <c r="P486" s="2179"/>
      <c r="Q486" s="2179"/>
      <c r="S486" s="2039" t="s">
        <v>3191</v>
      </c>
      <c r="T486" s="2039"/>
      <c r="V486" s="2113"/>
      <c r="W486" s="2114"/>
      <c r="X486" s="2114"/>
      <c r="BA486" s="1624">
        <v>176</v>
      </c>
    </row>
    <row r="487" spans="1:53" s="1821" customFormat="1" ht="14.1" customHeight="1">
      <c r="B487" s="1821" t="s">
        <v>252</v>
      </c>
      <c r="J487" s="2090">
        <f>'Part II-Sources of Funds'!$I$60-'Part II-Sources of Funds'!$I$44-'Part II-Sources of Funds'!$I$45-'Part II-Sources of Funds'!$I$51-'Part II-Sources of Funds'!$I$52</f>
        <v>10500000</v>
      </c>
      <c r="K487" s="2090"/>
      <c r="L487" s="2090"/>
      <c r="M487" s="2179"/>
      <c r="N487" s="2179"/>
      <c r="O487" s="2179"/>
      <c r="P487" s="2179"/>
      <c r="Q487" s="2179"/>
      <c r="S487" s="2039"/>
      <c r="T487" s="2039"/>
      <c r="V487" s="2113"/>
      <c r="W487" s="2114"/>
      <c r="X487" s="2114"/>
      <c r="BA487" s="1624">
        <v>177</v>
      </c>
    </row>
    <row r="488" spans="1:53" s="1821" customFormat="1" ht="14.1" customHeight="1">
      <c r="B488" s="1821" t="s">
        <v>2065</v>
      </c>
      <c r="J488" s="2090">
        <f>+J486-J487</f>
        <v>25848071</v>
      </c>
      <c r="K488" s="2090"/>
      <c r="L488" s="2090"/>
      <c r="M488" s="2179"/>
      <c r="N488" s="2179"/>
      <c r="O488" s="2179"/>
      <c r="P488" s="2179"/>
      <c r="Q488" s="2179"/>
      <c r="S488" s="2039"/>
      <c r="T488" s="2039"/>
      <c r="V488" s="2113"/>
      <c r="W488" s="2114"/>
      <c r="X488" s="2114"/>
      <c r="BA488" s="1624">
        <v>178</v>
      </c>
    </row>
    <row r="489" spans="1:53" s="1821" customFormat="1" ht="14.1" customHeight="1">
      <c r="B489" s="1821" t="s">
        <v>1210</v>
      </c>
      <c r="J489" s="1821" t="str">
        <f>"/ 10"</f>
        <v>/ 10</v>
      </c>
      <c r="M489" s="2046"/>
      <c r="N489" s="2185">
        <f>'Part II-Sources of Funds'!$I$44</f>
        <v>0</v>
      </c>
      <c r="O489" s="2185"/>
      <c r="P489" s="2185"/>
      <c r="Q489" s="2185"/>
      <c r="S489" s="2081" t="s">
        <v>1549</v>
      </c>
      <c r="T489" s="2147">
        <f>'Part III-A-Uses of Funds'!T179</f>
        <v>0</v>
      </c>
      <c r="V489" s="2113"/>
      <c r="W489" s="2114"/>
      <c r="X489" s="2114"/>
      <c r="BA489" s="1624">
        <v>179</v>
      </c>
    </row>
    <row r="490" spans="1:53" s="1821" customFormat="1" ht="14.1" customHeight="1">
      <c r="B490" s="1821" t="s">
        <v>1211</v>
      </c>
      <c r="J490" s="2090">
        <f>J488/10</f>
        <v>2584807.1</v>
      </c>
      <c r="K490" s="2090"/>
      <c r="L490" s="2090"/>
      <c r="N490" s="2185"/>
      <c r="O490" s="2185"/>
      <c r="P490" s="2185"/>
      <c r="Q490" s="2185"/>
      <c r="R490" s="2185"/>
      <c r="V490" s="2113"/>
      <c r="W490" s="2114"/>
      <c r="X490" s="2114"/>
      <c r="BA490" s="1624">
        <v>180</v>
      </c>
    </row>
    <row r="491" spans="1:53" s="1821" customFormat="1" ht="14.1" customHeight="1">
      <c r="M491" s="378"/>
      <c r="N491" s="1821" t="s">
        <v>1212</v>
      </c>
      <c r="Q491" s="1821" t="s">
        <v>1672</v>
      </c>
      <c r="V491" s="2113"/>
      <c r="W491" s="2114"/>
      <c r="X491" s="2114"/>
      <c r="Z491" s="1821" t="s">
        <v>1647</v>
      </c>
      <c r="BA491" s="1624">
        <v>181</v>
      </c>
    </row>
    <row r="492" spans="1:53" s="1821" customFormat="1" ht="14.1" customHeight="1">
      <c r="B492" s="1821" t="s">
        <v>6755</v>
      </c>
      <c r="J492" s="2186">
        <f>N492+Q492</f>
        <v>1.4889999999999999</v>
      </c>
      <c r="K492" s="2186"/>
      <c r="L492" s="2186"/>
      <c r="M492" s="1624" t="s">
        <v>1213</v>
      </c>
      <c r="N492" s="2187">
        <f>'Part III-A-Uses of Funds'!N182</f>
        <v>0.8</v>
      </c>
      <c r="O492" s="2187"/>
      <c r="P492" s="1624" t="s">
        <v>570</v>
      </c>
      <c r="Q492" s="2187">
        <f>'Part III-A-Uses of Funds'!Q182</f>
        <v>0.68899999999999995</v>
      </c>
      <c r="R492" s="2187"/>
      <c r="V492" s="2113"/>
      <c r="W492" s="2114"/>
      <c r="X492" s="2114"/>
      <c r="Z492" s="1822">
        <f>'DCA Underwriting Assumptions'!Q423</f>
        <v>0</v>
      </c>
      <c r="BA492" s="1624">
        <v>182</v>
      </c>
    </row>
    <row r="493" spans="1:53" s="1821" customFormat="1" ht="14.1" customHeight="1">
      <c r="B493" s="1821" t="s">
        <v>1341</v>
      </c>
      <c r="J493" s="2090">
        <f>ROUNDDOWN(IF(J492=0,"",J490/J492),0)</f>
        <v>1735934</v>
      </c>
      <c r="K493" s="2090"/>
      <c r="L493" s="2090"/>
      <c r="M493" s="378"/>
      <c r="V493" s="2113"/>
      <c r="W493" s="2114"/>
      <c r="X493" s="2114"/>
      <c r="Z493" s="1822">
        <f>'DCA Underwriting Assumptions'!Q424</f>
        <v>0</v>
      </c>
      <c r="BA493" s="1624">
        <v>183</v>
      </c>
    </row>
    <row r="494" spans="1:53" s="1821" customFormat="1" ht="6" customHeight="1">
      <c r="J494" s="2107"/>
      <c r="K494" s="2107"/>
      <c r="L494" s="2107"/>
      <c r="M494" s="378"/>
      <c r="N494" s="1624"/>
      <c r="O494" s="1624"/>
      <c r="V494" s="2118"/>
      <c r="W494" s="2114"/>
      <c r="X494" s="2114"/>
      <c r="BA494" s="1624">
        <v>184</v>
      </c>
    </row>
    <row r="495" spans="1:53" s="1821" customFormat="1" ht="14.1" customHeight="1">
      <c r="A495" s="2111" t="s">
        <v>1667</v>
      </c>
      <c r="B495" s="2111" t="s">
        <v>3939</v>
      </c>
      <c r="H495" s="2171"/>
      <c r="I495" s="2171"/>
      <c r="V495" s="2118"/>
      <c r="BA495" s="1624">
        <v>185</v>
      </c>
    </row>
    <row r="496" spans="1:53" s="1821" customFormat="1" ht="3" customHeight="1">
      <c r="H496" s="2171"/>
      <c r="I496" s="2171"/>
      <c r="Q496" s="2029"/>
      <c r="R496" s="2029"/>
      <c r="S496" s="2161"/>
      <c r="T496" s="2161"/>
      <c r="AZ496" s="378"/>
      <c r="BA496" s="1624">
        <v>186</v>
      </c>
    </row>
    <row r="497" spans="1:53" s="1821" customFormat="1" ht="16.350000000000001" customHeight="1">
      <c r="B497" s="1821" t="s">
        <v>6842</v>
      </c>
      <c r="J497" s="2091">
        <f>'Part III-A-Uses of Funds'!J187</f>
        <v>1734863</v>
      </c>
      <c r="K497" s="2091"/>
      <c r="L497" s="2091"/>
      <c r="Q497" s="2029" t="s">
        <v>6256</v>
      </c>
      <c r="R497" s="2029"/>
      <c r="S497" s="2029" t="str">
        <f>'Part VIII Scoring Criteria'!$M$59</f>
        <v>N/A-4%</v>
      </c>
      <c r="T497" s="2029"/>
      <c r="U497" s="1624" t="str">
        <f>IF(OR(S497="Atlanta Metro", "Other Metro"), "Metro", IF(S497="Rural","Rural",""))</f>
        <v/>
      </c>
      <c r="V497" s="2113"/>
      <c r="W497" s="2114"/>
      <c r="X497" s="2114"/>
      <c r="AZ497" s="378"/>
      <c r="BA497" s="1624">
        <v>187</v>
      </c>
    </row>
    <row r="498" spans="1:53" s="1821" customFormat="1" ht="3" customHeight="1">
      <c r="J498" s="2107"/>
      <c r="K498" s="2107"/>
      <c r="L498" s="2107"/>
      <c r="M498" s="378"/>
      <c r="N498" s="1624"/>
      <c r="O498" s="1624"/>
      <c r="Q498" s="2029"/>
      <c r="R498" s="2029"/>
      <c r="S498" s="2161"/>
      <c r="T498" s="2161"/>
      <c r="V498" s="2118"/>
      <c r="W498" s="2160"/>
      <c r="X498" s="2160"/>
      <c r="AZ498" s="378"/>
      <c r="BA498" s="1624">
        <v>188</v>
      </c>
    </row>
    <row r="499" spans="1:53" s="1821" customFormat="1" ht="16.350000000000001" customHeight="1">
      <c r="B499" s="1821" t="s">
        <v>6756</v>
      </c>
      <c r="J499" s="2091">
        <f>'Part III-A-Uses of Funds'!J189</f>
        <v>1734863</v>
      </c>
      <c r="K499" s="2091"/>
      <c r="L499" s="2091"/>
      <c r="M499" s="2071" t="str">
        <f>IF(J497=0,"",IF(J499&gt;J497,"Request can't exceed Maximum - REVISE (Try Round Down)!",""))</f>
        <v/>
      </c>
      <c r="N499" s="2071"/>
      <c r="O499" s="2071"/>
      <c r="P499" s="2071"/>
      <c r="Q499" s="2161" t="s">
        <v>6553</v>
      </c>
      <c r="R499" s="2029"/>
      <c r="S499" s="2029" t="str">
        <f>'Part VIII Scoring Criteria'!$M$54</f>
        <v>Preservation</v>
      </c>
      <c r="T499" s="2029"/>
      <c r="V499" s="2113"/>
      <c r="W499" s="2114"/>
      <c r="X499" s="2114"/>
      <c r="AZ499" s="378"/>
      <c r="BA499" s="1624">
        <v>189</v>
      </c>
    </row>
    <row r="500" spans="1:53" s="1821" customFormat="1" ht="3" customHeight="1">
      <c r="J500" s="2107"/>
      <c r="K500" s="2107"/>
      <c r="L500" s="2107"/>
      <c r="M500" s="2071"/>
      <c r="N500" s="2071"/>
      <c r="O500" s="2071"/>
      <c r="P500" s="2071"/>
      <c r="Q500" s="2029"/>
      <c r="R500" s="2029"/>
      <c r="S500" s="2161"/>
      <c r="T500" s="2161"/>
      <c r="V500" s="2118"/>
      <c r="W500" s="2160"/>
      <c r="X500" s="2160"/>
      <c r="AZ500" s="378"/>
      <c r="BA500" s="1624">
        <v>190</v>
      </c>
    </row>
    <row r="501" spans="1:53" s="1821" customFormat="1" ht="16.350000000000001" customHeight="1">
      <c r="A501" s="2111"/>
      <c r="B501" s="2111" t="s">
        <v>6843</v>
      </c>
      <c r="D501" s="378"/>
      <c r="E501" s="378"/>
      <c r="F501" s="2030"/>
      <c r="J501" s="2090">
        <f>IF(J499="",0,+MIN(J497,J499))</f>
        <v>1734863</v>
      </c>
      <c r="K501" s="2090"/>
      <c r="L501" s="2090"/>
      <c r="M501" s="2071"/>
      <c r="N501" s="2071"/>
      <c r="O501" s="2071"/>
      <c r="P501" s="2071"/>
      <c r="Q501" s="403" t="s">
        <v>3931</v>
      </c>
      <c r="R501" s="403"/>
      <c r="S501" s="20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501" s="2029"/>
      <c r="V501" s="2113"/>
      <c r="W501" s="2114"/>
      <c r="X501" s="2114"/>
      <c r="AZ501" s="378"/>
      <c r="BA501" s="1624">
        <v>191</v>
      </c>
    </row>
    <row r="502" spans="1:53" s="378" customFormat="1" ht="3" customHeight="1">
      <c r="BA502" s="1624">
        <v>192</v>
      </c>
    </row>
    <row r="503" spans="1:53" s="378" customFormat="1" ht="6" customHeight="1">
      <c r="BA503" s="1624">
        <v>193</v>
      </c>
    </row>
    <row r="504" spans="1:53" s="378" customFormat="1" ht="12" customHeight="1">
      <c r="A504" s="1821" t="s">
        <v>1669</v>
      </c>
      <c r="B504" s="378" t="s">
        <v>530</v>
      </c>
      <c r="N504" s="1821" t="s">
        <v>496</v>
      </c>
      <c r="O504" s="1821" t="s">
        <v>74</v>
      </c>
      <c r="AZ504" s="1821"/>
      <c r="BA504" s="1624">
        <v>194</v>
      </c>
    </row>
    <row r="505" spans="1:53" s="378" customFormat="1" ht="15">
      <c r="A505" s="2049" t="str">
        <f>'Part III-A-Uses of Funds'!A195</f>
        <v xml:space="preserve">Applicant recently closed a tax tempt bond deal in Gainesville, GA, a DCA 2020 tax exempt bond deal Waterside Oaks Apartments.  The same architect, engineer, and contractors on Waterside are involved on this application Harrison Village Apartments.  There are elements added to the construction which will differ from Waterside Oaks to include some noise mitigating construction items, HUD RAD requirements to including wiring the project for WiFi, and internet.  </v>
      </c>
      <c r="B505" s="2050"/>
      <c r="C505" s="2050"/>
      <c r="D505" s="2050"/>
      <c r="E505" s="2050"/>
      <c r="F505" s="2050"/>
      <c r="G505" s="2050"/>
      <c r="H505" s="2050"/>
      <c r="I505" s="2050"/>
      <c r="J505" s="2050"/>
      <c r="K505" s="2050"/>
      <c r="L505" s="2050"/>
      <c r="M505" s="2050"/>
      <c r="N505" s="2050"/>
      <c r="O505" s="2050"/>
      <c r="P505" s="2050"/>
      <c r="Q505" s="2050"/>
      <c r="R505" s="2050"/>
      <c r="S505" s="2050"/>
      <c r="T505" s="2050"/>
      <c r="V505" s="2071"/>
      <c r="W505" s="2017" t="s">
        <v>2453</v>
      </c>
      <c r="X505" s="2018"/>
      <c r="AZ505" s="1821"/>
      <c r="BA505" s="1624">
        <v>195</v>
      </c>
    </row>
    <row r="508" spans="1:53" s="1079" customFormat="1" ht="15">
      <c r="A508" s="2188" t="str">
        <f>CONCATENATE("PART THREE (B) -  OTHER COSTS","  -  ",'Part I-Project Identification'!$O$7," - ",'Part I-Project Identification'!$F$29,"  -  ",'Part I-Project Identification'!$F$30,"  -  ",'Part I-Project Identification'!$J$30,",  ","County")</f>
        <v>PART THREE (B) -  OTHER COSTS  -  2022-522 - Harrison Village Apartments  -  Gainesville  -  Hall,  County</v>
      </c>
      <c r="B508" s="2188"/>
      <c r="C508" s="2188"/>
      <c r="D508" s="2188"/>
      <c r="E508" s="2188"/>
      <c r="F508" s="2188"/>
      <c r="G508" s="2188"/>
      <c r="H508" s="2188"/>
      <c r="I508" s="2189"/>
      <c r="J508" s="2189"/>
      <c r="K508" s="2189"/>
      <c r="L508" s="2189"/>
      <c r="M508" s="2189"/>
      <c r="N508" s="2189"/>
    </row>
    <row r="509" spans="1:53" s="1079" customFormat="1"/>
    <row r="510" spans="1:53" s="1079" customFormat="1" ht="14.25">
      <c r="A510" s="2190" t="s">
        <v>3218</v>
      </c>
      <c r="B510" s="2190"/>
      <c r="C510" s="2190"/>
      <c r="D510" s="2190"/>
      <c r="E510" s="2190"/>
      <c r="F510" s="2190"/>
      <c r="G510" s="2190"/>
      <c r="H510" s="2190"/>
    </row>
    <row r="511" spans="1:53" s="1079" customFormat="1"/>
    <row r="512" spans="1:53" s="1079" customFormat="1" ht="18">
      <c r="A512" s="2191" t="s">
        <v>6757</v>
      </c>
      <c r="B512" s="2191"/>
      <c r="C512" s="2191"/>
      <c r="D512" s="2191"/>
      <c r="F512" s="2192" t="s">
        <v>3210</v>
      </c>
      <c r="G512" s="2189"/>
      <c r="H512" s="2192" t="s">
        <v>3211</v>
      </c>
    </row>
    <row r="513" spans="1:8" s="1079" customFormat="1">
      <c r="A513" s="2189"/>
      <c r="B513" s="2189"/>
      <c r="C513" s="2189"/>
      <c r="D513" s="2189"/>
    </row>
    <row r="514" spans="1:8" s="2194" customFormat="1">
      <c r="A514" s="2193"/>
      <c r="B514" s="2193"/>
      <c r="C514" s="2193"/>
      <c r="D514" s="2193"/>
      <c r="E514" s="2193"/>
      <c r="F514" s="2193"/>
      <c r="G514" s="2193"/>
    </row>
    <row r="515" spans="1:8" s="2194" customFormat="1">
      <c r="A515" s="2189" t="s">
        <v>96</v>
      </c>
      <c r="B515" s="2195"/>
      <c r="C515" s="2195"/>
      <c r="D515" s="2195"/>
      <c r="E515" s="2195"/>
      <c r="F515" s="2195"/>
      <c r="G515" s="2195"/>
      <c r="H515" s="2195"/>
    </row>
    <row r="516" spans="1:8" s="2194" customFormat="1" ht="13.5">
      <c r="A516" s="2196" t="str">
        <f>'Part III-A-Uses of Funds'!$C$15</f>
        <v>&lt;&lt; Enter description here; provide detail &amp; justification in tab Part III-b &gt;&gt;</v>
      </c>
      <c r="B516" s="2196"/>
      <c r="C516" s="2196"/>
      <c r="D516" s="2196"/>
      <c r="F516" s="2197">
        <f>'Part III-B-Other Items'!F9</f>
        <v>0</v>
      </c>
      <c r="G516" s="2195"/>
      <c r="H516" s="2197">
        <f>'Part III-B-Other Items'!H9</f>
        <v>0</v>
      </c>
    </row>
    <row r="517" spans="1:8" s="2194" customFormat="1" ht="13.5">
      <c r="A517" s="2196"/>
      <c r="B517" s="2196"/>
      <c r="C517" s="2196"/>
      <c r="D517" s="2196"/>
      <c r="F517" s="2197"/>
      <c r="G517" s="2195"/>
      <c r="H517" s="2197"/>
    </row>
    <row r="518" spans="1:8" s="2194" customFormat="1">
      <c r="F518" s="2197"/>
      <c r="G518" s="2195"/>
      <c r="H518" s="2197"/>
    </row>
    <row r="519" spans="1:8" s="2194" customFormat="1">
      <c r="A519" s="2198" t="s">
        <v>3213</v>
      </c>
      <c r="B519" s="2199">
        <f>'Part III-A-Uses of Funds'!$G$15</f>
        <v>0</v>
      </c>
      <c r="C519" s="2198" t="s">
        <v>1666</v>
      </c>
      <c r="D519" s="2199">
        <f>'Part III-A-Uses of Funds'!$J$15+'Part III-A-Uses of Funds'!$M$15+'Part III-A-Uses of Funds'!$P$15</f>
        <v>0</v>
      </c>
      <c r="F519" s="2197"/>
      <c r="G519" s="2195"/>
      <c r="H519" s="2197"/>
    </row>
    <row r="520" spans="1:8" s="2194" customFormat="1">
      <c r="A520" s="2195"/>
      <c r="B520" s="2200"/>
      <c r="C520" s="2195"/>
      <c r="D520" s="2195"/>
      <c r="F520" s="2197"/>
      <c r="G520" s="2201"/>
      <c r="H520" s="2197"/>
    </row>
    <row r="521" spans="1:8" s="2194" customFormat="1" ht="13.5">
      <c r="A521" s="2196" t="str">
        <f>'Part III-A-Uses of Funds'!$C$16</f>
        <v>&lt;&lt; Enter description here; provide detail &amp; justification in tab Part III-b &gt;&gt;</v>
      </c>
      <c r="B521" s="2196"/>
      <c r="C521" s="2196"/>
      <c r="D521" s="2196"/>
      <c r="F521" s="2197">
        <f>'Part III-B-Other Items'!F14</f>
        <v>0</v>
      </c>
      <c r="G521" s="2195"/>
      <c r="H521" s="2197">
        <f>'Part III-B-Other Items'!H14</f>
        <v>0</v>
      </c>
    </row>
    <row r="522" spans="1:8" s="2194" customFormat="1" ht="13.5">
      <c r="A522" s="2196"/>
      <c r="B522" s="2196"/>
      <c r="C522" s="2196"/>
      <c r="D522" s="2196"/>
      <c r="F522" s="2197"/>
      <c r="G522" s="2195"/>
      <c r="H522" s="2197"/>
    </row>
    <row r="523" spans="1:8" s="2194" customFormat="1">
      <c r="F523" s="2197"/>
      <c r="G523" s="2195"/>
      <c r="H523" s="2197"/>
    </row>
    <row r="524" spans="1:8" s="2194" customFormat="1">
      <c r="A524" s="2198" t="s">
        <v>3213</v>
      </c>
      <c r="B524" s="2199">
        <f>'Part III-A-Uses of Funds'!$G$16</f>
        <v>0</v>
      </c>
      <c r="C524" s="2198" t="s">
        <v>1666</v>
      </c>
      <c r="D524" s="2199">
        <f>'Part III-A-Uses of Funds'!$J$16+'Part III-A-Uses of Funds'!$M$16+'Part III-A-Uses of Funds'!$P$16</f>
        <v>0</v>
      </c>
      <c r="F524" s="2197"/>
      <c r="G524" s="2195"/>
      <c r="H524" s="2197"/>
    </row>
    <row r="525" spans="1:8" s="2194" customFormat="1">
      <c r="A525" s="2195"/>
      <c r="B525" s="2200"/>
      <c r="C525" s="2195"/>
      <c r="D525" s="2195"/>
      <c r="F525" s="2197"/>
      <c r="G525" s="2201"/>
      <c r="H525" s="2197"/>
    </row>
    <row r="526" spans="1:8" s="2194" customFormat="1" ht="13.5">
      <c r="A526" s="2196" t="str">
        <f>'Part III-A-Uses of Funds'!$C$17</f>
        <v>&lt;&lt; Enter description here; provide detail &amp; justification in tab Part III-b &gt;&gt;</v>
      </c>
      <c r="B526" s="2196"/>
      <c r="C526" s="2196"/>
      <c r="D526" s="2196"/>
      <c r="F526" s="2197">
        <f>'Part III-B-Other Items'!F19</f>
        <v>0</v>
      </c>
      <c r="G526" s="2195"/>
      <c r="H526" s="2197">
        <f>'Part III-B-Other Items'!H19</f>
        <v>0</v>
      </c>
    </row>
    <row r="527" spans="1:8" s="2194" customFormat="1" ht="13.5">
      <c r="A527" s="2196"/>
      <c r="B527" s="2196"/>
      <c r="C527" s="2196"/>
      <c r="D527" s="2196"/>
      <c r="F527" s="2197"/>
      <c r="G527" s="2195"/>
      <c r="H527" s="2197"/>
    </row>
    <row r="528" spans="1:8" s="2194" customFormat="1">
      <c r="F528" s="2197"/>
      <c r="G528" s="2195"/>
      <c r="H528" s="2197"/>
    </row>
    <row r="529" spans="1:8" s="2194" customFormat="1">
      <c r="A529" s="2198" t="s">
        <v>3213</v>
      </c>
      <c r="B529" s="2199">
        <f>'Part III-A-Uses of Funds'!$G$17</f>
        <v>0</v>
      </c>
      <c r="C529" s="2198" t="s">
        <v>1666</v>
      </c>
      <c r="D529" s="2199">
        <f>'Part III-A-Uses of Funds'!$J$17+'Part III-A-Uses of Funds'!$M$17+'Part III-A-Uses of Funds'!$P$17</f>
        <v>0</v>
      </c>
      <c r="F529" s="2197"/>
      <c r="G529" s="2195"/>
      <c r="H529" s="2197"/>
    </row>
    <row r="530" spans="1:8" s="2194" customFormat="1">
      <c r="A530" s="2195"/>
      <c r="B530" s="2200"/>
      <c r="C530" s="2195"/>
      <c r="D530" s="2195"/>
      <c r="F530" s="2197"/>
      <c r="G530" s="2201"/>
      <c r="H530" s="2197"/>
    </row>
    <row r="531" spans="1:8" s="2194" customFormat="1">
      <c r="A531" s="2189" t="s">
        <v>3212</v>
      </c>
      <c r="B531" s="2195"/>
      <c r="C531" s="2195"/>
      <c r="D531" s="2195"/>
      <c r="E531" s="2195"/>
      <c r="F531" s="2195"/>
      <c r="G531" s="2195"/>
    </row>
    <row r="532" spans="1:8" s="2194" customFormat="1" ht="13.5">
      <c r="A532" s="2196" t="str">
        <f>'Part III-A-Uses of Funds'!$C$46</f>
        <v>Builders Risk Insurance</v>
      </c>
      <c r="B532" s="2196"/>
      <c r="C532" s="2196"/>
      <c r="D532" s="2196"/>
      <c r="E532" s="2195"/>
      <c r="F532" s="2197" t="str">
        <f>'Part III-B-Other Items'!F25</f>
        <v>Cost for bulders risk insurance which will be bid by both the partnership and GC.  The current price is indicative of the costs the developer has recently encountered for BR on construction projects lasting 16 months or longer.  This will require an extension of a policy which is why the cost is higher.</v>
      </c>
      <c r="G532" s="2195"/>
      <c r="H532" s="2197" t="str">
        <f>'Part III-B-Other Items'!H25</f>
        <v>Builder's Risk is an eligible cost.</v>
      </c>
    </row>
    <row r="533" spans="1:8" s="2194" customFormat="1" ht="13.5">
      <c r="A533" s="2196"/>
      <c r="B533" s="2196"/>
      <c r="C533" s="2196"/>
      <c r="D533" s="2196"/>
      <c r="E533" s="2195"/>
      <c r="F533" s="2197"/>
      <c r="G533" s="2195"/>
      <c r="H533" s="2197"/>
    </row>
    <row r="534" spans="1:8" s="2194" customFormat="1">
      <c r="A534" s="2195"/>
      <c r="B534" s="2195"/>
      <c r="C534" s="2195"/>
      <c r="D534" s="2195"/>
      <c r="E534" s="2195"/>
      <c r="F534" s="2197"/>
      <c r="G534" s="2195"/>
      <c r="H534" s="2197"/>
    </row>
    <row r="535" spans="1:8" s="2194" customFormat="1">
      <c r="A535" s="2198" t="s">
        <v>3213</v>
      </c>
      <c r="B535" s="2199">
        <f>'Part III-A-Uses of Funds'!$G$46</f>
        <v>209575</v>
      </c>
      <c r="C535" s="2198" t="s">
        <v>1666</v>
      </c>
      <c r="D535" s="2199">
        <f>'Part III-A-Uses of Funds'!$J$46+'Part III-A-Uses of Funds'!$M$46+'Part III-A-Uses of Funds'!$P$46</f>
        <v>209575</v>
      </c>
      <c r="E535" s="2195"/>
      <c r="F535" s="2197"/>
      <c r="G535" s="2195"/>
      <c r="H535" s="2197"/>
    </row>
    <row r="536" spans="1:8" s="2194" customFormat="1">
      <c r="A536" s="2195"/>
      <c r="B536" s="2200"/>
      <c r="C536" s="2195"/>
      <c r="D536" s="2195"/>
      <c r="E536" s="2195"/>
      <c r="F536" s="2197"/>
      <c r="G536" s="2201"/>
      <c r="H536" s="2197"/>
    </row>
    <row r="537" spans="1:8" s="2194" customFormat="1">
      <c r="A537" s="2189" t="s">
        <v>675</v>
      </c>
      <c r="B537" s="2195"/>
      <c r="C537" s="2195"/>
      <c r="D537" s="2195"/>
      <c r="E537" s="2195"/>
      <c r="F537" s="2195"/>
      <c r="G537" s="2195"/>
    </row>
    <row r="538" spans="1:8" s="2194" customFormat="1" ht="13.5">
      <c r="A538" s="2196" t="str">
        <f>'Part III-A-Uses of Funds'!$C$71</f>
        <v>&lt;&lt; Enter description here; provide detail &amp; justification in tab Part III-b &gt;&gt;</v>
      </c>
      <c r="B538" s="2196"/>
      <c r="C538" s="2196"/>
      <c r="D538" s="2196"/>
      <c r="E538" s="2195"/>
      <c r="F538" s="2197">
        <f>'Part III-B-Other Items'!F31</f>
        <v>0</v>
      </c>
      <c r="G538" s="2195"/>
      <c r="H538" s="2197">
        <f>'Part III-B-Other Items'!H31</f>
        <v>0</v>
      </c>
    </row>
    <row r="539" spans="1:8" s="2194" customFormat="1" ht="13.5">
      <c r="A539" s="2196"/>
      <c r="B539" s="2196"/>
      <c r="C539" s="2196"/>
      <c r="D539" s="2196"/>
      <c r="E539" s="2195"/>
      <c r="F539" s="2197"/>
      <c r="G539" s="2195"/>
      <c r="H539" s="2197"/>
    </row>
    <row r="540" spans="1:8" s="2194" customFormat="1">
      <c r="A540" s="2195"/>
      <c r="B540" s="2195"/>
      <c r="C540" s="2195"/>
      <c r="D540" s="2195"/>
      <c r="E540" s="2195"/>
      <c r="F540" s="2197"/>
      <c r="G540" s="2195"/>
      <c r="H540" s="2197"/>
    </row>
    <row r="541" spans="1:8" s="2194" customFormat="1">
      <c r="A541" s="2198" t="s">
        <v>3213</v>
      </c>
      <c r="B541" s="2199">
        <f>'Part III-A-Uses of Funds'!$G$71</f>
        <v>0</v>
      </c>
      <c r="C541" s="2198" t="s">
        <v>1666</v>
      </c>
      <c r="D541" s="2199">
        <f>'Part III-A-Uses of Funds'!$J$71+'Part III-A-Uses of Funds'!$M$71+'Part III-A-Uses of Funds'!$P$71</f>
        <v>0</v>
      </c>
      <c r="E541" s="2195"/>
      <c r="F541" s="2197"/>
      <c r="G541" s="2195"/>
      <c r="H541" s="2197"/>
    </row>
    <row r="542" spans="1:8" s="2194" customFormat="1">
      <c r="D542" s="2195"/>
      <c r="E542" s="2195"/>
      <c r="F542" s="2197"/>
      <c r="G542" s="2201"/>
      <c r="H542" s="2197"/>
    </row>
    <row r="543" spans="1:8" s="2194" customFormat="1" ht="13.5">
      <c r="A543" s="2196" t="str">
        <f>'Part III-A-Uses of Funds'!$C$72</f>
        <v>&lt;&lt; Enter description here; provide detail &amp; justification in tab Part III-b &gt;&gt;</v>
      </c>
      <c r="B543" s="2196"/>
      <c r="C543" s="2196"/>
      <c r="D543" s="2196"/>
      <c r="E543" s="2195"/>
      <c r="F543" s="2197">
        <f>'Part III-B-Other Items'!F36</f>
        <v>0</v>
      </c>
      <c r="G543" s="2195"/>
      <c r="H543" s="2197">
        <f>'Part III-B-Other Items'!H36</f>
        <v>0</v>
      </c>
    </row>
    <row r="544" spans="1:8" s="2194" customFormat="1" ht="13.5">
      <c r="A544" s="2196"/>
      <c r="B544" s="2196"/>
      <c r="C544" s="2196"/>
      <c r="D544" s="2196"/>
      <c r="E544" s="2195"/>
      <c r="F544" s="2197"/>
      <c r="G544" s="2195"/>
      <c r="H544" s="2197"/>
    </row>
    <row r="545" spans="1:8" s="2194" customFormat="1">
      <c r="A545" s="2195"/>
      <c r="B545" s="2195"/>
      <c r="C545" s="2195"/>
      <c r="D545" s="2195"/>
      <c r="E545" s="2195"/>
      <c r="F545" s="2197"/>
      <c r="G545" s="2195"/>
      <c r="H545" s="2197"/>
    </row>
    <row r="546" spans="1:8" s="2194" customFormat="1">
      <c r="A546" s="2198" t="s">
        <v>3213</v>
      </c>
      <c r="B546" s="2199">
        <f>'Part III-A-Uses of Funds'!$G$72</f>
        <v>0</v>
      </c>
      <c r="C546" s="2198" t="s">
        <v>1666</v>
      </c>
      <c r="D546" s="2199">
        <f>'Part III-A-Uses of Funds'!$J$72+'Part III-A-Uses of Funds'!$M$72+'Part III-A-Uses of Funds'!$P$72</f>
        <v>0</v>
      </c>
      <c r="E546" s="2195"/>
      <c r="F546" s="2197"/>
      <c r="G546" s="2195"/>
      <c r="H546" s="2197"/>
    </row>
    <row r="547" spans="1:8" s="2194" customFormat="1">
      <c r="D547" s="2195"/>
      <c r="E547" s="2195"/>
      <c r="F547" s="2197"/>
      <c r="G547" s="2201"/>
      <c r="H547" s="2197"/>
    </row>
    <row r="548" spans="1:8" s="2194" customFormat="1">
      <c r="A548" s="2189" t="s">
        <v>449</v>
      </c>
      <c r="B548" s="2195"/>
      <c r="C548" s="2195"/>
      <c r="D548" s="2195"/>
      <c r="E548" s="2168"/>
      <c r="F548" s="2168"/>
      <c r="G548" s="2195"/>
    </row>
    <row r="549" spans="1:8" s="2194" customFormat="1" ht="13.5">
      <c r="A549" s="2196" t="str">
        <f>'Part III-A-Uses of Funds'!$C$85</f>
        <v>&lt;&lt; Enter description here; provide detail &amp; justification in tab Part III-b &gt;&gt;</v>
      </c>
      <c r="B549" s="2196"/>
      <c r="C549" s="2196"/>
      <c r="D549" s="2196"/>
      <c r="F549" s="2197">
        <f>'Part III-B-Other Items'!F42</f>
        <v>0</v>
      </c>
      <c r="G549" s="2195"/>
      <c r="H549" s="2197">
        <f>'Part III-B-Other Items'!H42</f>
        <v>0</v>
      </c>
    </row>
    <row r="550" spans="1:8" s="2194" customFormat="1" ht="13.5">
      <c r="A550" s="2196"/>
      <c r="B550" s="2196"/>
      <c r="C550" s="2196"/>
      <c r="D550" s="2196"/>
      <c r="E550" s="2195"/>
      <c r="F550" s="2197"/>
      <c r="G550" s="2195"/>
      <c r="H550" s="2197"/>
    </row>
    <row r="551" spans="1:8" s="2194" customFormat="1">
      <c r="A551" s="2195"/>
      <c r="B551" s="2195"/>
      <c r="C551" s="2195"/>
      <c r="D551" s="2195"/>
      <c r="E551" s="2195"/>
      <c r="F551" s="2197"/>
      <c r="G551" s="2195"/>
      <c r="H551" s="2197"/>
    </row>
    <row r="552" spans="1:8" s="2194" customFormat="1">
      <c r="A552" s="2198" t="s">
        <v>3213</v>
      </c>
      <c r="B552" s="2199">
        <f>'Part III-A-Uses of Funds'!$G$85</f>
        <v>0</v>
      </c>
      <c r="C552" s="2198" t="s">
        <v>1666</v>
      </c>
      <c r="D552" s="2199">
        <f>'Part III-A-Uses of Funds'!$J$85+'Part III-A-Uses of Funds'!$M$85+'Part III-A-Uses of Funds'!$P$85</f>
        <v>0</v>
      </c>
      <c r="E552" s="2195"/>
      <c r="F552" s="2197"/>
      <c r="G552" s="2195"/>
      <c r="H552" s="2197"/>
    </row>
    <row r="553" spans="1:8" s="2194" customFormat="1">
      <c r="A553" s="2195"/>
      <c r="B553" s="2200"/>
      <c r="C553" s="2195"/>
      <c r="D553" s="2195"/>
      <c r="E553" s="2195"/>
      <c r="F553" s="2197"/>
      <c r="G553" s="2201"/>
      <c r="H553" s="2197"/>
    </row>
    <row r="554" spans="1:8" s="2194" customFormat="1">
      <c r="A554" s="2189" t="s">
        <v>677</v>
      </c>
      <c r="B554" s="2195"/>
      <c r="C554" s="2195"/>
      <c r="D554" s="2195"/>
      <c r="E554" s="2195"/>
      <c r="F554" s="2195"/>
      <c r="G554" s="2195"/>
    </row>
    <row r="555" spans="1:8" s="2194" customFormat="1" ht="13.5">
      <c r="A555" s="2196" t="str">
        <f>'Part III-A-Uses of Funds'!$C$102</f>
        <v>&lt;&lt; Enter description here; provide detail &amp; justification in tab Part III-b &gt;&gt;</v>
      </c>
      <c r="B555" s="2196"/>
      <c r="C555" s="2196"/>
      <c r="D555" s="2196"/>
      <c r="F555" s="2197">
        <f>'Part III-B-Other Items'!F48</f>
        <v>0</v>
      </c>
      <c r="G555" s="2195"/>
    </row>
    <row r="556" spans="1:8" s="2194" customFormat="1" ht="13.5">
      <c r="A556" s="2196"/>
      <c r="B556" s="2196"/>
      <c r="C556" s="2196"/>
      <c r="D556" s="2196"/>
      <c r="E556" s="2195"/>
      <c r="F556" s="2197"/>
      <c r="G556" s="2195"/>
    </row>
    <row r="557" spans="1:8" s="2194" customFormat="1">
      <c r="A557" s="2195"/>
      <c r="B557" s="2195"/>
      <c r="C557" s="2195"/>
      <c r="D557" s="2195"/>
      <c r="E557" s="2195"/>
      <c r="F557" s="2197"/>
      <c r="G557" s="2195"/>
    </row>
    <row r="558" spans="1:8" s="2194" customFormat="1">
      <c r="A558" s="2198" t="s">
        <v>3213</v>
      </c>
      <c r="B558" s="2199">
        <f>'Part III-A-Uses of Funds'!$G$102</f>
        <v>0</v>
      </c>
      <c r="C558" s="2202"/>
      <c r="D558" s="2202"/>
      <c r="E558" s="2195"/>
      <c r="F558" s="2197"/>
      <c r="G558" s="2195"/>
    </row>
    <row r="559" spans="1:8" s="2194" customFormat="1">
      <c r="A559" s="2195"/>
      <c r="B559" s="2195"/>
      <c r="C559" s="2195"/>
      <c r="D559" s="2195"/>
      <c r="E559" s="2195"/>
      <c r="F559" s="2197"/>
      <c r="G559" s="2201"/>
    </row>
    <row r="560" spans="1:8" s="2194" customFormat="1">
      <c r="A560" s="2189" t="s">
        <v>6758</v>
      </c>
      <c r="B560" s="2195"/>
      <c r="C560" s="2195"/>
      <c r="D560" s="2195"/>
      <c r="E560" s="2195"/>
      <c r="F560" s="2195"/>
      <c r="G560" s="2195"/>
    </row>
    <row r="561" spans="1:7" s="2194" customFormat="1" ht="13.5">
      <c r="A561" s="2196" t="str">
        <f>'Part III-A-Uses of Funds'!$C$112</f>
        <v>&lt;&lt; Enter description here; provide detail &amp; justification in tab Part III-b &gt;&gt;</v>
      </c>
      <c r="B561" s="2196"/>
      <c r="C561" s="2196"/>
      <c r="D561" s="2196"/>
      <c r="F561" s="2197">
        <f>'Part III-B-Other Items'!F54</f>
        <v>0</v>
      </c>
      <c r="G561" s="2195"/>
    </row>
    <row r="562" spans="1:7" s="2194" customFormat="1" ht="13.5">
      <c r="A562" s="2196"/>
      <c r="B562" s="2196"/>
      <c r="C562" s="2196"/>
      <c r="D562" s="2196"/>
      <c r="E562" s="2195"/>
      <c r="F562" s="2197"/>
      <c r="G562" s="2195"/>
    </row>
    <row r="563" spans="1:7" s="2194" customFormat="1">
      <c r="A563" s="2195"/>
      <c r="B563" s="2195"/>
      <c r="C563" s="2195"/>
      <c r="D563" s="2195"/>
      <c r="E563" s="2195"/>
      <c r="F563" s="2197"/>
      <c r="G563" s="2195"/>
    </row>
    <row r="564" spans="1:7" s="2194" customFormat="1">
      <c r="A564" s="2198" t="s">
        <v>3213</v>
      </c>
      <c r="B564" s="2199">
        <f>'Part III-A-Uses of Funds'!$G$112</f>
        <v>0</v>
      </c>
      <c r="C564" s="2202"/>
      <c r="D564" s="2202"/>
      <c r="E564" s="2195"/>
      <c r="F564" s="2197"/>
      <c r="G564" s="2195"/>
    </row>
    <row r="565" spans="1:7" s="2194" customFormat="1">
      <c r="A565" s="2193"/>
      <c r="B565" s="2193"/>
      <c r="C565" s="2193"/>
      <c r="D565" s="2193"/>
      <c r="E565" s="2193"/>
      <c r="F565" s="2197"/>
      <c r="G565" s="2201"/>
    </row>
    <row r="566" spans="1:7" s="2194" customFormat="1" ht="13.5">
      <c r="A566" s="2196" t="str">
        <f>'Part III-A-Uses of Funds'!$C$113</f>
        <v>&lt;&lt; Enter description here; provide detail &amp; justification in tab Part III-b &gt;&gt;</v>
      </c>
      <c r="B566" s="2196"/>
      <c r="C566" s="2196"/>
      <c r="D566" s="2196"/>
      <c r="F566" s="2197">
        <f>'Part III-B-Other Items'!F59</f>
        <v>0</v>
      </c>
      <c r="G566" s="2195"/>
    </row>
    <row r="567" spans="1:7" s="2194" customFormat="1" ht="13.5">
      <c r="A567" s="2196"/>
      <c r="B567" s="2196"/>
      <c r="C567" s="2196"/>
      <c r="D567" s="2196"/>
      <c r="E567" s="2195"/>
      <c r="F567" s="2197"/>
      <c r="G567" s="2195"/>
    </row>
    <row r="568" spans="1:7" s="2194" customFormat="1">
      <c r="A568" s="2195"/>
      <c r="B568" s="2195"/>
      <c r="C568" s="2195"/>
      <c r="D568" s="2195"/>
      <c r="E568" s="2195"/>
      <c r="F568" s="2197"/>
      <c r="G568" s="2195"/>
    </row>
    <row r="569" spans="1:7" s="2194" customFormat="1">
      <c r="A569" s="2198" t="s">
        <v>3213</v>
      </c>
      <c r="B569" s="2199">
        <f>'Part III-A-Uses of Funds'!$G$113</f>
        <v>0</v>
      </c>
      <c r="C569" s="2202"/>
      <c r="D569" s="2202"/>
      <c r="E569" s="2195"/>
      <c r="F569" s="2197"/>
      <c r="G569" s="2195"/>
    </row>
    <row r="570" spans="1:7" s="2194" customFormat="1">
      <c r="A570" s="2193"/>
      <c r="B570" s="2193"/>
      <c r="C570" s="2193"/>
      <c r="D570" s="2193"/>
      <c r="E570" s="2193"/>
      <c r="F570" s="2197"/>
      <c r="G570" s="2201"/>
    </row>
    <row r="571" spans="1:7" s="2194" customFormat="1">
      <c r="A571" s="2189" t="s">
        <v>6759</v>
      </c>
      <c r="B571" s="2195"/>
      <c r="C571" s="2195"/>
      <c r="D571" s="2195"/>
      <c r="E571" s="2195"/>
      <c r="F571" s="2195"/>
      <c r="G571" s="2195"/>
    </row>
    <row r="572" spans="1:7" s="2194" customFormat="1" ht="13.5">
      <c r="A572" s="2196" t="str">
        <f>'Part III-A-Uses of Funds'!$C$119</f>
        <v>&lt;&lt; Enter description here; provide detail &amp; justification in tab Part III-b &gt;&gt;</v>
      </c>
      <c r="B572" s="2196"/>
      <c r="C572" s="2196"/>
      <c r="D572" s="2196"/>
      <c r="F572" s="2197">
        <f>'Part III-B-Other Items'!F65</f>
        <v>0</v>
      </c>
      <c r="G572" s="2195"/>
    </row>
    <row r="573" spans="1:7" s="2194" customFormat="1" ht="13.5">
      <c r="A573" s="2196"/>
      <c r="B573" s="2196"/>
      <c r="C573" s="2196"/>
      <c r="D573" s="2196"/>
      <c r="E573" s="2195"/>
      <c r="F573" s="2197"/>
      <c r="G573" s="2195"/>
    </row>
    <row r="574" spans="1:7" s="2194" customFormat="1">
      <c r="A574" s="2195"/>
      <c r="B574" s="2195"/>
      <c r="C574" s="2195"/>
      <c r="D574" s="2195"/>
      <c r="E574" s="2195"/>
      <c r="F574" s="2197"/>
      <c r="G574" s="2195"/>
    </row>
    <row r="575" spans="1:7" s="2194" customFormat="1">
      <c r="A575" s="2198" t="s">
        <v>3213</v>
      </c>
      <c r="B575" s="2199">
        <f>'Part III-A-Uses of Funds'!$G$119</f>
        <v>0</v>
      </c>
      <c r="C575" s="2202"/>
      <c r="D575" s="2202"/>
      <c r="E575" s="2195"/>
      <c r="F575" s="2197"/>
      <c r="G575" s="2195"/>
    </row>
    <row r="576" spans="1:7" s="2194" customFormat="1">
      <c r="A576" s="2195"/>
      <c r="B576" s="2200"/>
      <c r="C576" s="2195"/>
      <c r="D576" s="2195"/>
      <c r="E576" s="2195"/>
      <c r="F576" s="2197"/>
      <c r="G576" s="2201"/>
    </row>
    <row r="577" spans="1:17" s="2194" customFormat="1">
      <c r="A577" s="2189" t="s">
        <v>1232</v>
      </c>
      <c r="B577" s="2195"/>
      <c r="C577" s="2195"/>
      <c r="D577" s="2195"/>
      <c r="E577" s="2195"/>
      <c r="F577" s="2195"/>
      <c r="G577" s="2195"/>
    </row>
    <row r="578" spans="1:17" s="2194" customFormat="1" ht="13.5">
      <c r="A578" s="2196" t="str">
        <f>'Part III-A-Uses of Funds'!$C$134</f>
        <v>&lt;&lt; Enter description here; provide detail &amp; justification in tab Part III-b &gt;&gt;</v>
      </c>
      <c r="B578" s="2196"/>
      <c r="C578" s="2196"/>
      <c r="D578" s="2196"/>
      <c r="F578" s="2197">
        <f>'Part III-B-Other Items'!F71</f>
        <v>0</v>
      </c>
      <c r="G578" s="2195"/>
      <c r="H578" s="2197">
        <f>'Part III-B-Other Items'!H71</f>
        <v>0</v>
      </c>
    </row>
    <row r="579" spans="1:17" s="2194" customFormat="1" ht="13.5">
      <c r="A579" s="2196"/>
      <c r="B579" s="2196"/>
      <c r="C579" s="2196"/>
      <c r="D579" s="2196"/>
      <c r="E579" s="2195"/>
      <c r="F579" s="2197"/>
      <c r="G579" s="2195"/>
      <c r="H579" s="2197"/>
    </row>
    <row r="580" spans="1:17" s="2194" customFormat="1">
      <c r="A580" s="2195"/>
      <c r="B580" s="2195"/>
      <c r="C580" s="2195"/>
      <c r="D580" s="2195"/>
      <c r="E580" s="2195"/>
      <c r="F580" s="2197"/>
      <c r="G580" s="2195"/>
      <c r="H580" s="2197"/>
    </row>
    <row r="581" spans="1:17" s="2194" customFormat="1">
      <c r="A581" s="2198" t="s">
        <v>3213</v>
      </c>
      <c r="B581" s="2199">
        <f>'Part III-A-Uses of Funds'!$G$134</f>
        <v>0</v>
      </c>
      <c r="C581" s="2198" t="s">
        <v>1666</v>
      </c>
      <c r="D581" s="2199">
        <f>'Part III-A-Uses of Funds'!$J$134+'Part III-A-Uses of Funds'!$M$134+'Part III-A-Uses of Funds'!$P$134</f>
        <v>0</v>
      </c>
      <c r="E581" s="2195"/>
      <c r="F581" s="2197"/>
      <c r="G581" s="2195"/>
      <c r="H581" s="2197"/>
    </row>
    <row r="582" spans="1:17" s="2194" customFormat="1">
      <c r="A582" s="2195"/>
      <c r="B582" s="2200"/>
      <c r="C582" s="2195"/>
      <c r="D582" s="2195"/>
      <c r="E582" s="2195"/>
      <c r="F582" s="2197"/>
      <c r="G582" s="2201"/>
      <c r="H582" s="2197"/>
    </row>
    <row r="583" spans="1:17" s="2194" customFormat="1">
      <c r="A583" s="2189" t="s">
        <v>6760</v>
      </c>
      <c r="B583" s="2200"/>
      <c r="C583" s="2195"/>
      <c r="D583" s="2195"/>
      <c r="E583" s="2195"/>
      <c r="F583" s="2195"/>
      <c r="G583" s="2201"/>
    </row>
    <row r="584" spans="1:17" s="2194" customFormat="1" ht="13.5">
      <c r="A584" s="2196" t="str">
        <f>'Part III-A-Uses of Funds'!$C$143</f>
        <v>&lt;&lt; Enter description here; provide detail &amp; justification in tab Part III-b &gt;&gt;</v>
      </c>
      <c r="B584" s="2196"/>
      <c r="C584" s="2196"/>
      <c r="D584" s="2196"/>
      <c r="F584" s="2197">
        <f>'Part III-B-Other Items'!F77</f>
        <v>0</v>
      </c>
      <c r="G584" s="2195"/>
      <c r="H584" s="2197">
        <f>'Part III-B-Other Items'!H77</f>
        <v>0</v>
      </c>
    </row>
    <row r="585" spans="1:17" s="2194" customFormat="1" ht="13.5">
      <c r="A585" s="2196"/>
      <c r="B585" s="2196"/>
      <c r="C585" s="2196"/>
      <c r="D585" s="2196"/>
      <c r="E585" s="2195"/>
      <c r="F585" s="2197"/>
      <c r="G585" s="2195"/>
      <c r="H585" s="2197"/>
    </row>
    <row r="586" spans="1:17" s="2194" customFormat="1">
      <c r="A586" s="2195"/>
      <c r="B586" s="2195"/>
      <c r="C586" s="2195"/>
      <c r="D586" s="2195"/>
      <c r="E586" s="2195"/>
      <c r="F586" s="2197"/>
      <c r="G586" s="2195"/>
      <c r="H586" s="2197"/>
    </row>
    <row r="587" spans="1:17" s="2194" customFormat="1">
      <c r="A587" s="2198" t="s">
        <v>3213</v>
      </c>
      <c r="B587" s="2199">
        <f>'Part III-A-Uses of Funds'!$G$143</f>
        <v>0</v>
      </c>
      <c r="C587" s="2198" t="s">
        <v>1666</v>
      </c>
      <c r="D587" s="2199">
        <f>'Part III-A-Uses of Funds'!$J$143+'Part III-A-Uses of Funds'!$M$143+'Part III-A-Uses of Funds'!$P$143</f>
        <v>0</v>
      </c>
      <c r="E587" s="2195"/>
      <c r="F587" s="2197"/>
      <c r="G587" s="2195"/>
      <c r="H587" s="2197"/>
    </row>
    <row r="588" spans="1:17" s="2194" customFormat="1">
      <c r="D588" s="2203"/>
      <c r="E588" s="2204"/>
      <c r="F588" s="2197"/>
      <c r="G588" s="2201"/>
      <c r="H588" s="2197"/>
    </row>
    <row r="592" spans="1:17" ht="14.1" customHeight="1">
      <c r="A592" s="359" t="str">
        <f>CONCATENATE("PART FOUR - UTILITY ALLOWANCES","  -  ",'Part I-Project Identification'!$O$7," ",'Part I-Project Identification'!$F$29,", ",'Part I-Project Identification'!F621,", ",'Part I-Project Identification'!J621," County")</f>
        <v>PART FOUR - UTILITY ALLOWANCES  -  2022-522 Harrison Village Apartments, ,  County</v>
      </c>
      <c r="B592" s="359"/>
      <c r="C592" s="359"/>
      <c r="D592" s="359"/>
      <c r="E592" s="359"/>
      <c r="F592" s="359"/>
      <c r="G592" s="359"/>
      <c r="H592" s="359"/>
      <c r="I592" s="359"/>
      <c r="J592" s="359"/>
      <c r="K592" s="359"/>
      <c r="L592" s="359"/>
      <c r="M592" s="359"/>
      <c r="N592" s="359"/>
      <c r="O592" s="359"/>
      <c r="P592" s="359"/>
      <c r="Q592" s="359"/>
    </row>
    <row r="593" spans="1:25" ht="7.5" customHeight="1"/>
    <row r="594" spans="1:25" ht="12.75" customHeight="1">
      <c r="B594" s="2205" t="str">
        <f>'Part I-Project Identification'!$A$6</f>
        <v>Sept 20, 2022 Core Application - 4% Only</v>
      </c>
      <c r="C594" s="2205"/>
      <c r="D594" s="2205"/>
      <c r="E594" s="2205"/>
      <c r="F594" s="359" t="s">
        <v>6741</v>
      </c>
      <c r="I594" s="2206" t="str">
        <f>VLOOKUP('Part I-Project Identification'!$J$30,'DCA Underwriting Assumptions'!$G$136:$H$295,2)</f>
        <v>North</v>
      </c>
    </row>
    <row r="595" spans="1:25" ht="6" customHeight="1"/>
    <row r="596" spans="1:25">
      <c r="A596" s="2207" t="s">
        <v>6844</v>
      </c>
      <c r="O596" s="2020"/>
      <c r="P596" s="2020"/>
      <c r="Q596" s="2020"/>
      <c r="R596" s="2020"/>
      <c r="S596" s="2020"/>
      <c r="T596" s="2020"/>
      <c r="U596" s="2020"/>
      <c r="V596" s="1821"/>
      <c r="W596" s="1821"/>
      <c r="X596" s="1821"/>
      <c r="Y596" s="1821"/>
    </row>
    <row r="597" spans="1:25" ht="6" customHeight="1">
      <c r="O597" s="2020"/>
      <c r="P597" s="2020"/>
      <c r="Q597" s="2020"/>
      <c r="R597" s="2020"/>
      <c r="S597" s="2020"/>
      <c r="T597" s="2020"/>
      <c r="U597" s="2020"/>
      <c r="V597" s="1821"/>
      <c r="W597" s="1821"/>
      <c r="X597" s="1821"/>
      <c r="Y597" s="1821"/>
    </row>
    <row r="598" spans="1:25" ht="13.5" customHeight="1">
      <c r="A598" s="357" t="s">
        <v>573</v>
      </c>
      <c r="B598" s="357" t="s">
        <v>2060</v>
      </c>
      <c r="F598" s="359" t="s">
        <v>2318</v>
      </c>
      <c r="G598" s="359"/>
      <c r="H598" s="359"/>
      <c r="I598" s="2208" t="str">
        <f>'Part IV-Utility Allowances'!I7</f>
        <v>Georgia Department of Community Affairs</v>
      </c>
      <c r="J598" s="2208"/>
      <c r="K598" s="2208"/>
      <c r="L598" s="2208"/>
      <c r="M598" s="2208"/>
      <c r="O598" s="2020"/>
      <c r="P598" s="2020"/>
      <c r="Q598" s="2020"/>
      <c r="R598" s="2020"/>
      <c r="S598" s="2020"/>
      <c r="T598" s="2020"/>
      <c r="U598" s="2020"/>
      <c r="V598" s="1821"/>
      <c r="W598" s="1821"/>
      <c r="X598" s="1821"/>
      <c r="Y598" s="1821"/>
    </row>
    <row r="599" spans="1:25" ht="13.35" customHeight="1">
      <c r="F599" s="359" t="s">
        <v>593</v>
      </c>
      <c r="G599" s="359"/>
      <c r="H599" s="359"/>
      <c r="I599" s="2209">
        <f>'Part IV-Utility Allowances'!I8</f>
        <v>44743</v>
      </c>
      <c r="J599" s="2209"/>
      <c r="K599" s="1901" t="s">
        <v>505</v>
      </c>
      <c r="L599" s="2079" t="str">
        <f>'Part IV-Utility Allowances'!L8</f>
        <v>Low-Rise Apt</v>
      </c>
      <c r="M599" s="2079"/>
      <c r="O599" s="2020"/>
      <c r="P599" s="2020"/>
      <c r="Q599" s="2020"/>
      <c r="R599" s="2020"/>
      <c r="S599" s="2020"/>
      <c r="T599" s="2020"/>
      <c r="U599" s="2020"/>
      <c r="V599" s="1821"/>
      <c r="W599" s="1821"/>
      <c r="X599" s="1821"/>
      <c r="Y599" s="1821"/>
    </row>
    <row r="600" spans="1:25" ht="4.5" customHeight="1">
      <c r="O600" s="2020"/>
      <c r="P600" s="2020"/>
      <c r="Q600" s="2020"/>
      <c r="R600" s="2020"/>
      <c r="S600" s="2020"/>
      <c r="T600" s="2020"/>
      <c r="U600" s="2020"/>
      <c r="V600" s="1821"/>
      <c r="W600" s="1821"/>
      <c r="X600" s="1821"/>
      <c r="Y600" s="1821"/>
    </row>
    <row r="601" spans="1:25" ht="13.5" customHeight="1">
      <c r="F601" s="357" t="s">
        <v>567</v>
      </c>
      <c r="I601" s="357" t="s">
        <v>193</v>
      </c>
      <c r="O601" s="2020"/>
      <c r="P601" s="2020"/>
      <c r="Q601" s="2020"/>
      <c r="R601" s="2020"/>
      <c r="S601" s="2020"/>
      <c r="T601" s="2020"/>
      <c r="U601" s="2020"/>
    </row>
    <row r="602" spans="1:25" ht="13.5" customHeight="1">
      <c r="B602" s="357" t="s">
        <v>742</v>
      </c>
      <c r="D602" s="357" t="s">
        <v>1495</v>
      </c>
      <c r="F602" s="1750" t="s">
        <v>596</v>
      </c>
      <c r="G602" s="1750" t="s">
        <v>1714</v>
      </c>
      <c r="I602" s="1750" t="s">
        <v>526</v>
      </c>
      <c r="J602" s="1750">
        <v>1</v>
      </c>
      <c r="K602" s="1750">
        <v>2</v>
      </c>
      <c r="L602" s="1750">
        <v>3</v>
      </c>
      <c r="M602" s="1750">
        <v>4</v>
      </c>
      <c r="O602" s="2020"/>
      <c r="P602" s="2020"/>
      <c r="Q602" s="2020"/>
      <c r="R602" s="2020"/>
      <c r="S602" s="2020"/>
      <c r="T602" s="2020"/>
      <c r="U602" s="2020"/>
    </row>
    <row r="603" spans="1:25" ht="12" customHeight="1">
      <c r="B603" s="359" t="s">
        <v>1716</v>
      </c>
      <c r="C603" s="359"/>
      <c r="D603" s="2079" t="str">
        <f>'Part IV-Utility Allowances'!D12</f>
        <v>Electric Heat Pump</v>
      </c>
      <c r="E603" s="2079"/>
      <c r="F603" s="2210" t="str">
        <f>'Part IV-Utility Allowances'!F12</f>
        <v>X</v>
      </c>
      <c r="G603" s="2210">
        <f>'Part IV-Utility Allowances'!G12</f>
        <v>0</v>
      </c>
      <c r="I603" s="2210">
        <f>'Part IV-Utility Allowances'!I12</f>
        <v>0</v>
      </c>
      <c r="J603" s="2210">
        <f>'Part IV-Utility Allowances'!J12</f>
        <v>9</v>
      </c>
      <c r="K603" s="2210">
        <f>'Part IV-Utility Allowances'!K12</f>
        <v>11</v>
      </c>
      <c r="L603" s="2210">
        <f>'Part IV-Utility Allowances'!L12</f>
        <v>16</v>
      </c>
      <c r="M603" s="2210">
        <f>'Part IV-Utility Allowances'!M12</f>
        <v>20</v>
      </c>
      <c r="O603" s="2020"/>
      <c r="P603" s="2020"/>
      <c r="Q603" s="2020"/>
      <c r="R603" s="2020"/>
      <c r="S603" s="2020"/>
      <c r="T603" s="2020"/>
      <c r="U603" s="2020"/>
    </row>
    <row r="604" spans="1:25" ht="12" customHeight="1">
      <c r="B604" s="359" t="s">
        <v>1493</v>
      </c>
      <c r="C604" s="359"/>
      <c r="D604" s="2079" t="str">
        <f>'Part IV-Utility Allowances'!D13</f>
        <v>Electric</v>
      </c>
      <c r="E604" s="2079"/>
      <c r="F604" s="2210" t="str">
        <f>'Part IV-Utility Allowances'!F13</f>
        <v>X</v>
      </c>
      <c r="G604" s="2210">
        <f>'Part IV-Utility Allowances'!G13</f>
        <v>0</v>
      </c>
      <c r="I604" s="2210">
        <f>'Part IV-Utility Allowances'!I13</f>
        <v>0</v>
      </c>
      <c r="J604" s="2210">
        <f>'Part IV-Utility Allowances'!J13</f>
        <v>8</v>
      </c>
      <c r="K604" s="2210">
        <f>'Part IV-Utility Allowances'!K13</f>
        <v>10</v>
      </c>
      <c r="L604" s="2210">
        <f>'Part IV-Utility Allowances'!L13</f>
        <v>12</v>
      </c>
      <c r="M604" s="2210">
        <f>'Part IV-Utility Allowances'!M13</f>
        <v>15</v>
      </c>
      <c r="O604" s="2025" t="s">
        <v>6761</v>
      </c>
      <c r="P604" s="2025"/>
      <c r="Q604" s="2025"/>
    </row>
    <row r="605" spans="1:25" ht="12" customHeight="1">
      <c r="B605" s="359" t="s">
        <v>1494</v>
      </c>
      <c r="C605" s="359"/>
      <c r="D605" s="2079" t="str">
        <f>'Part IV-Utility Allowances'!D14</f>
        <v>Electric</v>
      </c>
      <c r="E605" s="2079"/>
      <c r="F605" s="2210" t="str">
        <f>'Part IV-Utility Allowances'!F14</f>
        <v>X</v>
      </c>
      <c r="G605" s="2210">
        <f>'Part IV-Utility Allowances'!G14</f>
        <v>0</v>
      </c>
      <c r="I605" s="2210">
        <f>'Part IV-Utility Allowances'!I14</f>
        <v>0</v>
      </c>
      <c r="J605" s="2210">
        <f>'Part IV-Utility Allowances'!J14</f>
        <v>14</v>
      </c>
      <c r="K605" s="2210">
        <f>'Part IV-Utility Allowances'!K14</f>
        <v>19</v>
      </c>
      <c r="L605" s="2210">
        <f>'Part IV-Utility Allowances'!L14</f>
        <v>24</v>
      </c>
      <c r="M605" s="2210">
        <f>'Part IV-Utility Allowances'!M14</f>
        <v>29</v>
      </c>
      <c r="O605" s="2025"/>
      <c r="P605" s="2025"/>
      <c r="Q605" s="2025"/>
    </row>
    <row r="606" spans="1:25" ht="12" customHeight="1">
      <c r="B606" s="359" t="s">
        <v>440</v>
      </c>
      <c r="C606" s="359"/>
      <c r="D606" s="359" t="s">
        <v>1492</v>
      </c>
      <c r="F606" s="2210" t="str">
        <f>'Part IV-Utility Allowances'!F15</f>
        <v>X</v>
      </c>
      <c r="G606" s="2210">
        <f>'Part IV-Utility Allowances'!G15</f>
        <v>0</v>
      </c>
      <c r="I606" s="2210">
        <f>'Part IV-Utility Allowances'!I15</f>
        <v>0</v>
      </c>
      <c r="J606" s="2210">
        <f>'Part IV-Utility Allowances'!J15</f>
        <v>7</v>
      </c>
      <c r="K606" s="2210">
        <f>'Part IV-Utility Allowances'!K15</f>
        <v>9</v>
      </c>
      <c r="L606" s="2210">
        <f>'Part IV-Utility Allowances'!L15</f>
        <v>12</v>
      </c>
      <c r="M606" s="2210">
        <f>'Part IV-Utility Allowances'!M15</f>
        <v>14</v>
      </c>
      <c r="O606" s="2025"/>
      <c r="P606" s="2025"/>
      <c r="Q606" s="2025"/>
    </row>
    <row r="607" spans="1:25" ht="12" customHeight="1">
      <c r="B607" s="359" t="s">
        <v>3273</v>
      </c>
      <c r="C607" s="359"/>
      <c r="D607" s="359" t="s">
        <v>1492</v>
      </c>
      <c r="F607" s="2210">
        <f>'Part IV-Utility Allowances'!F16</f>
        <v>0</v>
      </c>
      <c r="G607" s="2210">
        <f>'Part IV-Utility Allowances'!G16</f>
        <v>0</v>
      </c>
      <c r="I607" s="2210">
        <f>'Part IV-Utility Allowances'!I16</f>
        <v>0</v>
      </c>
      <c r="J607" s="2210">
        <f>'Part IV-Utility Allowances'!J16</f>
        <v>0</v>
      </c>
      <c r="K607" s="2210">
        <f>'Part IV-Utility Allowances'!K16</f>
        <v>0</v>
      </c>
      <c r="L607" s="2210">
        <f>'Part IV-Utility Allowances'!L16</f>
        <v>0</v>
      </c>
      <c r="M607" s="2210">
        <f>'Part IV-Utility Allowances'!M16</f>
        <v>0</v>
      </c>
      <c r="O607" s="2025"/>
      <c r="P607" s="2025"/>
      <c r="Q607" s="2025"/>
    </row>
    <row r="608" spans="1:25" ht="12" customHeight="1">
      <c r="B608" s="359" t="s">
        <v>3274</v>
      </c>
      <c r="C608" s="359"/>
      <c r="D608" s="359" t="s">
        <v>1492</v>
      </c>
      <c r="F608" s="2210">
        <f>'Part IV-Utility Allowances'!F17</f>
        <v>0</v>
      </c>
      <c r="G608" s="2210">
        <f>'Part IV-Utility Allowances'!G17</f>
        <v>0</v>
      </c>
      <c r="I608" s="2210">
        <f>'Part IV-Utility Allowances'!I17</f>
        <v>0</v>
      </c>
      <c r="J608" s="2210">
        <f>'Part IV-Utility Allowances'!J17</f>
        <v>0</v>
      </c>
      <c r="K608" s="2210">
        <f>'Part IV-Utility Allowances'!K17</f>
        <v>0</v>
      </c>
      <c r="L608" s="2210">
        <f>'Part IV-Utility Allowances'!L17</f>
        <v>0</v>
      </c>
      <c r="M608" s="2210">
        <f>'Part IV-Utility Allowances'!M17</f>
        <v>0</v>
      </c>
      <c r="O608" s="2025"/>
      <c r="P608" s="2025"/>
      <c r="Q608" s="2025"/>
    </row>
    <row r="609" spans="1:25" ht="12" customHeight="1">
      <c r="B609" s="359" t="s">
        <v>3275</v>
      </c>
      <c r="C609" s="359"/>
      <c r="D609" s="359" t="s">
        <v>1492</v>
      </c>
      <c r="F609" s="2210" t="str">
        <f>'Part IV-Utility Allowances'!F18</f>
        <v>X</v>
      </c>
      <c r="G609" s="2210">
        <f>'Part IV-Utility Allowances'!G18</f>
        <v>0</v>
      </c>
      <c r="I609" s="2210">
        <f>'Part IV-Utility Allowances'!I18</f>
        <v>0</v>
      </c>
      <c r="J609" s="2210">
        <f>'Part IV-Utility Allowances'!J18</f>
        <v>22</v>
      </c>
      <c r="K609" s="2210">
        <f>'Part IV-Utility Allowances'!K18</f>
        <v>28</v>
      </c>
      <c r="L609" s="2210">
        <f>'Part IV-Utility Allowances'!L18</f>
        <v>34</v>
      </c>
      <c r="M609" s="2210">
        <f>'Part IV-Utility Allowances'!M18</f>
        <v>44</v>
      </c>
      <c r="O609" s="2025"/>
      <c r="P609" s="2025"/>
      <c r="Q609" s="2025"/>
    </row>
    <row r="610" spans="1:25" ht="12" customHeight="1">
      <c r="B610" s="359" t="s">
        <v>1293</v>
      </c>
      <c r="C610" s="359"/>
      <c r="D610" s="359" t="s">
        <v>6799</v>
      </c>
      <c r="E610" s="2210" t="str">
        <f>'Part IV-Utility Allowances'!E19</f>
        <v>Yes</v>
      </c>
      <c r="F610" s="2210">
        <f>'Part IV-Utility Allowances'!F19</f>
        <v>0</v>
      </c>
      <c r="G610" s="2210" t="str">
        <f>'Part IV-Utility Allowances'!G19</f>
        <v>X</v>
      </c>
      <c r="I610" s="2210">
        <f>'Part IV-Utility Allowances'!I19</f>
        <v>0</v>
      </c>
      <c r="J610" s="2210">
        <f>'Part IV-Utility Allowances'!J19</f>
        <v>0</v>
      </c>
      <c r="K610" s="2210">
        <f>'Part IV-Utility Allowances'!K19</f>
        <v>0</v>
      </c>
      <c r="L610" s="2210">
        <f>'Part IV-Utility Allowances'!L19</f>
        <v>0</v>
      </c>
      <c r="M610" s="2210">
        <f>'Part IV-Utility Allowances'!M19</f>
        <v>0</v>
      </c>
      <c r="O610" s="2025"/>
      <c r="P610" s="2025"/>
      <c r="Q610" s="2025"/>
    </row>
    <row r="611" spans="1:25" ht="12" customHeight="1">
      <c r="B611" s="359" t="s">
        <v>1715</v>
      </c>
      <c r="C611" s="359"/>
      <c r="F611" s="2210">
        <f>'Part IV-Utility Allowances'!F20</f>
        <v>0</v>
      </c>
      <c r="G611" s="2210" t="str">
        <f>'Part IV-Utility Allowances'!G20</f>
        <v>X</v>
      </c>
      <c r="I611" s="2210">
        <f>'Part IV-Utility Allowances'!I20</f>
        <v>0</v>
      </c>
      <c r="J611" s="2210">
        <f>'Part IV-Utility Allowances'!J20</f>
        <v>0</v>
      </c>
      <c r="K611" s="2210">
        <f>'Part IV-Utility Allowances'!K20</f>
        <v>0</v>
      </c>
      <c r="L611" s="2210">
        <f>'Part IV-Utility Allowances'!L20</f>
        <v>0</v>
      </c>
      <c r="M611" s="2210">
        <f>'Part IV-Utility Allowances'!M20</f>
        <v>0</v>
      </c>
      <c r="O611" s="2025"/>
      <c r="P611" s="2025"/>
      <c r="Q611" s="2025"/>
    </row>
    <row r="612" spans="1:25" ht="12" customHeight="1">
      <c r="B612" s="359" t="s">
        <v>690</v>
      </c>
      <c r="C612" s="2211">
        <f>'Part IV-Utility Allowances'!C21</f>
        <v>0</v>
      </c>
      <c r="D612" s="2211"/>
      <c r="E612" s="2211"/>
      <c r="F612" s="2210">
        <f>'Part IV-Utility Allowances'!F21</f>
        <v>0</v>
      </c>
      <c r="G612" s="2210">
        <f>'Part IV-Utility Allowances'!G21</f>
        <v>0</v>
      </c>
      <c r="I612" s="2210">
        <f>'Part IV-Utility Allowances'!I21</f>
        <v>0</v>
      </c>
      <c r="J612" s="2210">
        <f>'Part IV-Utility Allowances'!J21</f>
        <v>0</v>
      </c>
      <c r="K612" s="2210">
        <f>'Part IV-Utility Allowances'!K21</f>
        <v>0</v>
      </c>
      <c r="L612" s="2210">
        <f>'Part IV-Utility Allowances'!L21</f>
        <v>0</v>
      </c>
      <c r="M612" s="2210">
        <f>'Part IV-Utility Allowances'!M21</f>
        <v>0</v>
      </c>
      <c r="O612" s="2025"/>
      <c r="P612" s="2025"/>
      <c r="Q612" s="2025"/>
    </row>
    <row r="613" spans="1:25">
      <c r="B613" s="357" t="s">
        <v>957</v>
      </c>
      <c r="F613" s="1750"/>
      <c r="G613" s="1750"/>
      <c r="I613" s="1901">
        <f>IF(SUM(I603:I612)=0,0,IF(OR($D603="&lt;&lt;Select Fuel &gt;&gt;",$D604="&lt;&lt;Select Fuel &gt;&gt;",$D605="&lt;&lt;Select Fuel &gt;&gt;"),"Select Fuel",IF($E610="&lt;Select&gt;","Submeter?",SUM(I603:I612))))</f>
        <v>0</v>
      </c>
      <c r="J613" s="1901">
        <f>IF(SUM(J603:J612)=0,0,IF(OR($D603="&lt;&lt;Select Fuel &gt;&gt;",$D604="&lt;&lt;Select Fuel &gt;&gt;",$D605="&lt;&lt;Select Fuel &gt;&gt;"),"Select Fuel",IF($E610="&lt;Select&gt;","Submeter?",SUM(J603:J612))))</f>
        <v>60</v>
      </c>
      <c r="K613" s="1901">
        <f>IF(SUM(K603:K612)=0,0,IF(OR($D603="&lt;&lt;Select Fuel &gt;&gt;",$D604="&lt;&lt;Select Fuel &gt;&gt;",$D605="&lt;&lt;Select Fuel &gt;&gt;"),"Select Fuel",IF($E610="&lt;Select&gt;","Submeter?",SUM(K603:K612))))</f>
        <v>77</v>
      </c>
      <c r="L613" s="1901">
        <f>IF(SUM(L603:L612)=0,0,IF(OR($D603="&lt;&lt;Select Fuel &gt;&gt;",$D604="&lt;&lt;Select Fuel &gt;&gt;",$D605="&lt;&lt;Select Fuel &gt;&gt;"),"Select Fuel",IF($E610="&lt;Select&gt;","Submeter?",SUM(L603:L612))))</f>
        <v>98</v>
      </c>
      <c r="M613" s="1901">
        <f>IF(SUM(M603:M612)=0,0,IF(OR($D603="&lt;&lt;Select Fuel &gt;&gt;",$D604="&lt;&lt;Select Fuel &gt;&gt;",$D605="&lt;&lt;Select Fuel &gt;&gt;"),"Select Fuel",IF($E610="&lt;Select&gt;","Submeter?",SUM(M603:M612))))</f>
        <v>122</v>
      </c>
    </row>
    <row r="614" spans="1:25" ht="7.5" customHeight="1">
      <c r="O614" s="2020"/>
      <c r="P614" s="2020"/>
      <c r="Q614" s="2020"/>
      <c r="R614" s="2020"/>
      <c r="S614" s="2020"/>
      <c r="T614" s="2020"/>
      <c r="U614" s="2020"/>
      <c r="V614" s="1821"/>
      <c r="W614" s="1821"/>
      <c r="X614" s="1821"/>
      <c r="Y614" s="1821"/>
    </row>
    <row r="615" spans="1:25" ht="12.75" customHeight="1">
      <c r="A615" s="357" t="s">
        <v>689</v>
      </c>
      <c r="B615" s="357" t="s">
        <v>2061</v>
      </c>
      <c r="F615" s="359" t="s">
        <v>2318</v>
      </c>
      <c r="G615" s="359"/>
      <c r="H615" s="359"/>
      <c r="I615" s="2208">
        <f>'Part IV-Utility Allowances'!I24</f>
        <v>0</v>
      </c>
      <c r="J615" s="2208"/>
      <c r="K615" s="2208"/>
      <c r="L615" s="2208"/>
      <c r="M615" s="2208"/>
      <c r="O615" s="2020"/>
      <c r="P615" s="2020"/>
      <c r="Q615" s="2020"/>
      <c r="R615" s="2020"/>
      <c r="S615" s="2020"/>
      <c r="T615" s="2020"/>
      <c r="U615" s="2020"/>
      <c r="V615" s="1821"/>
      <c r="W615" s="1821"/>
      <c r="X615" s="1821"/>
      <c r="Y615" s="1821"/>
    </row>
    <row r="616" spans="1:25" ht="13.35" customHeight="1">
      <c r="F616" s="359" t="s">
        <v>593</v>
      </c>
      <c r="G616" s="359"/>
      <c r="H616" s="359"/>
      <c r="I616" s="2209">
        <f>'Part IV-Utility Allowances'!I25</f>
        <v>0</v>
      </c>
      <c r="J616" s="2209"/>
      <c r="K616" s="1901" t="s">
        <v>505</v>
      </c>
      <c r="L616" s="2079">
        <f>'Part IV-Utility Allowances'!L25</f>
        <v>0</v>
      </c>
      <c r="M616" s="2079"/>
      <c r="O616" s="2020"/>
      <c r="P616" s="2020"/>
      <c r="Q616" s="2020"/>
      <c r="R616" s="2020"/>
      <c r="S616" s="2020"/>
      <c r="T616" s="2020"/>
      <c r="U616" s="2020"/>
      <c r="V616" s="1821"/>
      <c r="W616" s="1821"/>
      <c r="X616" s="1821"/>
      <c r="Y616" s="1821"/>
    </row>
    <row r="617" spans="1:25" ht="4.5" customHeight="1">
      <c r="O617" s="2020"/>
      <c r="P617" s="2020"/>
      <c r="Q617" s="2020"/>
      <c r="R617" s="2020"/>
      <c r="S617" s="2020"/>
      <c r="T617" s="2020"/>
      <c r="U617" s="2020"/>
      <c r="V617" s="1821"/>
      <c r="W617" s="1821"/>
      <c r="X617" s="1821"/>
      <c r="Y617" s="1821"/>
    </row>
    <row r="618" spans="1:25">
      <c r="F618" s="357" t="s">
        <v>567</v>
      </c>
      <c r="I618" s="357" t="s">
        <v>193</v>
      </c>
      <c r="O618" s="2020"/>
      <c r="P618" s="2020"/>
      <c r="Q618" s="2020"/>
      <c r="R618" s="2020"/>
      <c r="S618" s="2020"/>
      <c r="T618" s="2020"/>
      <c r="U618" s="2020"/>
      <c r="V618" s="1821"/>
      <c r="W618" s="1821"/>
      <c r="X618" s="1821"/>
      <c r="Y618" s="1821"/>
    </row>
    <row r="619" spans="1:25">
      <c r="B619" s="357" t="s">
        <v>742</v>
      </c>
      <c r="D619" s="357" t="s">
        <v>1495</v>
      </c>
      <c r="F619" s="1750" t="s">
        <v>596</v>
      </c>
      <c r="G619" s="1750" t="s">
        <v>1714</v>
      </c>
      <c r="I619" s="1750" t="s">
        <v>526</v>
      </c>
      <c r="J619" s="1750">
        <v>1</v>
      </c>
      <c r="K619" s="1750">
        <v>2</v>
      </c>
      <c r="L619" s="1750">
        <v>3</v>
      </c>
      <c r="M619" s="1750">
        <v>4</v>
      </c>
      <c r="O619" s="2020"/>
      <c r="P619" s="2020"/>
      <c r="Q619" s="2020"/>
      <c r="R619" s="2020"/>
      <c r="S619" s="2020"/>
      <c r="T619" s="2020"/>
      <c r="U619" s="2020"/>
    </row>
    <row r="620" spans="1:25" ht="12" customHeight="1">
      <c r="B620" s="359" t="s">
        <v>1716</v>
      </c>
      <c r="C620" s="359"/>
      <c r="D620" s="2079" t="str">
        <f>'Part IV-Utility Allowances'!D29</f>
        <v>&lt;&lt;Select Fuel &gt;&gt;</v>
      </c>
      <c r="E620" s="2079"/>
      <c r="F620" s="2210">
        <f>'Part IV-Utility Allowances'!F29</f>
        <v>0</v>
      </c>
      <c r="G620" s="2210">
        <f>'Part IV-Utility Allowances'!G29</f>
        <v>0</v>
      </c>
      <c r="I620" s="2210">
        <f>'Part IV-Utility Allowances'!I29</f>
        <v>0</v>
      </c>
      <c r="J620" s="2210">
        <f>'Part IV-Utility Allowances'!J29</f>
        <v>0</v>
      </c>
      <c r="K620" s="2210">
        <f>'Part IV-Utility Allowances'!K29</f>
        <v>0</v>
      </c>
      <c r="L620" s="2210">
        <f>'Part IV-Utility Allowances'!L29</f>
        <v>0</v>
      </c>
      <c r="M620" s="2210">
        <f>'Part IV-Utility Allowances'!M29</f>
        <v>0</v>
      </c>
      <c r="O620" s="2020"/>
      <c r="P620" s="2020"/>
      <c r="Q620" s="2020"/>
      <c r="R620" s="2020"/>
      <c r="S620" s="2020"/>
      <c r="T620" s="2020"/>
      <c r="U620" s="2020"/>
    </row>
    <row r="621" spans="1:25" ht="12" customHeight="1">
      <c r="B621" s="359" t="s">
        <v>1493</v>
      </c>
      <c r="C621" s="359"/>
      <c r="D621" s="2079" t="str">
        <f>'Part IV-Utility Allowances'!D30</f>
        <v>&lt;&lt;Select Fuel &gt;&gt;</v>
      </c>
      <c r="E621" s="2079"/>
      <c r="F621" s="2210">
        <f>'Part IV-Utility Allowances'!F30</f>
        <v>0</v>
      </c>
      <c r="G621" s="2210">
        <f>'Part IV-Utility Allowances'!G30</f>
        <v>0</v>
      </c>
      <c r="I621" s="2210">
        <f>'Part IV-Utility Allowances'!I30</f>
        <v>0</v>
      </c>
      <c r="J621" s="2210">
        <f>'Part IV-Utility Allowances'!J30</f>
        <v>0</v>
      </c>
      <c r="K621" s="2210">
        <f>'Part IV-Utility Allowances'!K30</f>
        <v>0</v>
      </c>
      <c r="L621" s="2210">
        <f>'Part IV-Utility Allowances'!L30</f>
        <v>0</v>
      </c>
      <c r="M621" s="2210">
        <f>'Part IV-Utility Allowances'!M30</f>
        <v>0</v>
      </c>
      <c r="O621" s="2020"/>
      <c r="P621" s="2020"/>
      <c r="Q621" s="2020"/>
      <c r="R621" s="2020"/>
      <c r="S621" s="2020"/>
      <c r="T621" s="2020"/>
      <c r="U621" s="2020"/>
    </row>
    <row r="622" spans="1:25" ht="12" customHeight="1">
      <c r="B622" s="359" t="s">
        <v>1494</v>
      </c>
      <c r="C622" s="359"/>
      <c r="D622" s="2079" t="str">
        <f>'Part IV-Utility Allowances'!D31</f>
        <v>&lt;&lt;Select Fuel &gt;&gt;</v>
      </c>
      <c r="E622" s="2079"/>
      <c r="F622" s="2210">
        <f>'Part IV-Utility Allowances'!F31</f>
        <v>0</v>
      </c>
      <c r="G622" s="2210">
        <f>'Part IV-Utility Allowances'!G31</f>
        <v>0</v>
      </c>
      <c r="I622" s="2210">
        <f>'Part IV-Utility Allowances'!I31</f>
        <v>0</v>
      </c>
      <c r="J622" s="2210">
        <f>'Part IV-Utility Allowances'!J31</f>
        <v>0</v>
      </c>
      <c r="K622" s="2210">
        <f>'Part IV-Utility Allowances'!K31</f>
        <v>0</v>
      </c>
      <c r="L622" s="2210">
        <f>'Part IV-Utility Allowances'!L31</f>
        <v>0</v>
      </c>
      <c r="M622" s="2210">
        <f>'Part IV-Utility Allowances'!M31</f>
        <v>0</v>
      </c>
      <c r="O622" s="2025" t="s">
        <v>6761</v>
      </c>
      <c r="P622" s="2025"/>
      <c r="Q622" s="2025"/>
    </row>
    <row r="623" spans="1:25" ht="12" customHeight="1">
      <c r="B623" s="359" t="s">
        <v>440</v>
      </c>
      <c r="C623" s="359"/>
      <c r="D623" s="359" t="s">
        <v>1492</v>
      </c>
      <c r="F623" s="2210">
        <f>'Part IV-Utility Allowances'!F32</f>
        <v>0</v>
      </c>
      <c r="G623" s="2210">
        <f>'Part IV-Utility Allowances'!G32</f>
        <v>0</v>
      </c>
      <c r="I623" s="2210">
        <f>'Part IV-Utility Allowances'!I32</f>
        <v>0</v>
      </c>
      <c r="J623" s="2210">
        <f>'Part IV-Utility Allowances'!J32</f>
        <v>0</v>
      </c>
      <c r="K623" s="2210">
        <f>'Part IV-Utility Allowances'!K32</f>
        <v>0</v>
      </c>
      <c r="L623" s="2210">
        <f>'Part IV-Utility Allowances'!L32</f>
        <v>0</v>
      </c>
      <c r="M623" s="2210">
        <f>'Part IV-Utility Allowances'!M32</f>
        <v>0</v>
      </c>
      <c r="O623" s="2025"/>
      <c r="P623" s="2025"/>
      <c r="Q623" s="2025"/>
    </row>
    <row r="624" spans="1:25" ht="12" customHeight="1">
      <c r="B624" s="359" t="s">
        <v>3273</v>
      </c>
      <c r="C624" s="359"/>
      <c r="D624" s="359" t="s">
        <v>1492</v>
      </c>
      <c r="F624" s="2210">
        <f>'Part IV-Utility Allowances'!F33</f>
        <v>0</v>
      </c>
      <c r="G624" s="2210">
        <f>'Part IV-Utility Allowances'!G33</f>
        <v>0</v>
      </c>
      <c r="I624" s="2210">
        <f>'Part IV-Utility Allowances'!I33</f>
        <v>0</v>
      </c>
      <c r="J624" s="2210">
        <f>'Part IV-Utility Allowances'!J33</f>
        <v>0</v>
      </c>
      <c r="K624" s="2210">
        <f>'Part IV-Utility Allowances'!K33</f>
        <v>0</v>
      </c>
      <c r="L624" s="2210">
        <f>'Part IV-Utility Allowances'!L33</f>
        <v>0</v>
      </c>
      <c r="M624" s="2210">
        <f>'Part IV-Utility Allowances'!M33</f>
        <v>0</v>
      </c>
      <c r="O624" s="2025"/>
      <c r="P624" s="2025"/>
      <c r="Q624" s="2025"/>
    </row>
    <row r="625" spans="1:298" ht="12" customHeight="1">
      <c r="B625" s="359" t="s">
        <v>3274</v>
      </c>
      <c r="C625" s="359"/>
      <c r="D625" s="359" t="s">
        <v>1492</v>
      </c>
      <c r="F625" s="2210">
        <f>'Part IV-Utility Allowances'!F34</f>
        <v>0</v>
      </c>
      <c r="G625" s="2210">
        <f>'Part IV-Utility Allowances'!G34</f>
        <v>0</v>
      </c>
      <c r="I625" s="2210">
        <f>'Part IV-Utility Allowances'!I34</f>
        <v>0</v>
      </c>
      <c r="J625" s="2210">
        <f>'Part IV-Utility Allowances'!J34</f>
        <v>0</v>
      </c>
      <c r="K625" s="2210">
        <f>'Part IV-Utility Allowances'!K34</f>
        <v>0</v>
      </c>
      <c r="L625" s="2210">
        <f>'Part IV-Utility Allowances'!L34</f>
        <v>0</v>
      </c>
      <c r="M625" s="2210">
        <f>'Part IV-Utility Allowances'!M34</f>
        <v>0</v>
      </c>
      <c r="O625" s="2025"/>
      <c r="P625" s="2025"/>
      <c r="Q625" s="2025"/>
    </row>
    <row r="626" spans="1:298" ht="12" customHeight="1">
      <c r="B626" s="359" t="s">
        <v>3275</v>
      </c>
      <c r="C626" s="359"/>
      <c r="D626" s="359" t="s">
        <v>1492</v>
      </c>
      <c r="F626" s="2210">
        <f>'Part IV-Utility Allowances'!F35</f>
        <v>0</v>
      </c>
      <c r="G626" s="2210">
        <f>'Part IV-Utility Allowances'!G35</f>
        <v>0</v>
      </c>
      <c r="I626" s="2210">
        <f>'Part IV-Utility Allowances'!I35</f>
        <v>0</v>
      </c>
      <c r="J626" s="2210">
        <f>'Part IV-Utility Allowances'!J35</f>
        <v>0</v>
      </c>
      <c r="K626" s="2210">
        <f>'Part IV-Utility Allowances'!K35</f>
        <v>0</v>
      </c>
      <c r="L626" s="2210">
        <f>'Part IV-Utility Allowances'!L35</f>
        <v>0</v>
      </c>
      <c r="M626" s="2210">
        <f>'Part IV-Utility Allowances'!M35</f>
        <v>0</v>
      </c>
      <c r="O626" s="2025"/>
      <c r="P626" s="2025"/>
      <c r="Q626" s="2025"/>
    </row>
    <row r="627" spans="1:298" ht="12" customHeight="1">
      <c r="B627" s="359" t="s">
        <v>1293</v>
      </c>
      <c r="C627" s="359"/>
      <c r="D627" s="359" t="s">
        <v>6799</v>
      </c>
      <c r="E627" s="2210" t="str">
        <f>'Part IV-Utility Allowances'!E36</f>
        <v>&lt;Select&gt;</v>
      </c>
      <c r="F627" s="2210">
        <f>'Part IV-Utility Allowances'!F36</f>
        <v>0</v>
      </c>
      <c r="G627" s="2210">
        <f>'Part IV-Utility Allowances'!G36</f>
        <v>0</v>
      </c>
      <c r="I627" s="2210">
        <f>'Part IV-Utility Allowances'!I36</f>
        <v>0</v>
      </c>
      <c r="J627" s="2210">
        <f>'Part IV-Utility Allowances'!J36</f>
        <v>0</v>
      </c>
      <c r="K627" s="2210">
        <f>'Part IV-Utility Allowances'!K36</f>
        <v>0</v>
      </c>
      <c r="L627" s="2210">
        <f>'Part IV-Utility Allowances'!L36</f>
        <v>0</v>
      </c>
      <c r="M627" s="2210">
        <f>'Part IV-Utility Allowances'!M36</f>
        <v>0</v>
      </c>
      <c r="O627" s="2025"/>
      <c r="P627" s="2025"/>
      <c r="Q627" s="2025"/>
    </row>
    <row r="628" spans="1:298" ht="12" customHeight="1">
      <c r="B628" s="359" t="s">
        <v>1715</v>
      </c>
      <c r="C628" s="359"/>
      <c r="F628" s="2210">
        <f>'Part IV-Utility Allowances'!F37</f>
        <v>0</v>
      </c>
      <c r="G628" s="2210">
        <f>'Part IV-Utility Allowances'!G37</f>
        <v>0</v>
      </c>
      <c r="I628" s="2210">
        <f>'Part IV-Utility Allowances'!I37</f>
        <v>0</v>
      </c>
      <c r="J628" s="2210">
        <f>'Part IV-Utility Allowances'!J37</f>
        <v>0</v>
      </c>
      <c r="K628" s="2210">
        <f>'Part IV-Utility Allowances'!K37</f>
        <v>0</v>
      </c>
      <c r="L628" s="2210">
        <f>'Part IV-Utility Allowances'!L37</f>
        <v>0</v>
      </c>
      <c r="M628" s="2210">
        <f>'Part IV-Utility Allowances'!M37</f>
        <v>0</v>
      </c>
      <c r="O628" s="2025"/>
      <c r="P628" s="2025"/>
      <c r="Q628" s="2025"/>
    </row>
    <row r="629" spans="1:298" ht="12" customHeight="1">
      <c r="B629" s="359" t="s">
        <v>690</v>
      </c>
      <c r="C629" s="2211">
        <f>'Part IV-Utility Allowances'!C38</f>
        <v>0</v>
      </c>
      <c r="D629" s="2211"/>
      <c r="E629" s="2211"/>
      <c r="F629" s="2210">
        <f>'Part IV-Utility Allowances'!F38</f>
        <v>0</v>
      </c>
      <c r="G629" s="2210">
        <f>'Part IV-Utility Allowances'!G38</f>
        <v>0</v>
      </c>
      <c r="I629" s="2210">
        <f>'Part IV-Utility Allowances'!I38</f>
        <v>0</v>
      </c>
      <c r="J629" s="2210">
        <f>'Part IV-Utility Allowances'!J38</f>
        <v>0</v>
      </c>
      <c r="K629" s="2210">
        <f>'Part IV-Utility Allowances'!K38</f>
        <v>0</v>
      </c>
      <c r="L629" s="2210">
        <f>'Part IV-Utility Allowances'!L38</f>
        <v>0</v>
      </c>
      <c r="M629" s="2210">
        <f>'Part IV-Utility Allowances'!M38</f>
        <v>0</v>
      </c>
      <c r="O629" s="2025"/>
      <c r="P629" s="2025"/>
      <c r="Q629" s="2025"/>
    </row>
    <row r="630" spans="1:298">
      <c r="B630" s="357" t="s">
        <v>957</v>
      </c>
      <c r="F630" s="1750"/>
      <c r="G630" s="1750"/>
      <c r="I630" s="1901">
        <f>IF(SUM(I620:I629)=0,0,IF(OR($D620="&lt;&lt;Select Fuel &gt;&gt;",$D622="&lt;&lt;Select Fuel &gt;&gt;",$D623="&lt;&lt;Select Fuel &gt;&gt;"),"Select Fuel",IF($E627="&lt;Select&gt;","Submeter?",SUM(I620:I629))))</f>
        <v>0</v>
      </c>
      <c r="J630" s="1901">
        <f>IF(SUM(J620:J629)=0,0,IF(OR($D620="&lt;&lt;Select Fuel &gt;&gt;",$D622="&lt;&lt;Select Fuel &gt;&gt;",$D623="&lt;&lt;Select Fuel &gt;&gt;"),"Select Fuel",IF($E627="&lt;Select&gt;","Submeter?",SUM(J620:J629))))</f>
        <v>0</v>
      </c>
      <c r="K630" s="1901">
        <f>IF(SUM(K620:K629)=0,0,IF(OR($D620="&lt;&lt;Select Fuel &gt;&gt;",$D622="&lt;&lt;Select Fuel &gt;&gt;",$D623="&lt;&lt;Select Fuel &gt;&gt;"),"Select Fuel",IF($E627="&lt;Select&gt;","Submeter?",SUM(K620:K629))))</f>
        <v>0</v>
      </c>
      <c r="L630" s="1901">
        <f>IF(SUM(L620:L629)=0,0,IF(OR($D620="&lt;&lt;Select Fuel &gt;&gt;",$D622="&lt;&lt;Select Fuel &gt;&gt;",$D623="&lt;&lt;Select Fuel &gt;&gt;"),"Select Fuel",IF($E627="&lt;Select&gt;","Submeter?",SUM(L620:L629))))</f>
        <v>0</v>
      </c>
      <c r="M630" s="1901">
        <f>IF(SUM(M620:M629)=0,0,IF(OR($D620="&lt;&lt;Select Fuel &gt;&gt;",$D622="&lt;&lt;Select Fuel &gt;&gt;",$D623="&lt;&lt;Select Fuel &gt;&gt;"),"Select Fuel",IF($E627="&lt;Select&gt;","Submeter?",SUM(M620:M629))))</f>
        <v>0</v>
      </c>
      <c r="O630" s="2025"/>
      <c r="P630" s="2025"/>
      <c r="Q630" s="2025"/>
    </row>
    <row r="631" spans="1:298" ht="6" customHeight="1"/>
    <row r="632" spans="1:298">
      <c r="B632" s="807" t="s">
        <v>6800</v>
      </c>
      <c r="F632" s="1750"/>
      <c r="G632" s="1750"/>
      <c r="I632" s="1750"/>
      <c r="J632" s="1750"/>
      <c r="K632" s="1750"/>
      <c r="L632" s="1750"/>
      <c r="M632" s="1750"/>
    </row>
    <row r="633" spans="1:298" ht="12" customHeight="1">
      <c r="B633" s="357" t="s">
        <v>530</v>
      </c>
    </row>
    <row r="634" spans="1:298" ht="12.75" customHeight="1">
      <c r="B634" s="2114" t="str">
        <f>'Part IV-Utility Allowances'!B43</f>
        <v xml:space="preserve">The project consists of five low-rise multifamily apartment buildings and are using DCA's North Georgia, low-rise apartment utility allowance calculations.  The Project is part of a RAD Conversion and is providing replacement housing for a Gainesville Housing Authority property and will pay all water-and sewer, and trash.  </v>
      </c>
      <c r="C634" s="2114"/>
      <c r="D634" s="2114"/>
      <c r="E634" s="2114"/>
      <c r="F634" s="2114"/>
      <c r="G634" s="2114"/>
      <c r="H634" s="2114"/>
      <c r="I634" s="2114"/>
      <c r="J634" s="2114"/>
      <c r="K634" s="2114"/>
      <c r="L634" s="2114"/>
      <c r="M634" s="2114"/>
      <c r="O634" s="2018" t="s">
        <v>2453</v>
      </c>
      <c r="P634" s="2018"/>
      <c r="Q634" s="2018"/>
      <c r="R634" s="2018"/>
      <c r="S634" s="2018"/>
    </row>
    <row r="635" spans="1:298" ht="3" customHeight="1">
      <c r="O635" s="2018"/>
      <c r="P635" s="2018"/>
      <c r="Q635" s="2018"/>
      <c r="R635" s="2018"/>
      <c r="S635" s="2018"/>
    </row>
    <row r="636" spans="1:298" ht="12" customHeight="1">
      <c r="B636" s="357" t="s">
        <v>1711</v>
      </c>
      <c r="O636" s="2018"/>
      <c r="P636" s="2018"/>
      <c r="Q636" s="2018"/>
      <c r="R636" s="2018"/>
      <c r="S636" s="2018"/>
    </row>
    <row r="637" spans="1:298" ht="12.75" customHeight="1">
      <c r="B637" s="2114"/>
      <c r="C637" s="2114"/>
      <c r="D637" s="2114"/>
      <c r="E637" s="2114"/>
      <c r="F637" s="2114"/>
      <c r="G637" s="2114"/>
      <c r="H637" s="2114"/>
      <c r="I637" s="2114"/>
      <c r="J637" s="2114"/>
      <c r="K637" s="2114"/>
      <c r="L637" s="2114"/>
      <c r="M637" s="2114"/>
      <c r="O637" s="2018"/>
      <c r="P637" s="2018"/>
      <c r="Q637" s="2018"/>
      <c r="R637" s="2018"/>
      <c r="S637" s="2018"/>
    </row>
    <row r="640" spans="1:298" s="359" customFormat="1" ht="14.1" customHeight="1">
      <c r="A640" s="359" t="str">
        <f>CONCATENATE("PART FOUR - PROJECTED REVENUES &amp; EXPENSES","  -  ",'Part I-Project Identification'!$O$7," ",'Part I-Project Identification'!$F$29,", ",'Part I-Project Identification'!F668,", ",'Part I-Project Identification'!J668," County")</f>
        <v>PART FOUR - PROJECTED REVENUES &amp; EXPENSES  -  2022-522 Harrison Village Apartments, ,  County</v>
      </c>
      <c r="T640" s="359" t="str">
        <f>A640</f>
        <v>PART FOUR - PROJECTED REVENUES &amp; EXPENSES  -  2022-522 Harrison Village Apartments, ,  County</v>
      </c>
      <c r="HX640" s="1901"/>
      <c r="HY640" s="1901"/>
      <c r="HZ640" s="1901"/>
      <c r="IA640" s="1901"/>
      <c r="IB640" s="1901"/>
      <c r="IC640" s="1901"/>
      <c r="ID640" s="1901"/>
      <c r="IE640" s="1901"/>
      <c r="IF640" s="1901"/>
      <c r="IG640" s="1901"/>
      <c r="IH640" s="1901"/>
      <c r="II640" s="1901"/>
      <c r="IJ640" s="1901"/>
      <c r="IK640" s="1901"/>
      <c r="IL640" s="1901"/>
      <c r="IM640" s="1901"/>
      <c r="IN640" s="1901"/>
      <c r="IO640" s="1901"/>
      <c r="IP640" s="1901"/>
      <c r="IQ640" s="1901"/>
      <c r="IR640" s="1901"/>
      <c r="IS640" s="1901"/>
      <c r="IT640" s="1901"/>
      <c r="IU640" s="1901"/>
      <c r="IV640" s="1901"/>
      <c r="IW640" s="1901"/>
      <c r="IX640" s="1901"/>
      <c r="IY640" s="1901"/>
      <c r="IZ640" s="1901"/>
      <c r="JA640" s="1901"/>
      <c r="JB640" s="1901"/>
      <c r="JC640" s="1901"/>
      <c r="JD640" s="1901"/>
      <c r="JE640" s="1901"/>
      <c r="JF640" s="1901"/>
      <c r="JG640" s="1901"/>
      <c r="JH640" s="1901"/>
      <c r="JI640" s="1901"/>
      <c r="JJ640" s="1901"/>
      <c r="JK640" s="1901"/>
      <c r="JL640" s="1901"/>
      <c r="JM640" s="1901"/>
      <c r="JN640" s="1901"/>
      <c r="JO640" s="1901"/>
      <c r="JP640" s="1901"/>
      <c r="JQ640" s="1901"/>
      <c r="JR640" s="1901"/>
      <c r="JS640" s="1901"/>
      <c r="JT640" s="1901"/>
      <c r="JU640" s="1901"/>
      <c r="JV640" s="1901"/>
      <c r="JW640" s="1901"/>
      <c r="JX640" s="1901"/>
      <c r="JY640" s="1901"/>
      <c r="JZ640" s="1901"/>
      <c r="KA640" s="1901"/>
      <c r="KB640" s="1901"/>
      <c r="KC640" s="1901"/>
      <c r="KD640" s="1901"/>
      <c r="KE640" s="1901"/>
      <c r="KF640" s="1901"/>
      <c r="KG640" s="1901"/>
      <c r="KH640" s="1901"/>
      <c r="KI640" s="1901"/>
      <c r="KJ640" s="1901"/>
      <c r="KK640" s="1901"/>
      <c r="KL640" s="1901"/>
    </row>
    <row r="641" spans="1:380" ht="6" customHeight="1">
      <c r="X641" s="360"/>
      <c r="Y641" s="360"/>
      <c r="Z641" s="360"/>
      <c r="AA641" s="360"/>
      <c r="AB641" s="360"/>
      <c r="AC641" s="360"/>
      <c r="AD641" s="360"/>
      <c r="AE641" s="360"/>
      <c r="AF641" s="360"/>
      <c r="AG641" s="360"/>
      <c r="AH641" s="360"/>
      <c r="AI641" s="360"/>
      <c r="AJ641" s="360"/>
      <c r="AK641" s="360"/>
      <c r="AL641" s="360"/>
      <c r="AM641" s="360"/>
      <c r="AN641" s="360"/>
      <c r="AO641" s="360"/>
      <c r="AP641" s="360"/>
      <c r="AQ641" s="360"/>
      <c r="AR641" s="360"/>
      <c r="AS641" s="360"/>
      <c r="AT641" s="360"/>
      <c r="AU641" s="360"/>
      <c r="AV641" s="360"/>
      <c r="AW641" s="360"/>
      <c r="AX641" s="360"/>
      <c r="AY641" s="360"/>
      <c r="AZ641" s="360"/>
      <c r="BA641" s="360"/>
      <c r="BB641" s="360"/>
      <c r="BC641" s="360"/>
      <c r="BD641" s="360"/>
      <c r="BE641" s="360"/>
      <c r="BF641" s="360"/>
      <c r="BG641" s="360"/>
      <c r="BH641" s="360"/>
      <c r="BI641" s="360"/>
      <c r="BJ641" s="360"/>
      <c r="BK641" s="360"/>
      <c r="BL641" s="360"/>
      <c r="BM641" s="360"/>
      <c r="BN641" s="360"/>
      <c r="BO641" s="360"/>
      <c r="BP641" s="360"/>
      <c r="BQ641" s="360"/>
      <c r="BR641" s="360"/>
      <c r="BS641" s="360"/>
      <c r="BT641" s="360"/>
      <c r="BU641" s="360"/>
      <c r="BV641" s="360"/>
      <c r="BW641" s="360"/>
      <c r="BX641" s="360"/>
      <c r="BY641" s="360"/>
      <c r="BZ641" s="360"/>
      <c r="CA641" s="360"/>
      <c r="CB641" s="360"/>
      <c r="CC641" s="360"/>
      <c r="CD641" s="360"/>
      <c r="CE641" s="360"/>
      <c r="CF641" s="360"/>
      <c r="CG641" s="360"/>
      <c r="CH641" s="360"/>
      <c r="CI641" s="360"/>
      <c r="CJ641" s="360"/>
      <c r="CK641" s="360"/>
      <c r="CL641" s="360"/>
      <c r="CM641" s="360"/>
      <c r="CN641" s="360"/>
      <c r="CO641" s="360"/>
      <c r="CP641" s="360"/>
      <c r="CQ641" s="360"/>
      <c r="CR641" s="360"/>
      <c r="CS641" s="360"/>
      <c r="CT641" s="360"/>
      <c r="CU641" s="360"/>
      <c r="CV641" s="360"/>
      <c r="CW641" s="360"/>
      <c r="CX641" s="360"/>
      <c r="CY641" s="360"/>
      <c r="CZ641" s="360"/>
      <c r="DA641" s="360"/>
      <c r="DB641" s="360"/>
      <c r="DC641" s="360"/>
      <c r="DD641" s="360"/>
      <c r="DE641" s="360"/>
      <c r="DF641" s="360"/>
      <c r="DG641" s="360"/>
      <c r="DH641" s="360"/>
      <c r="DI641" s="360"/>
      <c r="DJ641" s="360"/>
      <c r="DK641" s="360"/>
      <c r="DL641" s="360"/>
      <c r="DM641" s="360"/>
      <c r="DN641" s="360"/>
      <c r="DO641" s="360"/>
      <c r="DP641" s="360"/>
      <c r="DQ641" s="360"/>
      <c r="DR641" s="360"/>
      <c r="DS641" s="360"/>
      <c r="DT641" s="360"/>
      <c r="DU641" s="360"/>
      <c r="DV641" s="360"/>
      <c r="DW641" s="360"/>
      <c r="DX641" s="360"/>
      <c r="DY641" s="360"/>
      <c r="DZ641" s="360"/>
      <c r="EA641" s="360"/>
      <c r="EB641" s="360"/>
      <c r="EC641" s="360"/>
      <c r="ED641" s="360"/>
      <c r="EE641" s="360"/>
      <c r="EF641" s="360"/>
      <c r="EG641" s="360"/>
      <c r="EH641" s="360"/>
      <c r="EI641" s="360"/>
      <c r="EJ641" s="360"/>
      <c r="EK641" s="360"/>
      <c r="EL641" s="360"/>
      <c r="EM641" s="360"/>
      <c r="EN641" s="360"/>
      <c r="EO641" s="360"/>
      <c r="EP641" s="360"/>
      <c r="EQ641" s="360"/>
      <c r="ER641" s="360"/>
      <c r="ES641" s="360"/>
      <c r="ET641" s="360"/>
      <c r="EU641" s="360"/>
      <c r="EV641" s="360"/>
      <c r="EW641" s="360"/>
      <c r="EX641" s="360"/>
      <c r="EY641" s="360"/>
      <c r="EZ641" s="360"/>
      <c r="FA641" s="360"/>
      <c r="FB641" s="360"/>
      <c r="FC641" s="360"/>
      <c r="FD641" s="360"/>
      <c r="FE641" s="360"/>
      <c r="FF641" s="360"/>
      <c r="FG641" s="360"/>
      <c r="FH641" s="360"/>
      <c r="FI641" s="360"/>
      <c r="FJ641" s="360"/>
      <c r="FK641" s="360"/>
      <c r="FL641" s="360"/>
      <c r="FM641" s="360"/>
      <c r="FN641" s="360"/>
      <c r="FO641" s="360"/>
      <c r="FP641" s="360"/>
      <c r="FQ641" s="360"/>
      <c r="FR641" s="360"/>
      <c r="FS641" s="360"/>
      <c r="FT641" s="360"/>
      <c r="FU641" s="360"/>
      <c r="FV641" s="360"/>
      <c r="FW641" s="360"/>
      <c r="FX641" s="360"/>
      <c r="FY641" s="360"/>
      <c r="FZ641" s="360"/>
      <c r="GA641" s="360"/>
      <c r="GB641" s="360"/>
      <c r="GC641" s="360"/>
      <c r="GD641" s="360"/>
      <c r="GE641" s="360"/>
      <c r="GF641" s="360"/>
      <c r="GG641" s="360"/>
      <c r="GH641" s="360"/>
      <c r="GI641" s="360"/>
      <c r="GJ641" s="360"/>
      <c r="GK641" s="360"/>
      <c r="GL641" s="360"/>
      <c r="GM641" s="360"/>
      <c r="GN641" s="360"/>
      <c r="GO641" s="360"/>
      <c r="GP641" s="360"/>
      <c r="GQ641" s="360"/>
      <c r="GR641" s="360"/>
      <c r="GS641" s="360"/>
      <c r="GT641" s="360"/>
      <c r="GU641" s="360"/>
      <c r="GV641" s="360"/>
      <c r="GW641" s="360"/>
      <c r="GX641" s="360"/>
      <c r="GY641" s="360"/>
      <c r="GZ641" s="360"/>
      <c r="HA641" s="360"/>
      <c r="HB641" s="360"/>
      <c r="HC641" s="360"/>
      <c r="HD641" s="360"/>
      <c r="HE641" s="360"/>
      <c r="HF641" s="360"/>
      <c r="HG641" s="360"/>
      <c r="HH641" s="360"/>
      <c r="HI641" s="360"/>
      <c r="HJ641" s="360"/>
      <c r="HK641" s="360"/>
      <c r="HL641" s="360"/>
      <c r="HM641" s="360"/>
      <c r="HN641" s="360"/>
      <c r="HO641" s="360"/>
      <c r="HP641" s="360"/>
      <c r="HQ641" s="360"/>
      <c r="HR641" s="360"/>
      <c r="HS641" s="360"/>
      <c r="HT641" s="360"/>
      <c r="HU641" s="360"/>
      <c r="HV641" s="360"/>
      <c r="HW641" s="360"/>
      <c r="HX641" s="360"/>
      <c r="HY641" s="360"/>
      <c r="HZ641" s="1883"/>
      <c r="IA641" s="1883"/>
      <c r="IB641" s="1883"/>
      <c r="IC641" s="1883"/>
      <c r="ID641" s="1883"/>
      <c r="IE641" s="1883"/>
      <c r="IF641" s="1883"/>
      <c r="IG641" s="1883"/>
      <c r="IH641" s="1883"/>
      <c r="II641" s="1883"/>
      <c r="IJ641" s="1883"/>
      <c r="IK641" s="1883"/>
      <c r="IL641" s="1883"/>
      <c r="IM641" s="1883"/>
      <c r="IN641" s="1883"/>
      <c r="IO641" s="1883"/>
      <c r="IP641" s="1883"/>
      <c r="IQ641" s="1883"/>
      <c r="IR641" s="1883"/>
      <c r="IS641" s="1883"/>
      <c r="IT641" s="1883"/>
      <c r="IU641" s="1883"/>
      <c r="IV641" s="1883"/>
      <c r="IW641" s="1883"/>
      <c r="IX641" s="1883"/>
      <c r="IY641" s="1883"/>
      <c r="IZ641" s="1883"/>
      <c r="JA641" s="1883"/>
      <c r="JB641" s="1883"/>
      <c r="JC641" s="1883"/>
      <c r="JD641" s="1883"/>
      <c r="JE641" s="1883"/>
      <c r="JF641" s="1883"/>
      <c r="JG641" s="1883"/>
      <c r="JH641" s="1883"/>
      <c r="JI641" s="1883"/>
      <c r="JJ641" s="1883"/>
      <c r="JK641" s="1883"/>
      <c r="JL641" s="1883"/>
      <c r="JM641" s="1883"/>
      <c r="JN641" s="1883"/>
      <c r="JO641" s="1883"/>
      <c r="JP641" s="1883"/>
      <c r="JQ641" s="1883"/>
      <c r="JR641" s="1883"/>
      <c r="JS641" s="1883"/>
      <c r="JT641" s="1883"/>
      <c r="JU641" s="1883"/>
      <c r="JV641" s="1883"/>
      <c r="JW641" s="1883"/>
      <c r="JX641" s="1883"/>
      <c r="JY641" s="1883"/>
      <c r="JZ641" s="1883"/>
      <c r="KA641" s="1883"/>
      <c r="KB641" s="1883"/>
      <c r="KC641" s="1883"/>
      <c r="KD641" s="1883"/>
      <c r="KE641" s="1883"/>
      <c r="KF641" s="1883"/>
      <c r="KG641" s="1883"/>
      <c r="KH641" s="1883"/>
      <c r="KI641" s="1883"/>
      <c r="KJ641" s="1883"/>
      <c r="KK641" s="1883"/>
      <c r="KL641" s="1883"/>
      <c r="KM641" s="360"/>
      <c r="KN641" s="360"/>
      <c r="KO641" s="360"/>
      <c r="KP641" s="360"/>
      <c r="KQ641" s="360"/>
      <c r="KR641" s="360"/>
      <c r="KS641" s="360"/>
      <c r="KT641" s="360"/>
      <c r="KU641" s="360"/>
      <c r="KV641" s="360"/>
      <c r="KW641" s="360"/>
      <c r="KX641" s="360"/>
      <c r="KY641" s="360"/>
      <c r="KZ641" s="360"/>
      <c r="LA641" s="360"/>
      <c r="LB641" s="360"/>
      <c r="LC641" s="360"/>
      <c r="LD641" s="360"/>
      <c r="LE641" s="360"/>
      <c r="LF641" s="360"/>
      <c r="LL641" s="360"/>
      <c r="LM641" s="360"/>
      <c r="LN641" s="360"/>
      <c r="LO641" s="360"/>
      <c r="LP641" s="360"/>
      <c r="LQ641" s="360"/>
      <c r="LR641" s="360"/>
      <c r="LS641" s="360"/>
      <c r="LT641" s="360"/>
      <c r="LU641" s="360"/>
      <c r="LV641" s="360"/>
      <c r="LW641" s="360"/>
      <c r="LX641" s="360"/>
      <c r="LY641" s="360"/>
      <c r="LZ641" s="360"/>
      <c r="MA641" s="360"/>
      <c r="MB641" s="360"/>
      <c r="MC641" s="360"/>
      <c r="MD641" s="360"/>
      <c r="ME641" s="360"/>
    </row>
    <row r="642" spans="1:380" s="359" customFormat="1" ht="12.6" customHeight="1">
      <c r="A642" s="359" t="s">
        <v>573</v>
      </c>
      <c r="B642" s="359" t="s">
        <v>2184</v>
      </c>
      <c r="D642" s="2074" t="s">
        <v>6099</v>
      </c>
      <c r="E642" s="2074"/>
      <c r="F642" s="2074"/>
      <c r="G642" s="2074"/>
      <c r="H642" s="2074"/>
      <c r="I642" s="2074"/>
      <c r="J642" s="2074"/>
      <c r="O642" s="1884" t="s">
        <v>534</v>
      </c>
      <c r="P642" s="2212" t="str">
        <f>'Part I-Project Identification'!$O$32</f>
        <v>Gainesville</v>
      </c>
      <c r="Q642" s="2212"/>
      <c r="T642" s="359" t="str">
        <f>B642</f>
        <v>RENT SCHEDULE</v>
      </c>
      <c r="X642" s="1505"/>
      <c r="Y642" s="1505"/>
      <c r="Z642" s="1505"/>
      <c r="AA642" s="1505"/>
      <c r="AB642" s="1505"/>
      <c r="AC642" s="1505"/>
      <c r="AD642" s="1505"/>
      <c r="AE642" s="1505"/>
      <c r="AF642" s="1505"/>
      <c r="AG642" s="1505"/>
      <c r="AH642" s="1505"/>
      <c r="AI642" s="1505"/>
      <c r="AJ642" s="1505"/>
      <c r="AK642" s="1505"/>
      <c r="AL642" s="1505"/>
      <c r="AM642" s="1505"/>
      <c r="AN642" s="1505"/>
      <c r="AO642" s="1505"/>
      <c r="AP642" s="1505"/>
      <c r="AQ642" s="1505"/>
      <c r="AR642" s="1505"/>
      <c r="AS642" s="1505"/>
      <c r="AT642" s="1505"/>
      <c r="AU642" s="1505"/>
      <c r="AV642" s="1505"/>
      <c r="AW642" s="1505"/>
      <c r="AX642" s="1505"/>
      <c r="AY642" s="1505"/>
      <c r="AZ642" s="1505"/>
      <c r="BA642" s="1505"/>
      <c r="BB642" s="1505"/>
      <c r="BC642" s="1505"/>
      <c r="BD642" s="1505"/>
      <c r="BE642" s="1505"/>
      <c r="BF642" s="1505"/>
      <c r="BG642" s="1505"/>
      <c r="BH642" s="1505"/>
      <c r="BI642" s="1505"/>
      <c r="BJ642" s="1505"/>
      <c r="BK642" s="1505"/>
      <c r="BL642" s="1505"/>
      <c r="BM642" s="1505"/>
      <c r="BN642" s="1505"/>
      <c r="BO642" s="1505"/>
      <c r="BP642" s="1505"/>
      <c r="BQ642" s="1505"/>
      <c r="BR642" s="1505"/>
      <c r="BS642" s="1505"/>
      <c r="BT642" s="1505"/>
      <c r="BU642" s="1505"/>
      <c r="BV642" s="1505"/>
      <c r="BW642" s="1505"/>
      <c r="BX642" s="1505"/>
      <c r="BY642" s="1505"/>
      <c r="BZ642" s="1505"/>
      <c r="CA642" s="1505"/>
      <c r="CB642" s="1505"/>
      <c r="CC642" s="1505"/>
      <c r="CD642" s="1505"/>
      <c r="CE642" s="1505"/>
      <c r="CF642" s="1505"/>
      <c r="CG642" s="1505"/>
      <c r="CH642" s="1505"/>
      <c r="CI642" s="1505"/>
      <c r="CJ642" s="1505"/>
      <c r="CK642" s="1505"/>
      <c r="CL642" s="1505"/>
      <c r="CM642" s="1505"/>
      <c r="CN642" s="1505"/>
      <c r="CO642" s="1505"/>
      <c r="CP642" s="1505"/>
      <c r="CQ642" s="1505"/>
      <c r="CR642" s="1505"/>
      <c r="CS642" s="1505"/>
      <c r="CT642" s="1505"/>
      <c r="CU642" s="1505"/>
      <c r="CV642" s="1505"/>
      <c r="CW642" s="1505"/>
      <c r="CX642" s="1505"/>
      <c r="CY642" s="1505"/>
      <c r="CZ642" s="1505"/>
      <c r="DA642" s="1505"/>
      <c r="DB642" s="1505"/>
      <c r="DC642" s="1505"/>
      <c r="DD642" s="1505"/>
      <c r="DE642" s="1505"/>
      <c r="DF642" s="1505"/>
      <c r="DG642" s="1505"/>
      <c r="DH642" s="1505"/>
      <c r="DI642" s="1505"/>
      <c r="DJ642" s="1505"/>
      <c r="DK642" s="1505"/>
      <c r="DL642" s="1505"/>
      <c r="DM642" s="1505"/>
      <c r="DN642" s="1505"/>
      <c r="DO642" s="1505"/>
      <c r="DP642" s="1505"/>
      <c r="DQ642" s="1505"/>
      <c r="DR642" s="1505"/>
      <c r="DS642" s="1505"/>
      <c r="DT642" s="1505"/>
      <c r="DU642" s="1505"/>
      <c r="DV642" s="1505"/>
      <c r="DW642" s="1505"/>
      <c r="DX642" s="1505"/>
      <c r="DY642" s="1505"/>
      <c r="DZ642" s="1505"/>
      <c r="EA642" s="1505"/>
      <c r="EB642" s="1505"/>
      <c r="EC642" s="1505"/>
      <c r="ED642" s="1505"/>
      <c r="EE642" s="1505"/>
      <c r="EF642" s="1505"/>
      <c r="EG642" s="1505"/>
      <c r="EH642" s="1505"/>
      <c r="EI642" s="1505"/>
      <c r="EJ642" s="1505"/>
      <c r="EK642" s="1505"/>
      <c r="EL642" s="1505"/>
      <c r="EM642" s="1505"/>
      <c r="EN642" s="1505"/>
      <c r="EO642" s="1505"/>
      <c r="EP642" s="1505"/>
      <c r="EQ642" s="1505"/>
      <c r="ER642" s="1505"/>
      <c r="ES642" s="1505"/>
      <c r="ET642" s="1505"/>
      <c r="EU642" s="1505"/>
      <c r="EV642" s="1505"/>
      <c r="EW642" s="1505"/>
      <c r="EX642" s="1505"/>
      <c r="EY642" s="1505"/>
      <c r="EZ642" s="1505"/>
      <c r="FA642" s="1505"/>
      <c r="FB642" s="1505"/>
      <c r="FC642" s="1505"/>
      <c r="FD642" s="1505"/>
      <c r="FE642" s="1505"/>
      <c r="FF642" s="1505"/>
      <c r="FG642" s="1505"/>
      <c r="FH642" s="1505"/>
      <c r="FI642" s="1505"/>
      <c r="FJ642" s="1505"/>
      <c r="FK642" s="1505"/>
      <c r="FL642" s="1505"/>
      <c r="FM642" s="1505"/>
      <c r="FN642" s="1505"/>
      <c r="FO642" s="1505"/>
      <c r="FP642" s="1505"/>
      <c r="FQ642" s="1505"/>
      <c r="FR642" s="1505"/>
      <c r="FS642" s="1505"/>
      <c r="FT642" s="1505"/>
      <c r="FU642" s="1505"/>
      <c r="FV642" s="1505"/>
      <c r="FW642" s="1505"/>
      <c r="FX642" s="1505"/>
      <c r="FY642" s="1505"/>
      <c r="FZ642" s="1505"/>
      <c r="GA642" s="1505"/>
      <c r="GB642" s="1505"/>
      <c r="GC642" s="1505"/>
      <c r="GD642" s="1505"/>
      <c r="GE642" s="1505"/>
      <c r="GF642" s="1505"/>
      <c r="GG642" s="1505"/>
      <c r="GH642" s="1505"/>
      <c r="GI642" s="1505"/>
      <c r="GJ642" s="1505"/>
      <c r="GK642" s="1505"/>
      <c r="GL642" s="1505"/>
      <c r="GM642" s="1505"/>
      <c r="GN642" s="1505"/>
      <c r="GO642" s="1505"/>
      <c r="GP642" s="1505"/>
      <c r="GQ642" s="1505"/>
      <c r="GR642" s="1505"/>
      <c r="GS642" s="1505"/>
      <c r="GT642" s="1505"/>
      <c r="GU642" s="1505"/>
      <c r="GV642" s="1505"/>
      <c r="GW642" s="1505"/>
      <c r="GX642" s="1505"/>
      <c r="GY642" s="1505"/>
      <c r="GZ642" s="1505"/>
      <c r="HA642" s="1505"/>
      <c r="HB642" s="1505"/>
      <c r="HC642" s="1505"/>
      <c r="HD642" s="1505"/>
      <c r="HE642" s="1505"/>
      <c r="HF642" s="1505"/>
      <c r="HG642" s="1505"/>
      <c r="HH642" s="1505"/>
      <c r="HI642" s="1505"/>
      <c r="HJ642" s="1505"/>
      <c r="HK642" s="1505"/>
      <c r="HL642" s="1505"/>
      <c r="HM642" s="1505"/>
      <c r="HN642" s="1505"/>
      <c r="HO642" s="1505"/>
      <c r="HP642" s="1505"/>
      <c r="HQ642" s="1505"/>
      <c r="HR642" s="1505"/>
      <c r="HS642" s="1505"/>
      <c r="HT642" s="1505"/>
      <c r="HU642" s="1505"/>
      <c r="HV642" s="1505"/>
      <c r="HW642" s="1505"/>
      <c r="HX642" s="1505"/>
      <c r="HY642" s="1505"/>
      <c r="HZ642" s="1902"/>
      <c r="IA642" s="1902"/>
      <c r="IB642" s="1902"/>
      <c r="IC642" s="1902"/>
      <c r="ID642" s="1902"/>
      <c r="IE642" s="1883" t="s">
        <v>457</v>
      </c>
      <c r="IF642" s="1883" t="s">
        <v>2246</v>
      </c>
      <c r="IG642" s="1883" t="s">
        <v>2247</v>
      </c>
      <c r="IH642" s="1883" t="s">
        <v>2248</v>
      </c>
      <c r="II642" s="1883" t="s">
        <v>2249</v>
      </c>
      <c r="IJ642" s="1883" t="s">
        <v>457</v>
      </c>
      <c r="IK642" s="1883" t="s">
        <v>2246</v>
      </c>
      <c r="IL642" s="1883" t="s">
        <v>2247</v>
      </c>
      <c r="IM642" s="1883" t="s">
        <v>2248</v>
      </c>
      <c r="IN642" s="1883" t="s">
        <v>2249</v>
      </c>
      <c r="IO642" s="1902"/>
      <c r="IP642" s="1902"/>
      <c r="IQ642" s="1902"/>
      <c r="IR642" s="1902"/>
      <c r="IS642" s="1902"/>
      <c r="IT642" s="1902"/>
      <c r="IU642" s="1902"/>
      <c r="IV642" s="1902"/>
      <c r="IW642" s="1902"/>
      <c r="IX642" s="1902"/>
      <c r="IY642" s="1883" t="s">
        <v>457</v>
      </c>
      <c r="IZ642" s="1883" t="s">
        <v>2246</v>
      </c>
      <c r="JA642" s="1883" t="s">
        <v>2247</v>
      </c>
      <c r="JB642" s="1883" t="s">
        <v>2248</v>
      </c>
      <c r="JC642" s="1883" t="s">
        <v>2249</v>
      </c>
      <c r="JD642" s="1883" t="s">
        <v>457</v>
      </c>
      <c r="JE642" s="1883" t="s">
        <v>2246</v>
      </c>
      <c r="JF642" s="1883" t="s">
        <v>2247</v>
      </c>
      <c r="JG642" s="1883" t="s">
        <v>2248</v>
      </c>
      <c r="JH642" s="1883" t="s">
        <v>2249</v>
      </c>
      <c r="JI642" s="1883" t="s">
        <v>457</v>
      </c>
      <c r="JJ642" s="1883" t="s">
        <v>2246</v>
      </c>
      <c r="JK642" s="1883" t="s">
        <v>2247</v>
      </c>
      <c r="JL642" s="1883" t="s">
        <v>2248</v>
      </c>
      <c r="JM642" s="1883" t="s">
        <v>2249</v>
      </c>
      <c r="JN642" s="1883" t="s">
        <v>457</v>
      </c>
      <c r="JO642" s="1883" t="s">
        <v>2246</v>
      </c>
      <c r="JP642" s="1883" t="s">
        <v>2247</v>
      </c>
      <c r="JQ642" s="1883" t="s">
        <v>2248</v>
      </c>
      <c r="JR642" s="1883" t="s">
        <v>2249</v>
      </c>
      <c r="JS642" s="1883" t="s">
        <v>457</v>
      </c>
      <c r="JT642" s="1883" t="s">
        <v>2246</v>
      </c>
      <c r="JU642" s="1883" t="s">
        <v>2247</v>
      </c>
      <c r="JV642" s="1883" t="s">
        <v>2248</v>
      </c>
      <c r="JW642" s="1883" t="s">
        <v>2249</v>
      </c>
      <c r="JX642" s="1883" t="s">
        <v>457</v>
      </c>
      <c r="JY642" s="1883" t="s">
        <v>2246</v>
      </c>
      <c r="JZ642" s="1883" t="s">
        <v>2247</v>
      </c>
      <c r="KA642" s="1883" t="s">
        <v>2248</v>
      </c>
      <c r="KB642" s="1883" t="s">
        <v>2249</v>
      </c>
      <c r="KC642" s="1883" t="s">
        <v>457</v>
      </c>
      <c r="KD642" s="1883" t="s">
        <v>2246</v>
      </c>
      <c r="KE642" s="1883" t="s">
        <v>2247</v>
      </c>
      <c r="KF642" s="1883" t="s">
        <v>2248</v>
      </c>
      <c r="KG642" s="1883" t="s">
        <v>2249</v>
      </c>
      <c r="KH642" s="1883" t="s">
        <v>457</v>
      </c>
      <c r="KI642" s="1883" t="s">
        <v>2246</v>
      </c>
      <c r="KJ642" s="1883" t="s">
        <v>2247</v>
      </c>
      <c r="KK642" s="1883" t="s">
        <v>2248</v>
      </c>
      <c r="KL642" s="1883" t="s">
        <v>2249</v>
      </c>
      <c r="KM642" s="1883" t="s">
        <v>457</v>
      </c>
      <c r="KN642" s="1883" t="s">
        <v>2246</v>
      </c>
      <c r="KO642" s="1883" t="s">
        <v>2247</v>
      </c>
      <c r="KP642" s="1883" t="s">
        <v>2248</v>
      </c>
      <c r="KQ642" s="1883" t="s">
        <v>2249</v>
      </c>
      <c r="KR642" s="1883" t="s">
        <v>457</v>
      </c>
      <c r="KS642" s="1883" t="s">
        <v>2246</v>
      </c>
      <c r="KT642" s="1883" t="s">
        <v>2247</v>
      </c>
      <c r="KU642" s="1883" t="s">
        <v>2248</v>
      </c>
      <c r="KV642" s="1883" t="s">
        <v>2249</v>
      </c>
      <c r="KW642" s="1883" t="s">
        <v>457</v>
      </c>
      <c r="KX642" s="1883" t="s">
        <v>2246</v>
      </c>
      <c r="KY642" s="1883" t="s">
        <v>2247</v>
      </c>
      <c r="KZ642" s="1883" t="s">
        <v>2248</v>
      </c>
      <c r="LA642" s="1883" t="s">
        <v>2249</v>
      </c>
      <c r="LB642" s="1883" t="s">
        <v>457</v>
      </c>
      <c r="LC642" s="1883" t="s">
        <v>2246</v>
      </c>
      <c r="LD642" s="1883" t="s">
        <v>2247</v>
      </c>
      <c r="LE642" s="1883" t="s">
        <v>2248</v>
      </c>
      <c r="LF642" s="1883" t="s">
        <v>2249</v>
      </c>
      <c r="LG642" s="1505"/>
      <c r="LH642" s="1505"/>
      <c r="LI642" s="1505"/>
      <c r="LJ642" s="1505"/>
      <c r="LK642" s="1505"/>
      <c r="LL642" s="1505"/>
      <c r="LM642" s="1505"/>
      <c r="LN642" s="1505"/>
      <c r="LO642" s="1505"/>
      <c r="LP642" s="1505"/>
      <c r="LQ642" s="1505"/>
      <c r="LR642" s="1505"/>
      <c r="LS642" s="1505"/>
      <c r="LT642" s="1505"/>
      <c r="LU642" s="1505"/>
      <c r="LV642" s="1505"/>
      <c r="LW642" s="1505"/>
      <c r="LX642" s="1505"/>
      <c r="LY642" s="1505"/>
      <c r="LZ642" s="1505"/>
      <c r="MA642" s="1505"/>
      <c r="MB642" s="1505"/>
      <c r="MC642" s="1505"/>
      <c r="MD642" s="1505"/>
      <c r="ME642" s="1505"/>
      <c r="MF642" s="2213" t="s">
        <v>3048</v>
      </c>
      <c r="MG642" s="2213" t="s">
        <v>3049</v>
      </c>
      <c r="MH642" s="2213" t="s">
        <v>3050</v>
      </c>
      <c r="MI642" s="2213" t="s">
        <v>3051</v>
      </c>
      <c r="MJ642" s="2213" t="s">
        <v>3052</v>
      </c>
      <c r="MK642" s="1505"/>
      <c r="ML642" s="1505"/>
      <c r="MM642" s="1505"/>
      <c r="MN642" s="1505"/>
      <c r="MO642" s="1505"/>
      <c r="MP642" s="1505"/>
      <c r="MQ642" s="1505"/>
      <c r="MR642" s="1505"/>
      <c r="MS642" s="1505"/>
      <c r="MT642" s="1505"/>
    </row>
    <row r="643" spans="1:380" s="359" customFormat="1" ht="3" customHeight="1">
      <c r="D643" s="2074"/>
      <c r="E643" s="2074"/>
      <c r="F643" s="2074"/>
      <c r="G643" s="2074"/>
      <c r="H643" s="2074"/>
      <c r="I643" s="2074"/>
      <c r="J643" s="2074"/>
      <c r="P643" s="2212"/>
      <c r="Q643" s="2213" t="s">
        <v>6845</v>
      </c>
      <c r="R643" s="2011"/>
      <c r="S643" s="2025"/>
      <c r="T643" s="2025"/>
      <c r="U643" s="2025"/>
      <c r="X643" s="2213" t="s">
        <v>3685</v>
      </c>
      <c r="Y643" s="2213" t="s">
        <v>3686</v>
      </c>
      <c r="Z643" s="2213" t="s">
        <v>3687</v>
      </c>
      <c r="AA643" s="2213" t="s">
        <v>3688</v>
      </c>
      <c r="AB643" s="2213" t="s">
        <v>3689</v>
      </c>
      <c r="AC643" s="2213" t="s">
        <v>3690</v>
      </c>
      <c r="AD643" s="2213" t="s">
        <v>3691</v>
      </c>
      <c r="AE643" s="2213" t="s">
        <v>3692</v>
      </c>
      <c r="AF643" s="2213" t="s">
        <v>3693</v>
      </c>
      <c r="AG643" s="2213" t="s">
        <v>3694</v>
      </c>
      <c r="AH643" s="2213" t="s">
        <v>861</v>
      </c>
      <c r="AI643" s="2213" t="s">
        <v>705</v>
      </c>
      <c r="AJ643" s="2213" t="s">
        <v>706</v>
      </c>
      <c r="AK643" s="2213" t="s">
        <v>707</v>
      </c>
      <c r="AL643" s="2213" t="s">
        <v>708</v>
      </c>
      <c r="AM643" s="2213" t="s">
        <v>862</v>
      </c>
      <c r="AN643" s="2213" t="s">
        <v>2132</v>
      </c>
      <c r="AO643" s="2213" t="s">
        <v>2133</v>
      </c>
      <c r="AP643" s="2213" t="s">
        <v>2134</v>
      </c>
      <c r="AQ643" s="2213" t="s">
        <v>2135</v>
      </c>
      <c r="AR643" s="2213" t="s">
        <v>3696</v>
      </c>
      <c r="AS643" s="2213" t="s">
        <v>3697</v>
      </c>
      <c r="AT643" s="2213" t="s">
        <v>3698</v>
      </c>
      <c r="AU643" s="2213" t="s">
        <v>3699</v>
      </c>
      <c r="AV643" s="2213" t="s">
        <v>3695</v>
      </c>
      <c r="AW643" s="2213" t="s">
        <v>863</v>
      </c>
      <c r="AX643" s="2213" t="s">
        <v>2136</v>
      </c>
      <c r="AY643" s="2213" t="s">
        <v>2137</v>
      </c>
      <c r="AZ643" s="2213" t="s">
        <v>2138</v>
      </c>
      <c r="BA643" s="2213" t="s">
        <v>2139</v>
      </c>
      <c r="BB643" s="2213" t="s">
        <v>3700</v>
      </c>
      <c r="BC643" s="2213" t="s">
        <v>3701</v>
      </c>
      <c r="BD643" s="2213" t="s">
        <v>3702</v>
      </c>
      <c r="BE643" s="2213" t="s">
        <v>3703</v>
      </c>
      <c r="BF643" s="2213" t="s">
        <v>3704</v>
      </c>
      <c r="BG643" s="2213" t="s">
        <v>123</v>
      </c>
      <c r="BH643" s="2213" t="s">
        <v>2140</v>
      </c>
      <c r="BI643" s="2213" t="s">
        <v>2141</v>
      </c>
      <c r="BJ643" s="2213" t="s">
        <v>2142</v>
      </c>
      <c r="BK643" s="2213" t="s">
        <v>1081</v>
      </c>
      <c r="BL643" s="2213" t="s">
        <v>3705</v>
      </c>
      <c r="BM643" s="2213" t="s">
        <v>3706</v>
      </c>
      <c r="BN643" s="2213" t="s">
        <v>3707</v>
      </c>
      <c r="BO643" s="2213" t="s">
        <v>3708</v>
      </c>
      <c r="BP643" s="2213" t="s">
        <v>3709</v>
      </c>
      <c r="BQ643" s="2213" t="s">
        <v>517</v>
      </c>
      <c r="BR643" s="2213" t="s">
        <v>518</v>
      </c>
      <c r="BS643" s="2213" t="s">
        <v>535</v>
      </c>
      <c r="BT643" s="2213" t="s">
        <v>536</v>
      </c>
      <c r="BU643" s="2213" t="s">
        <v>537</v>
      </c>
      <c r="BV643" s="2213" t="s">
        <v>3710</v>
      </c>
      <c r="BW643" s="2213" t="s">
        <v>3711</v>
      </c>
      <c r="BX643" s="2213" t="s">
        <v>3712</v>
      </c>
      <c r="BY643" s="2213" t="s">
        <v>3713</v>
      </c>
      <c r="BZ643" s="2213" t="s">
        <v>3714</v>
      </c>
      <c r="CA643" s="2213" t="s">
        <v>538</v>
      </c>
      <c r="CB643" s="2213" t="s">
        <v>539</v>
      </c>
      <c r="CC643" s="2213" t="s">
        <v>540</v>
      </c>
      <c r="CD643" s="2213" t="s">
        <v>541</v>
      </c>
      <c r="CE643" s="2213" t="s">
        <v>542</v>
      </c>
      <c r="CF643" s="2213" t="s">
        <v>543</v>
      </c>
      <c r="CG643" s="2213" t="s">
        <v>544</v>
      </c>
      <c r="CH643" s="2213" t="s">
        <v>872</v>
      </c>
      <c r="CI643" s="2213" t="s">
        <v>873</v>
      </c>
      <c r="CJ643" s="2213" t="s">
        <v>874</v>
      </c>
      <c r="CK643" s="2213" t="s">
        <v>3720</v>
      </c>
      <c r="CL643" s="2213" t="s">
        <v>3721</v>
      </c>
      <c r="CM643" s="2213" t="s">
        <v>3722</v>
      </c>
      <c r="CN643" s="2213" t="s">
        <v>3723</v>
      </c>
      <c r="CO643" s="2213" t="s">
        <v>3724</v>
      </c>
      <c r="CP643" s="2213" t="s">
        <v>3715</v>
      </c>
      <c r="CQ643" s="2213" t="s">
        <v>3716</v>
      </c>
      <c r="CR643" s="2213" t="s">
        <v>3717</v>
      </c>
      <c r="CS643" s="2213" t="s">
        <v>3718</v>
      </c>
      <c r="CT643" s="2213" t="s">
        <v>3719</v>
      </c>
      <c r="CU643" s="2213" t="s">
        <v>3725</v>
      </c>
      <c r="CV643" s="2213" t="s">
        <v>3726</v>
      </c>
      <c r="CW643" s="2213" t="s">
        <v>3727</v>
      </c>
      <c r="CX643" s="2213" t="s">
        <v>3728</v>
      </c>
      <c r="CY643" s="2213" t="s">
        <v>3729</v>
      </c>
      <c r="CZ643" s="2213" t="s">
        <v>466</v>
      </c>
      <c r="DA643" s="2213" t="s">
        <v>467</v>
      </c>
      <c r="DB643" s="2213" t="s">
        <v>468</v>
      </c>
      <c r="DC643" s="2213" t="s">
        <v>469</v>
      </c>
      <c r="DD643" s="2213" t="s">
        <v>470</v>
      </c>
      <c r="DE643" s="2213" t="s">
        <v>3730</v>
      </c>
      <c r="DF643" s="2213" t="s">
        <v>3731</v>
      </c>
      <c r="DG643" s="2213" t="s">
        <v>3732</v>
      </c>
      <c r="DH643" s="2213" t="s">
        <v>3733</v>
      </c>
      <c r="DI643" s="2213" t="s">
        <v>3734</v>
      </c>
      <c r="DJ643" s="2213" t="s">
        <v>822</v>
      </c>
      <c r="DK643" s="2213" t="s">
        <v>823</v>
      </c>
      <c r="DL643" s="2213" t="s">
        <v>824</v>
      </c>
      <c r="DM643" s="2213" t="s">
        <v>825</v>
      </c>
      <c r="DN643" s="2213" t="s">
        <v>826</v>
      </c>
      <c r="DO643" s="2213" t="s">
        <v>827</v>
      </c>
      <c r="DP643" s="2213" t="s">
        <v>828</v>
      </c>
      <c r="DQ643" s="2213" t="s">
        <v>829</v>
      </c>
      <c r="DR643" s="2213" t="s">
        <v>830</v>
      </c>
      <c r="DS643" s="2213" t="s">
        <v>831</v>
      </c>
      <c r="DT643" s="2213" t="s">
        <v>3735</v>
      </c>
      <c r="DU643" s="2213" t="s">
        <v>3736</v>
      </c>
      <c r="DV643" s="2213" t="s">
        <v>3737</v>
      </c>
      <c r="DW643" s="2213" t="s">
        <v>3738</v>
      </c>
      <c r="DX643" s="2213" t="s">
        <v>3739</v>
      </c>
      <c r="DY643" s="2213" t="s">
        <v>3740</v>
      </c>
      <c r="DZ643" s="2213" t="s">
        <v>3741</v>
      </c>
      <c r="EA643" s="2213" t="s">
        <v>3742</v>
      </c>
      <c r="EB643" s="2213" t="s">
        <v>3743</v>
      </c>
      <c r="EC643" s="2213" t="s">
        <v>3744</v>
      </c>
      <c r="ED643" s="2213" t="s">
        <v>2236</v>
      </c>
      <c r="EE643" s="2213" t="s">
        <v>2237</v>
      </c>
      <c r="EF643" s="2213" t="s">
        <v>2238</v>
      </c>
      <c r="EG643" s="2213" t="s">
        <v>2239</v>
      </c>
      <c r="EH643" s="2213" t="s">
        <v>2240</v>
      </c>
      <c r="EI643" s="2213" t="s">
        <v>3745</v>
      </c>
      <c r="EJ643" s="2213" t="s">
        <v>3746</v>
      </c>
      <c r="EK643" s="2213" t="s">
        <v>3747</v>
      </c>
      <c r="EL643" s="2213" t="s">
        <v>3748</v>
      </c>
      <c r="EM643" s="2213" t="s">
        <v>3749</v>
      </c>
      <c r="EN643" s="2213" t="s">
        <v>3750</v>
      </c>
      <c r="EO643" s="2213" t="s">
        <v>3751</v>
      </c>
      <c r="EP643" s="2213" t="s">
        <v>3752</v>
      </c>
      <c r="EQ643" s="2213" t="s">
        <v>3753</v>
      </c>
      <c r="ER643" s="2213" t="s">
        <v>3754</v>
      </c>
      <c r="ES643" s="2213" t="s">
        <v>111</v>
      </c>
      <c r="ET643" s="2213" t="s">
        <v>1084</v>
      </c>
      <c r="EU643" s="2213" t="s">
        <v>1085</v>
      </c>
      <c r="EV643" s="2213" t="s">
        <v>1140</v>
      </c>
      <c r="EW643" s="2213" t="s">
        <v>1141</v>
      </c>
      <c r="EX643" s="2213" t="s">
        <v>126</v>
      </c>
      <c r="EY643" s="2213" t="s">
        <v>1142</v>
      </c>
      <c r="EZ643" s="2213" t="s">
        <v>1143</v>
      </c>
      <c r="FA643" s="2213" t="s">
        <v>1144</v>
      </c>
      <c r="FB643" s="2213" t="s">
        <v>1145</v>
      </c>
      <c r="FC643" s="2213" t="s">
        <v>3755</v>
      </c>
      <c r="FD643" s="2213" t="s">
        <v>3756</v>
      </c>
      <c r="FE643" s="2213" t="s">
        <v>3757</v>
      </c>
      <c r="FF643" s="2213" t="s">
        <v>3758</v>
      </c>
      <c r="FG643" s="2213" t="s">
        <v>3759</v>
      </c>
      <c r="FH643" s="2213" t="s">
        <v>125</v>
      </c>
      <c r="FI643" s="2213" t="s">
        <v>853</v>
      </c>
      <c r="FJ643" s="2213" t="s">
        <v>854</v>
      </c>
      <c r="FK643" s="2213" t="s">
        <v>855</v>
      </c>
      <c r="FL643" s="2213" t="s">
        <v>856</v>
      </c>
      <c r="FM643" s="2213" t="s">
        <v>3760</v>
      </c>
      <c r="FN643" s="2213" t="s">
        <v>3761</v>
      </c>
      <c r="FO643" s="2213" t="s">
        <v>3762</v>
      </c>
      <c r="FP643" s="2213" t="s">
        <v>3763</v>
      </c>
      <c r="FQ643" s="2213" t="s">
        <v>3764</v>
      </c>
      <c r="FR643" s="2213" t="s">
        <v>124</v>
      </c>
      <c r="FS643" s="2213" t="s">
        <v>857</v>
      </c>
      <c r="FT643" s="2213" t="s">
        <v>858</v>
      </c>
      <c r="FU643" s="2213" t="s">
        <v>859</v>
      </c>
      <c r="FV643" s="2213" t="s">
        <v>860</v>
      </c>
      <c r="FW643" s="2213" t="s">
        <v>752</v>
      </c>
      <c r="FX643" s="2213" t="s">
        <v>753</v>
      </c>
      <c r="FY643" s="2213" t="s">
        <v>754</v>
      </c>
      <c r="FZ643" s="2213" t="s">
        <v>755</v>
      </c>
      <c r="GA643" s="2213" t="s">
        <v>756</v>
      </c>
      <c r="GB643" s="2213" t="s">
        <v>897</v>
      </c>
      <c r="GC643" s="2213" t="s">
        <v>898</v>
      </c>
      <c r="GD643" s="2213" t="s">
        <v>899</v>
      </c>
      <c r="GE643" s="2213" t="s">
        <v>900</v>
      </c>
      <c r="GF643" s="2213" t="s">
        <v>2235</v>
      </c>
      <c r="GG643" s="2213" t="s">
        <v>1345</v>
      </c>
      <c r="GH643" s="2213" t="s">
        <v>1346</v>
      </c>
      <c r="GI643" s="2213" t="s">
        <v>1347</v>
      </c>
      <c r="GJ643" s="2213" t="s">
        <v>1348</v>
      </c>
      <c r="GK643" s="2213" t="s">
        <v>1349</v>
      </c>
      <c r="GL643" s="2213" t="s">
        <v>411</v>
      </c>
      <c r="GM643" s="2213" t="s">
        <v>412</v>
      </c>
      <c r="GN643" s="2213" t="s">
        <v>413</v>
      </c>
      <c r="GO643" s="2213" t="s">
        <v>414</v>
      </c>
      <c r="GP643" s="2213" t="s">
        <v>415</v>
      </c>
      <c r="GQ643" s="2213" t="s">
        <v>14</v>
      </c>
      <c r="GR643" s="2213" t="s">
        <v>15</v>
      </c>
      <c r="GS643" s="2213" t="s">
        <v>16</v>
      </c>
      <c r="GT643" s="2213" t="s">
        <v>17</v>
      </c>
      <c r="GU643" s="2213" t="s">
        <v>18</v>
      </c>
      <c r="GV643" s="2213" t="s">
        <v>214</v>
      </c>
      <c r="GW643" s="2213" t="s">
        <v>215</v>
      </c>
      <c r="GX643" s="2213" t="s">
        <v>216</v>
      </c>
      <c r="GY643" s="2213" t="s">
        <v>1681</v>
      </c>
      <c r="GZ643" s="2213" t="s">
        <v>1682</v>
      </c>
      <c r="HA643" s="2213" t="s">
        <v>1683</v>
      </c>
      <c r="HB643" s="2213" t="s">
        <v>550</v>
      </c>
      <c r="HC643" s="2213" t="s">
        <v>551</v>
      </c>
      <c r="HD643" s="2213" t="s">
        <v>552</v>
      </c>
      <c r="HE643" s="2213" t="s">
        <v>553</v>
      </c>
      <c r="HF643" s="2213" t="s">
        <v>19</v>
      </c>
      <c r="HG643" s="2213" t="s">
        <v>20</v>
      </c>
      <c r="HH643" s="2213" t="s">
        <v>21</v>
      </c>
      <c r="HI643" s="2213" t="s">
        <v>22</v>
      </c>
      <c r="HJ643" s="2213" t="s">
        <v>23</v>
      </c>
      <c r="HK643" s="2213" t="s">
        <v>465</v>
      </c>
      <c r="HL643" s="2213" t="s">
        <v>407</v>
      </c>
      <c r="HM643" s="2213" t="s">
        <v>408</v>
      </c>
      <c r="HN643" s="2213" t="s">
        <v>409</v>
      </c>
      <c r="HO643" s="2213" t="s">
        <v>410</v>
      </c>
      <c r="HP643" s="2213" t="s">
        <v>2043</v>
      </c>
      <c r="HQ643" s="2213" t="s">
        <v>2044</v>
      </c>
      <c r="HR643" s="2213" t="s">
        <v>2045</v>
      </c>
      <c r="HS643" s="2213" t="s">
        <v>1386</v>
      </c>
      <c r="HT643" s="2213" t="s">
        <v>1387</v>
      </c>
      <c r="HU643" s="2213" t="s">
        <v>24</v>
      </c>
      <c r="HV643" s="2213" t="s">
        <v>25</v>
      </c>
      <c r="HW643" s="2213" t="s">
        <v>26</v>
      </c>
      <c r="HX643" s="2213" t="s">
        <v>27</v>
      </c>
      <c r="HY643" s="2213" t="s">
        <v>28</v>
      </c>
      <c r="HZ643" s="1902"/>
      <c r="IA643" s="1902"/>
      <c r="IB643" s="1902"/>
      <c r="IC643" s="1902"/>
      <c r="ID643" s="1902"/>
      <c r="IE643" s="1902"/>
      <c r="IF643" s="1902"/>
      <c r="IG643" s="1902"/>
      <c r="IH643" s="1902"/>
      <c r="II643" s="1902"/>
      <c r="IJ643" s="1902"/>
      <c r="IK643" s="1902"/>
      <c r="IL643" s="1902"/>
      <c r="IM643" s="1902"/>
      <c r="IN643" s="1902"/>
      <c r="IO643" s="1902"/>
      <c r="IP643" s="1902"/>
      <c r="IQ643" s="1902"/>
      <c r="IR643" s="1902"/>
      <c r="IS643" s="1902"/>
      <c r="IT643" s="1902"/>
      <c r="IU643" s="1902"/>
      <c r="IV643" s="1902"/>
      <c r="IW643" s="1902"/>
      <c r="IX643" s="1902"/>
      <c r="IY643" s="1902"/>
      <c r="IZ643" s="1902"/>
      <c r="JA643" s="1902"/>
      <c r="JB643" s="1902"/>
      <c r="JC643" s="1902"/>
      <c r="JD643" s="1902"/>
      <c r="JE643" s="1902"/>
      <c r="JF643" s="1902"/>
      <c r="JG643" s="1902"/>
      <c r="JH643" s="1902"/>
      <c r="JI643" s="1902"/>
      <c r="JJ643" s="1902"/>
      <c r="JK643" s="1902"/>
      <c r="JL643" s="1902"/>
      <c r="JM643" s="1902"/>
      <c r="JN643" s="1902"/>
      <c r="JO643" s="1902"/>
      <c r="JP643" s="1902"/>
      <c r="JQ643" s="1902"/>
      <c r="JR643" s="1902"/>
      <c r="JS643" s="1902"/>
      <c r="JT643" s="1902"/>
      <c r="JU643" s="1902"/>
      <c r="JV643" s="1902"/>
      <c r="JW643" s="1902"/>
      <c r="JX643" s="1902"/>
      <c r="JY643" s="1902"/>
      <c r="JZ643" s="1902"/>
      <c r="KA643" s="1902"/>
      <c r="KB643" s="1902"/>
      <c r="KC643" s="1902"/>
      <c r="KD643" s="1902"/>
      <c r="KE643" s="1902"/>
      <c r="KF643" s="1902"/>
      <c r="KG643" s="1902"/>
      <c r="KH643" s="1902"/>
      <c r="KI643" s="1902"/>
      <c r="KJ643" s="1902"/>
      <c r="KK643" s="1902"/>
      <c r="KL643" s="1902"/>
      <c r="KM643" s="1505"/>
      <c r="KN643" s="1505"/>
      <c r="KO643" s="1505"/>
      <c r="KP643" s="1505"/>
      <c r="KQ643" s="1505"/>
      <c r="KR643" s="1505"/>
      <c r="KS643" s="1505"/>
      <c r="KT643" s="1505"/>
      <c r="KU643" s="1505"/>
      <c r="KV643" s="1505"/>
      <c r="KW643" s="1505"/>
      <c r="KX643" s="1505"/>
      <c r="KY643" s="1505"/>
      <c r="KZ643" s="1505"/>
      <c r="LA643" s="1505"/>
      <c r="LB643" s="1505"/>
      <c r="LC643" s="1505"/>
      <c r="LD643" s="1505"/>
      <c r="LE643" s="1505"/>
      <c r="LF643" s="1505"/>
      <c r="LG643" s="2213" t="s">
        <v>1519</v>
      </c>
      <c r="LH643" s="2213" t="s">
        <v>2322</v>
      </c>
      <c r="LI643" s="2213" t="s">
        <v>2323</v>
      </c>
      <c r="LJ643" s="2213" t="s">
        <v>364</v>
      </c>
      <c r="LK643" s="2213" t="s">
        <v>365</v>
      </c>
      <c r="LL643" s="2213" t="s">
        <v>366</v>
      </c>
      <c r="LM643" s="2213" t="s">
        <v>367</v>
      </c>
      <c r="LN643" s="2213" t="s">
        <v>368</v>
      </c>
      <c r="LO643" s="2213" t="s">
        <v>369</v>
      </c>
      <c r="LP643" s="2213" t="s">
        <v>370</v>
      </c>
      <c r="LQ643" s="2213" t="s">
        <v>195</v>
      </c>
      <c r="LR643" s="2213" t="s">
        <v>196</v>
      </c>
      <c r="LS643" s="2213" t="s">
        <v>197</v>
      </c>
      <c r="LT643" s="2213" t="s">
        <v>198</v>
      </c>
      <c r="LU643" s="2213" t="s">
        <v>199</v>
      </c>
      <c r="LV643" s="2213" t="s">
        <v>200</v>
      </c>
      <c r="LW643" s="2213" t="s">
        <v>201</v>
      </c>
      <c r="LX643" s="2213" t="s">
        <v>202</v>
      </c>
      <c r="LY643" s="2213" t="s">
        <v>203</v>
      </c>
      <c r="LZ643" s="2213" t="s">
        <v>204</v>
      </c>
      <c r="MA643" s="2213" t="s">
        <v>205</v>
      </c>
      <c r="MB643" s="2213" t="s">
        <v>206</v>
      </c>
      <c r="MC643" s="2213" t="s">
        <v>207</v>
      </c>
      <c r="MD643" s="2213" t="s">
        <v>208</v>
      </c>
      <c r="ME643" s="2213" t="s">
        <v>209</v>
      </c>
      <c r="MF643" s="2213"/>
      <c r="MG643" s="2213"/>
      <c r="MH643" s="2213"/>
      <c r="MI643" s="2213"/>
      <c r="MJ643" s="2213"/>
      <c r="MK643" s="1505"/>
      <c r="ML643" s="1505"/>
      <c r="MM643" s="1505"/>
      <c r="MN643" s="1505"/>
      <c r="MO643" s="1505"/>
      <c r="MP643" s="1505"/>
      <c r="MQ643" s="1505"/>
      <c r="MR643" s="1505"/>
      <c r="MS643" s="1505"/>
      <c r="MT643" s="1505"/>
    </row>
    <row r="644" spans="1:380" s="359" customFormat="1" ht="12.6" customHeight="1">
      <c r="A644" s="2214" t="str">
        <f>IF(A687&gt;0,"Finish Row!","")</f>
        <v/>
      </c>
      <c r="B644" s="1505" t="s">
        <v>6846</v>
      </c>
      <c r="D644" s="2074"/>
      <c r="E644" s="2074"/>
      <c r="F644" s="2074"/>
      <c r="G644" s="2210" t="str">
        <f>'Part V-Revenues &amp; Expenses'!G6</f>
        <v>&lt;Select&gt;</v>
      </c>
      <c r="H644" s="2215" t="s">
        <v>6102</v>
      </c>
      <c r="I644" s="2215"/>
      <c r="J644" s="2215"/>
      <c r="K644" s="1902" t="s">
        <v>3139</v>
      </c>
      <c r="L644" s="2216" t="str">
        <f>'Part I-Project Identification'!$A$6</f>
        <v>Sept 20, 2022 Core Application - 4% Only</v>
      </c>
      <c r="M644" s="2216"/>
      <c r="N644" s="2216"/>
      <c r="O644" s="1875" t="s">
        <v>6762</v>
      </c>
      <c r="P644" s="2217">
        <f>'Part V-Revenues &amp; Expenses'!P6</f>
        <v>87400</v>
      </c>
      <c r="Q644" s="2213"/>
      <c r="R644" s="2011"/>
      <c r="X644" s="2213"/>
      <c r="Y644" s="2213"/>
      <c r="Z644" s="2213"/>
      <c r="AA644" s="2213"/>
      <c r="AB644" s="2213"/>
      <c r="AC644" s="2213"/>
      <c r="AD644" s="2213"/>
      <c r="AE644" s="2213"/>
      <c r="AF644" s="2213"/>
      <c r="AG644" s="2213"/>
      <c r="AH644" s="2213"/>
      <c r="AI644" s="2213"/>
      <c r="AJ644" s="2213"/>
      <c r="AK644" s="2213"/>
      <c r="AL644" s="2213"/>
      <c r="AM644" s="2213"/>
      <c r="AN644" s="2213"/>
      <c r="AO644" s="2213"/>
      <c r="AP644" s="2213"/>
      <c r="AQ644" s="2213"/>
      <c r="AR644" s="2213"/>
      <c r="AS644" s="2213"/>
      <c r="AT644" s="2213"/>
      <c r="AU644" s="2213"/>
      <c r="AV644" s="2213"/>
      <c r="AW644" s="2213"/>
      <c r="AX644" s="2213"/>
      <c r="AY644" s="2213"/>
      <c r="AZ644" s="2213"/>
      <c r="BA644" s="2213"/>
      <c r="BB644" s="2213"/>
      <c r="BC644" s="2213"/>
      <c r="BD644" s="2213"/>
      <c r="BE644" s="2213"/>
      <c r="BF644" s="2213"/>
      <c r="BG644" s="2213"/>
      <c r="BH644" s="2213"/>
      <c r="BI644" s="2213"/>
      <c r="BJ644" s="2213"/>
      <c r="BK644" s="2213"/>
      <c r="BL644" s="2213"/>
      <c r="BM644" s="2213"/>
      <c r="BN644" s="2213"/>
      <c r="BO644" s="2213"/>
      <c r="BP644" s="2213"/>
      <c r="BQ644" s="2213"/>
      <c r="BR644" s="2213"/>
      <c r="BS644" s="2213"/>
      <c r="BT644" s="2213"/>
      <c r="BU644" s="2213"/>
      <c r="BV644" s="2213"/>
      <c r="BW644" s="2213"/>
      <c r="BX644" s="2213"/>
      <c r="BY644" s="2213"/>
      <c r="BZ644" s="2213"/>
      <c r="CA644" s="2213"/>
      <c r="CB644" s="2213"/>
      <c r="CC644" s="2213"/>
      <c r="CD644" s="2213"/>
      <c r="CE644" s="2213"/>
      <c r="CF644" s="2213"/>
      <c r="CG644" s="2213"/>
      <c r="CH644" s="2213"/>
      <c r="CI644" s="2213"/>
      <c r="CJ644" s="2213"/>
      <c r="CK644" s="2213"/>
      <c r="CL644" s="2213"/>
      <c r="CM644" s="2213"/>
      <c r="CN644" s="2213"/>
      <c r="CO644" s="2213"/>
      <c r="CP644" s="2213"/>
      <c r="CQ644" s="2213"/>
      <c r="CR644" s="2213"/>
      <c r="CS644" s="2213"/>
      <c r="CT644" s="2213"/>
      <c r="CU644" s="2213"/>
      <c r="CV644" s="2213"/>
      <c r="CW644" s="2213"/>
      <c r="CX644" s="2213"/>
      <c r="CY644" s="2213"/>
      <c r="CZ644" s="2213"/>
      <c r="DA644" s="2213"/>
      <c r="DB644" s="2213"/>
      <c r="DC644" s="2213"/>
      <c r="DD644" s="2213"/>
      <c r="DE644" s="2213"/>
      <c r="DF644" s="2213"/>
      <c r="DG644" s="2213"/>
      <c r="DH644" s="2213"/>
      <c r="DI644" s="2213"/>
      <c r="DJ644" s="2213"/>
      <c r="DK644" s="2213"/>
      <c r="DL644" s="2213"/>
      <c r="DM644" s="2213"/>
      <c r="DN644" s="2213"/>
      <c r="DO644" s="2213"/>
      <c r="DP644" s="2213"/>
      <c r="DQ644" s="2213"/>
      <c r="DR644" s="2213"/>
      <c r="DS644" s="2213"/>
      <c r="DT644" s="2213"/>
      <c r="DU644" s="2213"/>
      <c r="DV644" s="2213"/>
      <c r="DW644" s="2213"/>
      <c r="DX644" s="2213"/>
      <c r="DY644" s="2213"/>
      <c r="DZ644" s="2213"/>
      <c r="EA644" s="2213"/>
      <c r="EB644" s="2213"/>
      <c r="EC644" s="2213"/>
      <c r="ED644" s="2213"/>
      <c r="EE644" s="2213"/>
      <c r="EF644" s="2213"/>
      <c r="EG644" s="2213"/>
      <c r="EH644" s="2213"/>
      <c r="EI644" s="2213"/>
      <c r="EJ644" s="2213"/>
      <c r="EK644" s="2213"/>
      <c r="EL644" s="2213"/>
      <c r="EM644" s="2213"/>
      <c r="EN644" s="2213"/>
      <c r="EO644" s="2213"/>
      <c r="EP644" s="2213"/>
      <c r="EQ644" s="2213"/>
      <c r="ER644" s="2213"/>
      <c r="ES644" s="2213"/>
      <c r="ET644" s="2213"/>
      <c r="EU644" s="2213"/>
      <c r="EV644" s="2213"/>
      <c r="EW644" s="2213"/>
      <c r="EX644" s="2213"/>
      <c r="EY644" s="2213"/>
      <c r="EZ644" s="2213"/>
      <c r="FA644" s="2213"/>
      <c r="FB644" s="2213"/>
      <c r="FC644" s="2213"/>
      <c r="FD644" s="2213"/>
      <c r="FE644" s="2213"/>
      <c r="FF644" s="2213"/>
      <c r="FG644" s="2213"/>
      <c r="FH644" s="2213"/>
      <c r="FI644" s="2213"/>
      <c r="FJ644" s="2213"/>
      <c r="FK644" s="2213"/>
      <c r="FL644" s="2213"/>
      <c r="FM644" s="2213"/>
      <c r="FN644" s="2213"/>
      <c r="FO644" s="2213"/>
      <c r="FP644" s="2213"/>
      <c r="FQ644" s="2213"/>
      <c r="FR644" s="2213"/>
      <c r="FS644" s="2213"/>
      <c r="FT644" s="2213"/>
      <c r="FU644" s="2213"/>
      <c r="FV644" s="2213"/>
      <c r="FW644" s="2213"/>
      <c r="FX644" s="2213"/>
      <c r="FY644" s="2213"/>
      <c r="FZ644" s="2213"/>
      <c r="GA644" s="2213"/>
      <c r="GB644" s="2213"/>
      <c r="GC644" s="2213"/>
      <c r="GD644" s="2213"/>
      <c r="GE644" s="2213"/>
      <c r="GF644" s="2213"/>
      <c r="GG644" s="2213"/>
      <c r="GH644" s="2213"/>
      <c r="GI644" s="2213"/>
      <c r="GJ644" s="2213"/>
      <c r="GK644" s="2213"/>
      <c r="GL644" s="2213"/>
      <c r="GM644" s="2213"/>
      <c r="GN644" s="2213"/>
      <c r="GO644" s="2213"/>
      <c r="GP644" s="2213"/>
      <c r="GQ644" s="2213"/>
      <c r="GR644" s="2213"/>
      <c r="GS644" s="2213"/>
      <c r="GT644" s="2213"/>
      <c r="GU644" s="2213"/>
      <c r="GV644" s="2213"/>
      <c r="GW644" s="2213"/>
      <c r="GX644" s="2213"/>
      <c r="GY644" s="2213"/>
      <c r="GZ644" s="2213"/>
      <c r="HA644" s="2213"/>
      <c r="HB644" s="2213"/>
      <c r="HC644" s="2213"/>
      <c r="HD644" s="2213"/>
      <c r="HE644" s="2213"/>
      <c r="HF644" s="2213"/>
      <c r="HG644" s="2213"/>
      <c r="HH644" s="2213"/>
      <c r="HI644" s="2213"/>
      <c r="HJ644" s="2213"/>
      <c r="HK644" s="2213"/>
      <c r="HL644" s="2213"/>
      <c r="HM644" s="2213"/>
      <c r="HN644" s="2213"/>
      <c r="HO644" s="2213"/>
      <c r="HP644" s="2213"/>
      <c r="HQ644" s="2213"/>
      <c r="HR644" s="2213"/>
      <c r="HS644" s="2213"/>
      <c r="HT644" s="2213"/>
      <c r="HU644" s="2213"/>
      <c r="HV644" s="2213"/>
      <c r="HW644" s="2213"/>
      <c r="HX644" s="2213"/>
      <c r="HY644" s="2213"/>
      <c r="HZ644" s="1902"/>
      <c r="IA644" s="1902"/>
      <c r="IB644" s="1902"/>
      <c r="IC644" s="1902"/>
      <c r="ID644" s="1902"/>
      <c r="IE644" s="1902"/>
      <c r="IF644" s="1902"/>
      <c r="IG644" s="1902"/>
      <c r="IH644" s="1902"/>
      <c r="II644" s="1902"/>
      <c r="IJ644" s="1902"/>
      <c r="IK644" s="1902"/>
      <c r="IL644" s="1902"/>
      <c r="IM644" s="1902"/>
      <c r="IN644" s="1902"/>
      <c r="IO644" s="1902"/>
      <c r="IP644" s="1902"/>
      <c r="IQ644" s="1902"/>
      <c r="IR644" s="1902"/>
      <c r="IS644" s="1902"/>
      <c r="IT644" s="1902"/>
      <c r="IU644" s="1902"/>
      <c r="IV644" s="1902"/>
      <c r="IW644" s="1902"/>
      <c r="IX644" s="1902"/>
      <c r="IY644" s="1902"/>
      <c r="IZ644" s="1902"/>
      <c r="JA644" s="1902"/>
      <c r="JB644" s="1902"/>
      <c r="JC644" s="1902"/>
      <c r="JD644" s="1902"/>
      <c r="JE644" s="1902"/>
      <c r="JF644" s="1902"/>
      <c r="JG644" s="1902"/>
      <c r="JH644" s="1902"/>
      <c r="JI644" s="1902"/>
      <c r="JJ644" s="1902"/>
      <c r="JK644" s="1902"/>
      <c r="JL644" s="1902"/>
      <c r="JM644" s="1902"/>
      <c r="JN644" s="1902"/>
      <c r="JO644" s="1902"/>
      <c r="JP644" s="1902"/>
      <c r="JQ644" s="1902"/>
      <c r="JR644" s="1902"/>
      <c r="JS644" s="1902"/>
      <c r="JT644" s="1902"/>
      <c r="JU644" s="1902"/>
      <c r="JV644" s="1902"/>
      <c r="JW644" s="1902"/>
      <c r="JX644" s="1902"/>
      <c r="JY644" s="1902"/>
      <c r="JZ644" s="1902"/>
      <c r="KA644" s="1902"/>
      <c r="KB644" s="1902"/>
      <c r="KC644" s="1902"/>
      <c r="KD644" s="1902"/>
      <c r="KE644" s="1902"/>
      <c r="KF644" s="1902"/>
      <c r="KG644" s="1902"/>
      <c r="KH644" s="1902"/>
      <c r="KI644" s="1902"/>
      <c r="KJ644" s="1902"/>
      <c r="KK644" s="1902"/>
      <c r="KL644" s="1902"/>
      <c r="KM644" s="1505"/>
      <c r="KN644" s="1505"/>
      <c r="KO644" s="1505"/>
      <c r="KP644" s="1505"/>
      <c r="KQ644" s="1505"/>
      <c r="KR644" s="1505"/>
      <c r="KS644" s="1505"/>
      <c r="KT644" s="1505"/>
      <c r="KU644" s="1505"/>
      <c r="KV644" s="1505"/>
      <c r="KW644" s="1505"/>
      <c r="KX644" s="1505"/>
      <c r="KY644" s="1505"/>
      <c r="KZ644" s="1505"/>
      <c r="LA644" s="1505"/>
      <c r="LB644" s="1505"/>
      <c r="LC644" s="1505"/>
      <c r="LD644" s="1505"/>
      <c r="LE644" s="1505"/>
      <c r="LF644" s="1505"/>
      <c r="LG644" s="2213"/>
      <c r="LH644" s="2213"/>
      <c r="LI644" s="2213"/>
      <c r="LJ644" s="2213"/>
      <c r="LK644" s="2213"/>
      <c r="LL644" s="2213"/>
      <c r="LM644" s="2213"/>
      <c r="LN644" s="2213"/>
      <c r="LO644" s="2213"/>
      <c r="LP644" s="2213"/>
      <c r="LQ644" s="2213"/>
      <c r="LR644" s="2213"/>
      <c r="LS644" s="2213"/>
      <c r="LT644" s="2213"/>
      <c r="LU644" s="2213"/>
      <c r="LV644" s="2213"/>
      <c r="LW644" s="2213"/>
      <c r="LX644" s="2213"/>
      <c r="LY644" s="2213"/>
      <c r="LZ644" s="2213"/>
      <c r="MA644" s="2213"/>
      <c r="MB644" s="2213"/>
      <c r="MC644" s="2213"/>
      <c r="MD644" s="2213"/>
      <c r="ME644" s="2213"/>
      <c r="MF644" s="2213"/>
      <c r="MG644" s="2213"/>
      <c r="MH644" s="2213"/>
      <c r="MI644" s="2213"/>
      <c r="MJ644" s="2213"/>
      <c r="MK644" s="2218" t="s">
        <v>3043</v>
      </c>
      <c r="ML644" s="2218" t="s">
        <v>3044</v>
      </c>
      <c r="MM644" s="2218" t="s">
        <v>3045</v>
      </c>
      <c r="MN644" s="2218" t="s">
        <v>3046</v>
      </c>
      <c r="MO644" s="2218" t="s">
        <v>3047</v>
      </c>
      <c r="MP644" s="2213" t="s">
        <v>6289</v>
      </c>
      <c r="MQ644" s="2213" t="s">
        <v>6290</v>
      </c>
      <c r="MR644" s="2213" t="s">
        <v>6291</v>
      </c>
      <c r="MS644" s="2213" t="s">
        <v>6292</v>
      </c>
      <c r="MT644" s="2213" t="s">
        <v>6293</v>
      </c>
    </row>
    <row r="645" spans="1:380" s="359" customFormat="1" ht="12.6" customHeight="1">
      <c r="A645" s="2214"/>
      <c r="B645" s="2219" t="s">
        <v>6101</v>
      </c>
      <c r="G645" s="2210" t="str">
        <f>'Part V-Revenues &amp; Expenses'!G7</f>
        <v>No</v>
      </c>
      <c r="I645" s="2218" t="s">
        <v>4076</v>
      </c>
      <c r="J645" s="1902" t="s">
        <v>742</v>
      </c>
      <c r="K645" s="1902" t="s">
        <v>3186</v>
      </c>
      <c r="L645" s="2216"/>
      <c r="M645" s="2216"/>
      <c r="N645" s="2216"/>
      <c r="O645" s="2220" t="s">
        <v>6081</v>
      </c>
      <c r="P645" s="2221">
        <f>'Part V-Revenues &amp; Expenses'!P7</f>
        <v>45065</v>
      </c>
      <c r="Q645" s="2213"/>
      <c r="R645" s="359" t="s">
        <v>2459</v>
      </c>
      <c r="X645" s="2213"/>
      <c r="Y645" s="2213"/>
      <c r="Z645" s="2213"/>
      <c r="AA645" s="2213"/>
      <c r="AB645" s="2213"/>
      <c r="AC645" s="2213"/>
      <c r="AD645" s="2213"/>
      <c r="AE645" s="2213"/>
      <c r="AF645" s="2213"/>
      <c r="AG645" s="2213"/>
      <c r="AH645" s="2213"/>
      <c r="AI645" s="2213"/>
      <c r="AJ645" s="2213"/>
      <c r="AK645" s="2213"/>
      <c r="AL645" s="2213"/>
      <c r="AM645" s="2213"/>
      <c r="AN645" s="2213"/>
      <c r="AO645" s="2213"/>
      <c r="AP645" s="2213"/>
      <c r="AQ645" s="2213"/>
      <c r="AR645" s="2213"/>
      <c r="AS645" s="2213"/>
      <c r="AT645" s="2213"/>
      <c r="AU645" s="2213"/>
      <c r="AV645" s="2213"/>
      <c r="AW645" s="2213"/>
      <c r="AX645" s="2213"/>
      <c r="AY645" s="2213"/>
      <c r="AZ645" s="2213"/>
      <c r="BA645" s="2213"/>
      <c r="BB645" s="2213"/>
      <c r="BC645" s="2213"/>
      <c r="BD645" s="2213"/>
      <c r="BE645" s="2213"/>
      <c r="BF645" s="2213"/>
      <c r="BG645" s="2213"/>
      <c r="BH645" s="2213"/>
      <c r="BI645" s="2213"/>
      <c r="BJ645" s="2213"/>
      <c r="BK645" s="2213"/>
      <c r="BL645" s="2213"/>
      <c r="BM645" s="2213"/>
      <c r="BN645" s="2213"/>
      <c r="BO645" s="2213"/>
      <c r="BP645" s="2213"/>
      <c r="BQ645" s="2213"/>
      <c r="BR645" s="2213"/>
      <c r="BS645" s="2213"/>
      <c r="BT645" s="2213"/>
      <c r="BU645" s="2213"/>
      <c r="BV645" s="2213"/>
      <c r="BW645" s="2213"/>
      <c r="BX645" s="2213"/>
      <c r="BY645" s="2213"/>
      <c r="BZ645" s="2213"/>
      <c r="CA645" s="2213"/>
      <c r="CB645" s="2213"/>
      <c r="CC645" s="2213"/>
      <c r="CD645" s="2213"/>
      <c r="CE645" s="2213"/>
      <c r="CF645" s="2213"/>
      <c r="CG645" s="2213"/>
      <c r="CH645" s="2213"/>
      <c r="CI645" s="2213"/>
      <c r="CJ645" s="2213"/>
      <c r="CK645" s="2213"/>
      <c r="CL645" s="2213"/>
      <c r="CM645" s="2213"/>
      <c r="CN645" s="2213"/>
      <c r="CO645" s="2213"/>
      <c r="CP645" s="2213"/>
      <c r="CQ645" s="2213"/>
      <c r="CR645" s="2213"/>
      <c r="CS645" s="2213"/>
      <c r="CT645" s="2213"/>
      <c r="CU645" s="2213"/>
      <c r="CV645" s="2213"/>
      <c r="CW645" s="2213"/>
      <c r="CX645" s="2213"/>
      <c r="CY645" s="2213"/>
      <c r="CZ645" s="2213"/>
      <c r="DA645" s="2213"/>
      <c r="DB645" s="2213"/>
      <c r="DC645" s="2213"/>
      <c r="DD645" s="2213"/>
      <c r="DE645" s="2213"/>
      <c r="DF645" s="2213"/>
      <c r="DG645" s="2213"/>
      <c r="DH645" s="2213"/>
      <c r="DI645" s="2213"/>
      <c r="DJ645" s="2213"/>
      <c r="DK645" s="2213"/>
      <c r="DL645" s="2213"/>
      <c r="DM645" s="2213"/>
      <c r="DN645" s="2213"/>
      <c r="DO645" s="2213"/>
      <c r="DP645" s="2213"/>
      <c r="DQ645" s="2213"/>
      <c r="DR645" s="2213"/>
      <c r="DS645" s="2213"/>
      <c r="DT645" s="2213"/>
      <c r="DU645" s="2213"/>
      <c r="DV645" s="2213"/>
      <c r="DW645" s="2213"/>
      <c r="DX645" s="2213"/>
      <c r="DY645" s="2213"/>
      <c r="DZ645" s="2213"/>
      <c r="EA645" s="2213"/>
      <c r="EB645" s="2213"/>
      <c r="EC645" s="2213"/>
      <c r="ED645" s="2213"/>
      <c r="EE645" s="2213"/>
      <c r="EF645" s="2213"/>
      <c r="EG645" s="2213"/>
      <c r="EH645" s="2213"/>
      <c r="EI645" s="2213"/>
      <c r="EJ645" s="2213"/>
      <c r="EK645" s="2213"/>
      <c r="EL645" s="2213"/>
      <c r="EM645" s="2213"/>
      <c r="EN645" s="2213"/>
      <c r="EO645" s="2213"/>
      <c r="EP645" s="2213"/>
      <c r="EQ645" s="2213"/>
      <c r="ER645" s="2213"/>
      <c r="ES645" s="2213"/>
      <c r="ET645" s="2213"/>
      <c r="EU645" s="2213"/>
      <c r="EV645" s="2213"/>
      <c r="EW645" s="2213"/>
      <c r="EX645" s="2213"/>
      <c r="EY645" s="2213"/>
      <c r="EZ645" s="2213"/>
      <c r="FA645" s="2213"/>
      <c r="FB645" s="2213"/>
      <c r="FC645" s="2213"/>
      <c r="FD645" s="2213"/>
      <c r="FE645" s="2213"/>
      <c r="FF645" s="2213"/>
      <c r="FG645" s="2213"/>
      <c r="FH645" s="2213"/>
      <c r="FI645" s="2213"/>
      <c r="FJ645" s="2213"/>
      <c r="FK645" s="2213"/>
      <c r="FL645" s="2213"/>
      <c r="FM645" s="2213"/>
      <c r="FN645" s="2213"/>
      <c r="FO645" s="2213"/>
      <c r="FP645" s="2213"/>
      <c r="FQ645" s="2213"/>
      <c r="FR645" s="2213"/>
      <c r="FS645" s="2213"/>
      <c r="FT645" s="2213"/>
      <c r="FU645" s="2213"/>
      <c r="FV645" s="2213"/>
      <c r="FW645" s="2213"/>
      <c r="FX645" s="2213"/>
      <c r="FY645" s="2213"/>
      <c r="FZ645" s="2213"/>
      <c r="GA645" s="2213"/>
      <c r="GB645" s="2213"/>
      <c r="GC645" s="2213"/>
      <c r="GD645" s="2213"/>
      <c r="GE645" s="2213"/>
      <c r="GF645" s="2213"/>
      <c r="GG645" s="2213"/>
      <c r="GH645" s="2213"/>
      <c r="GI645" s="2213"/>
      <c r="GJ645" s="2213"/>
      <c r="GK645" s="2213"/>
      <c r="GL645" s="2213"/>
      <c r="GM645" s="2213"/>
      <c r="GN645" s="2213"/>
      <c r="GO645" s="2213"/>
      <c r="GP645" s="2213"/>
      <c r="GQ645" s="2213"/>
      <c r="GR645" s="2213"/>
      <c r="GS645" s="2213"/>
      <c r="GT645" s="2213"/>
      <c r="GU645" s="2213"/>
      <c r="GV645" s="2213"/>
      <c r="GW645" s="2213"/>
      <c r="GX645" s="2213"/>
      <c r="GY645" s="2213"/>
      <c r="GZ645" s="2213"/>
      <c r="HA645" s="2213"/>
      <c r="HB645" s="2213"/>
      <c r="HC645" s="2213"/>
      <c r="HD645" s="2213"/>
      <c r="HE645" s="2213"/>
      <c r="HF645" s="2213"/>
      <c r="HG645" s="2213"/>
      <c r="HH645" s="2213"/>
      <c r="HI645" s="2213"/>
      <c r="HJ645" s="2213"/>
      <c r="HK645" s="2213"/>
      <c r="HL645" s="2213"/>
      <c r="HM645" s="2213"/>
      <c r="HN645" s="2213"/>
      <c r="HO645" s="2213"/>
      <c r="HP645" s="2213"/>
      <c r="HQ645" s="2213"/>
      <c r="HR645" s="2213"/>
      <c r="HS645" s="2213"/>
      <c r="HT645" s="2213"/>
      <c r="HU645" s="2213"/>
      <c r="HV645" s="2213"/>
      <c r="HW645" s="2213"/>
      <c r="HX645" s="2213"/>
      <c r="HY645" s="2213"/>
      <c r="HZ645" s="1902"/>
      <c r="IA645" s="1902"/>
      <c r="IB645" s="1902"/>
      <c r="IC645" s="1902"/>
      <c r="ID645" s="1902"/>
      <c r="IE645" s="1902"/>
      <c r="IF645" s="1902"/>
      <c r="IG645" s="1902"/>
      <c r="IH645" s="1902"/>
      <c r="II645" s="1902"/>
      <c r="IJ645" s="1902"/>
      <c r="IK645" s="1902"/>
      <c r="IL645" s="1902"/>
      <c r="IM645" s="1902"/>
      <c r="IN645" s="1902"/>
      <c r="IO645" s="1902"/>
      <c r="IP645" s="1902"/>
      <c r="IQ645" s="1902"/>
      <c r="IR645" s="1902"/>
      <c r="IS645" s="1902"/>
      <c r="IT645" s="1902"/>
      <c r="IU645" s="1902"/>
      <c r="IV645" s="1902"/>
      <c r="IW645" s="1902"/>
      <c r="IX645" s="1902"/>
      <c r="IY645" s="1902"/>
      <c r="IZ645" s="1902"/>
      <c r="JA645" s="1902"/>
      <c r="JB645" s="1902"/>
      <c r="JC645" s="1902"/>
      <c r="JD645" s="1902"/>
      <c r="JE645" s="1902"/>
      <c r="JF645" s="1902"/>
      <c r="JG645" s="1902"/>
      <c r="JH645" s="1902"/>
      <c r="JI645" s="1902"/>
      <c r="JJ645" s="1902"/>
      <c r="JK645" s="1902"/>
      <c r="JL645" s="1902"/>
      <c r="JM645" s="1902"/>
      <c r="JN645" s="1902"/>
      <c r="JO645" s="1902"/>
      <c r="JP645" s="1902"/>
      <c r="JQ645" s="1902"/>
      <c r="JR645" s="1902"/>
      <c r="JS645" s="1902"/>
      <c r="JT645" s="1902"/>
      <c r="JU645" s="1902"/>
      <c r="JV645" s="1902"/>
      <c r="JW645" s="1902"/>
      <c r="JX645" s="1902"/>
      <c r="JY645" s="1902"/>
      <c r="JZ645" s="1902"/>
      <c r="KA645" s="1902"/>
      <c r="KB645" s="1902"/>
      <c r="KC645" s="1902"/>
      <c r="KD645" s="1902"/>
      <c r="KE645" s="1902"/>
      <c r="KF645" s="1902"/>
      <c r="KG645" s="1902"/>
      <c r="KH645" s="1902"/>
      <c r="KI645" s="1902"/>
      <c r="KJ645" s="1902"/>
      <c r="KK645" s="1902"/>
      <c r="KL645" s="1902"/>
      <c r="KM645" s="1505"/>
      <c r="KN645" s="1505"/>
      <c r="KO645" s="1505"/>
      <c r="KP645" s="1505"/>
      <c r="KQ645" s="1505"/>
      <c r="KR645" s="1505"/>
      <c r="KS645" s="1505"/>
      <c r="KT645" s="1505"/>
      <c r="KU645" s="1505"/>
      <c r="KV645" s="1505"/>
      <c r="KW645" s="1505"/>
      <c r="KX645" s="1505"/>
      <c r="KY645" s="1505"/>
      <c r="KZ645" s="1505"/>
      <c r="LA645" s="1505"/>
      <c r="LB645" s="1505"/>
      <c r="LC645" s="1505"/>
      <c r="LD645" s="1505"/>
      <c r="LE645" s="1505"/>
      <c r="LF645" s="1505"/>
      <c r="LG645" s="2213"/>
      <c r="LH645" s="2213"/>
      <c r="LI645" s="2213"/>
      <c r="LJ645" s="2213"/>
      <c r="LK645" s="2213"/>
      <c r="LL645" s="2213"/>
      <c r="LM645" s="2213"/>
      <c r="LN645" s="2213"/>
      <c r="LO645" s="2213"/>
      <c r="LP645" s="2213"/>
      <c r="LQ645" s="2213"/>
      <c r="LR645" s="2213"/>
      <c r="LS645" s="2213"/>
      <c r="LT645" s="2213"/>
      <c r="LU645" s="2213"/>
      <c r="LV645" s="2213"/>
      <c r="LW645" s="2213"/>
      <c r="LX645" s="2213"/>
      <c r="LY645" s="2213"/>
      <c r="LZ645" s="2213"/>
      <c r="MA645" s="2213"/>
      <c r="MB645" s="2213"/>
      <c r="MC645" s="2213"/>
      <c r="MD645" s="2213"/>
      <c r="ME645" s="2213"/>
      <c r="MF645" s="2213"/>
      <c r="MG645" s="2213"/>
      <c r="MH645" s="2213"/>
      <c r="MI645" s="2213"/>
      <c r="MJ645" s="2213"/>
      <c r="MK645" s="2218"/>
      <c r="ML645" s="2218"/>
      <c r="MM645" s="2218"/>
      <c r="MN645" s="2218"/>
      <c r="MO645" s="2218"/>
      <c r="MP645" s="2213"/>
      <c r="MQ645" s="2213"/>
      <c r="MR645" s="2213"/>
      <c r="MS645" s="2213"/>
      <c r="MT645" s="2213"/>
    </row>
    <row r="646" spans="1:380" s="359" customFormat="1" ht="12.6" customHeight="1">
      <c r="A646" s="2214"/>
      <c r="B646" s="2012" t="s">
        <v>3767</v>
      </c>
      <c r="I646" s="2218"/>
      <c r="J646" s="1902" t="s">
        <v>743</v>
      </c>
      <c r="K646" s="1902" t="s">
        <v>3187</v>
      </c>
      <c r="L646" s="2025"/>
      <c r="M646" s="2025"/>
      <c r="N646" s="2222" t="s">
        <v>6487</v>
      </c>
      <c r="O646" s="2223" t="str">
        <f>'Part V-Revenues &amp; Expenses'!O8</f>
        <v>HUD</v>
      </c>
      <c r="P646" s="2223"/>
      <c r="Q646" s="2213"/>
      <c r="R646" s="2025"/>
      <c r="S646" s="2224" t="s">
        <v>2456</v>
      </c>
      <c r="T646" s="2025"/>
      <c r="X646" s="2213"/>
      <c r="Y646" s="2213"/>
      <c r="Z646" s="2213"/>
      <c r="AA646" s="2213"/>
      <c r="AB646" s="2213"/>
      <c r="AC646" s="2213"/>
      <c r="AD646" s="2213"/>
      <c r="AE646" s="2213"/>
      <c r="AF646" s="2213"/>
      <c r="AG646" s="2213"/>
      <c r="AH646" s="2213"/>
      <c r="AI646" s="2213"/>
      <c r="AJ646" s="2213"/>
      <c r="AK646" s="2213"/>
      <c r="AL646" s="2213"/>
      <c r="AM646" s="2213"/>
      <c r="AN646" s="2213"/>
      <c r="AO646" s="2213"/>
      <c r="AP646" s="2213"/>
      <c r="AQ646" s="2213"/>
      <c r="AR646" s="2213"/>
      <c r="AS646" s="2213"/>
      <c r="AT646" s="2213"/>
      <c r="AU646" s="2213"/>
      <c r="AV646" s="2213"/>
      <c r="AW646" s="2213"/>
      <c r="AX646" s="2213"/>
      <c r="AY646" s="2213"/>
      <c r="AZ646" s="2213"/>
      <c r="BA646" s="2213"/>
      <c r="BB646" s="2213"/>
      <c r="BC646" s="2213"/>
      <c r="BD646" s="2213"/>
      <c r="BE646" s="2213"/>
      <c r="BF646" s="2213"/>
      <c r="BG646" s="2213"/>
      <c r="BH646" s="2213"/>
      <c r="BI646" s="2213"/>
      <c r="BJ646" s="2213"/>
      <c r="BK646" s="2213"/>
      <c r="BL646" s="2213"/>
      <c r="BM646" s="2213"/>
      <c r="BN646" s="2213"/>
      <c r="BO646" s="2213"/>
      <c r="BP646" s="2213"/>
      <c r="BQ646" s="2213"/>
      <c r="BR646" s="2213"/>
      <c r="BS646" s="2213"/>
      <c r="BT646" s="2213"/>
      <c r="BU646" s="2213"/>
      <c r="BV646" s="2213"/>
      <c r="BW646" s="2213"/>
      <c r="BX646" s="2213"/>
      <c r="BY646" s="2213"/>
      <c r="BZ646" s="2213"/>
      <c r="CA646" s="2213"/>
      <c r="CB646" s="2213"/>
      <c r="CC646" s="2213"/>
      <c r="CD646" s="2213"/>
      <c r="CE646" s="2213"/>
      <c r="CF646" s="2213"/>
      <c r="CG646" s="2213"/>
      <c r="CH646" s="2213"/>
      <c r="CI646" s="2213"/>
      <c r="CJ646" s="2213"/>
      <c r="CK646" s="2213"/>
      <c r="CL646" s="2213"/>
      <c r="CM646" s="2213"/>
      <c r="CN646" s="2213"/>
      <c r="CO646" s="2213"/>
      <c r="CP646" s="2213"/>
      <c r="CQ646" s="2213"/>
      <c r="CR646" s="2213"/>
      <c r="CS646" s="2213"/>
      <c r="CT646" s="2213"/>
      <c r="CU646" s="2213"/>
      <c r="CV646" s="2213"/>
      <c r="CW646" s="2213"/>
      <c r="CX646" s="2213"/>
      <c r="CY646" s="2213"/>
      <c r="CZ646" s="2213"/>
      <c r="DA646" s="2213"/>
      <c r="DB646" s="2213"/>
      <c r="DC646" s="2213"/>
      <c r="DD646" s="2213"/>
      <c r="DE646" s="2213"/>
      <c r="DF646" s="2213"/>
      <c r="DG646" s="2213"/>
      <c r="DH646" s="2213"/>
      <c r="DI646" s="2213"/>
      <c r="DJ646" s="2213"/>
      <c r="DK646" s="2213"/>
      <c r="DL646" s="2213"/>
      <c r="DM646" s="2213"/>
      <c r="DN646" s="2213"/>
      <c r="DO646" s="2213"/>
      <c r="DP646" s="2213"/>
      <c r="DQ646" s="2213"/>
      <c r="DR646" s="2213"/>
      <c r="DS646" s="2213"/>
      <c r="DT646" s="2213"/>
      <c r="DU646" s="2213"/>
      <c r="DV646" s="2213"/>
      <c r="DW646" s="2213"/>
      <c r="DX646" s="2213"/>
      <c r="DY646" s="2213"/>
      <c r="DZ646" s="2213"/>
      <c r="EA646" s="2213"/>
      <c r="EB646" s="2213"/>
      <c r="EC646" s="2213"/>
      <c r="ED646" s="2213"/>
      <c r="EE646" s="2213"/>
      <c r="EF646" s="2213"/>
      <c r="EG646" s="2213"/>
      <c r="EH646" s="2213"/>
      <c r="EI646" s="2213"/>
      <c r="EJ646" s="2213"/>
      <c r="EK646" s="2213"/>
      <c r="EL646" s="2213"/>
      <c r="EM646" s="2213"/>
      <c r="EN646" s="2213"/>
      <c r="EO646" s="2213"/>
      <c r="EP646" s="2213"/>
      <c r="EQ646" s="2213"/>
      <c r="ER646" s="2213"/>
      <c r="ES646" s="2213"/>
      <c r="ET646" s="2213"/>
      <c r="EU646" s="2213"/>
      <c r="EV646" s="2213"/>
      <c r="EW646" s="2213"/>
      <c r="EX646" s="2213"/>
      <c r="EY646" s="2213"/>
      <c r="EZ646" s="2213"/>
      <c r="FA646" s="2213"/>
      <c r="FB646" s="2213"/>
      <c r="FC646" s="2213"/>
      <c r="FD646" s="2213"/>
      <c r="FE646" s="2213"/>
      <c r="FF646" s="2213"/>
      <c r="FG646" s="2213"/>
      <c r="FH646" s="2213"/>
      <c r="FI646" s="2213"/>
      <c r="FJ646" s="2213"/>
      <c r="FK646" s="2213"/>
      <c r="FL646" s="2213"/>
      <c r="FM646" s="2213"/>
      <c r="FN646" s="2213"/>
      <c r="FO646" s="2213"/>
      <c r="FP646" s="2213"/>
      <c r="FQ646" s="2213"/>
      <c r="FR646" s="2213"/>
      <c r="FS646" s="2213"/>
      <c r="FT646" s="2213"/>
      <c r="FU646" s="2213"/>
      <c r="FV646" s="2213"/>
      <c r="FW646" s="2213"/>
      <c r="FX646" s="2213"/>
      <c r="FY646" s="2213"/>
      <c r="FZ646" s="2213"/>
      <c r="GA646" s="2213"/>
      <c r="GB646" s="2213"/>
      <c r="GC646" s="2213"/>
      <c r="GD646" s="2213"/>
      <c r="GE646" s="2213"/>
      <c r="GF646" s="2213"/>
      <c r="GG646" s="2213"/>
      <c r="GH646" s="2213"/>
      <c r="GI646" s="2213"/>
      <c r="GJ646" s="2213"/>
      <c r="GK646" s="2213"/>
      <c r="GL646" s="2213"/>
      <c r="GM646" s="2213"/>
      <c r="GN646" s="2213"/>
      <c r="GO646" s="2213"/>
      <c r="GP646" s="2213"/>
      <c r="GQ646" s="2213"/>
      <c r="GR646" s="2213"/>
      <c r="GS646" s="2213"/>
      <c r="GT646" s="2213"/>
      <c r="GU646" s="2213"/>
      <c r="GV646" s="2213"/>
      <c r="GW646" s="2213"/>
      <c r="GX646" s="2213"/>
      <c r="GY646" s="2213"/>
      <c r="GZ646" s="2213"/>
      <c r="HA646" s="2213"/>
      <c r="HB646" s="2213"/>
      <c r="HC646" s="2213"/>
      <c r="HD646" s="2213"/>
      <c r="HE646" s="2213"/>
      <c r="HF646" s="2213"/>
      <c r="HG646" s="2213"/>
      <c r="HH646" s="2213"/>
      <c r="HI646" s="2213"/>
      <c r="HJ646" s="2213"/>
      <c r="HK646" s="2213"/>
      <c r="HL646" s="2213"/>
      <c r="HM646" s="2213"/>
      <c r="HN646" s="2213"/>
      <c r="HO646" s="2213"/>
      <c r="HP646" s="2213"/>
      <c r="HQ646" s="2213"/>
      <c r="HR646" s="2213"/>
      <c r="HS646" s="2213"/>
      <c r="HT646" s="2213"/>
      <c r="HU646" s="2213"/>
      <c r="HV646" s="2213"/>
      <c r="HW646" s="2213"/>
      <c r="HX646" s="2213"/>
      <c r="HY646" s="2213"/>
      <c r="HZ646" s="1902"/>
      <c r="IA646" s="1902"/>
      <c r="IB646" s="1902"/>
      <c r="IC646" s="1902"/>
      <c r="ID646" s="1902"/>
      <c r="IE646" s="1902"/>
      <c r="IF646" s="1902"/>
      <c r="IG646" s="1902"/>
      <c r="IH646" s="1902"/>
      <c r="II646" s="1902"/>
      <c r="IJ646" s="1902"/>
      <c r="IK646" s="1902"/>
      <c r="IL646" s="1902"/>
      <c r="IM646" s="1902"/>
      <c r="IN646" s="1902"/>
      <c r="IO646" s="1902"/>
      <c r="IP646" s="1902"/>
      <c r="IQ646" s="1902"/>
      <c r="IR646" s="1902"/>
      <c r="IS646" s="1902"/>
      <c r="IT646" s="1902"/>
      <c r="IU646" s="1902"/>
      <c r="IV646" s="1902"/>
      <c r="IW646" s="1902"/>
      <c r="IX646" s="1902"/>
      <c r="IY646" s="1883" t="s">
        <v>526</v>
      </c>
      <c r="IZ646" s="1883" t="s">
        <v>2246</v>
      </c>
      <c r="JA646" s="1883" t="s">
        <v>2247</v>
      </c>
      <c r="JB646" s="1883" t="s">
        <v>2248</v>
      </c>
      <c r="JC646" s="1883" t="s">
        <v>2249</v>
      </c>
      <c r="JD646" s="1883" t="s">
        <v>526</v>
      </c>
      <c r="JE646" s="1883" t="s">
        <v>2246</v>
      </c>
      <c r="JF646" s="1883" t="s">
        <v>2247</v>
      </c>
      <c r="JG646" s="1883" t="s">
        <v>2248</v>
      </c>
      <c r="JH646" s="1883" t="s">
        <v>2249</v>
      </c>
      <c r="JI646" s="1883" t="s">
        <v>526</v>
      </c>
      <c r="JJ646" s="1883" t="s">
        <v>2246</v>
      </c>
      <c r="JK646" s="1883" t="s">
        <v>2247</v>
      </c>
      <c r="JL646" s="1883" t="s">
        <v>2248</v>
      </c>
      <c r="JM646" s="1883" t="s">
        <v>2249</v>
      </c>
      <c r="JN646" s="1883" t="s">
        <v>526</v>
      </c>
      <c r="JO646" s="1883" t="s">
        <v>2246</v>
      </c>
      <c r="JP646" s="1883" t="s">
        <v>2247</v>
      </c>
      <c r="JQ646" s="1883" t="s">
        <v>2248</v>
      </c>
      <c r="JR646" s="1883" t="s">
        <v>2249</v>
      </c>
      <c r="JS646" s="1883" t="s">
        <v>526</v>
      </c>
      <c r="JT646" s="1883" t="s">
        <v>2246</v>
      </c>
      <c r="JU646" s="1883" t="s">
        <v>2247</v>
      </c>
      <c r="JV646" s="1883" t="s">
        <v>2248</v>
      </c>
      <c r="JW646" s="1883" t="s">
        <v>2249</v>
      </c>
      <c r="JX646" s="1883" t="s">
        <v>526</v>
      </c>
      <c r="JY646" s="1883" t="s">
        <v>2246</v>
      </c>
      <c r="JZ646" s="1883" t="s">
        <v>2247</v>
      </c>
      <c r="KA646" s="1883" t="s">
        <v>2248</v>
      </c>
      <c r="KB646" s="1883" t="s">
        <v>2249</v>
      </c>
      <c r="KC646" s="1883" t="s">
        <v>526</v>
      </c>
      <c r="KD646" s="1883" t="s">
        <v>2246</v>
      </c>
      <c r="KE646" s="1883" t="s">
        <v>2247</v>
      </c>
      <c r="KF646" s="1883" t="s">
        <v>2248</v>
      </c>
      <c r="KG646" s="1883" t="s">
        <v>2249</v>
      </c>
      <c r="KH646" s="1883" t="s">
        <v>526</v>
      </c>
      <c r="KI646" s="1883" t="s">
        <v>2246</v>
      </c>
      <c r="KJ646" s="1883" t="s">
        <v>2247</v>
      </c>
      <c r="KK646" s="1883" t="s">
        <v>2248</v>
      </c>
      <c r="KL646" s="1883" t="s">
        <v>2249</v>
      </c>
      <c r="KM646" s="1883" t="s">
        <v>526</v>
      </c>
      <c r="KN646" s="1883" t="s">
        <v>2246</v>
      </c>
      <c r="KO646" s="1883" t="s">
        <v>2247</v>
      </c>
      <c r="KP646" s="1883" t="s">
        <v>2248</v>
      </c>
      <c r="KQ646" s="1883" t="s">
        <v>2249</v>
      </c>
      <c r="KR646" s="1883" t="s">
        <v>526</v>
      </c>
      <c r="KS646" s="1883" t="s">
        <v>2246</v>
      </c>
      <c r="KT646" s="1883" t="s">
        <v>2247</v>
      </c>
      <c r="KU646" s="1883" t="s">
        <v>2248</v>
      </c>
      <c r="KV646" s="1883" t="s">
        <v>2249</v>
      </c>
      <c r="KW646" s="1883" t="s">
        <v>526</v>
      </c>
      <c r="KX646" s="1883" t="s">
        <v>2246</v>
      </c>
      <c r="KY646" s="1883" t="s">
        <v>2247</v>
      </c>
      <c r="KZ646" s="1883" t="s">
        <v>2248</v>
      </c>
      <c r="LA646" s="1883" t="s">
        <v>2249</v>
      </c>
      <c r="LB646" s="1883" t="s">
        <v>526</v>
      </c>
      <c r="LC646" s="1883" t="s">
        <v>2246</v>
      </c>
      <c r="LD646" s="1883" t="s">
        <v>2247</v>
      </c>
      <c r="LE646" s="1883" t="s">
        <v>2248</v>
      </c>
      <c r="LF646" s="1883" t="s">
        <v>2249</v>
      </c>
      <c r="LG646" s="2213"/>
      <c r="LH646" s="2213"/>
      <c r="LI646" s="2213"/>
      <c r="LJ646" s="2213"/>
      <c r="LK646" s="2213"/>
      <c r="LL646" s="2213"/>
      <c r="LM646" s="2213"/>
      <c r="LN646" s="2213"/>
      <c r="LO646" s="2213"/>
      <c r="LP646" s="2213"/>
      <c r="LQ646" s="2213"/>
      <c r="LR646" s="2213"/>
      <c r="LS646" s="2213"/>
      <c r="LT646" s="2213"/>
      <c r="LU646" s="2213"/>
      <c r="LV646" s="2213"/>
      <c r="LW646" s="2213"/>
      <c r="LX646" s="2213"/>
      <c r="LY646" s="2213"/>
      <c r="LZ646" s="2213"/>
      <c r="MA646" s="2213"/>
      <c r="MB646" s="2213"/>
      <c r="MC646" s="2213"/>
      <c r="MD646" s="2213"/>
      <c r="ME646" s="2213"/>
      <c r="MF646" s="2213"/>
      <c r="MG646" s="2213"/>
      <c r="MH646" s="2213"/>
      <c r="MI646" s="2213"/>
      <c r="MJ646" s="2213"/>
      <c r="MK646" s="2218"/>
      <c r="ML646" s="2218"/>
      <c r="MM646" s="2218"/>
      <c r="MN646" s="2218"/>
      <c r="MO646" s="2218"/>
      <c r="MP646" s="2213"/>
      <c r="MQ646" s="2213"/>
      <c r="MR646" s="2213"/>
      <c r="MS646" s="2213"/>
      <c r="MT646" s="2213"/>
    </row>
    <row r="647" spans="1:380" s="360" customFormat="1" ht="11.25" customHeight="1">
      <c r="A647" s="2214"/>
      <c r="B647" s="1902" t="s">
        <v>3768</v>
      </c>
      <c r="C647" s="1902" t="s">
        <v>165</v>
      </c>
      <c r="D647" s="1902" t="s">
        <v>510</v>
      </c>
      <c r="E647" s="1902" t="s">
        <v>1383</v>
      </c>
      <c r="F647" s="1902" t="s">
        <v>1383</v>
      </c>
      <c r="G647" s="2218" t="s">
        <v>6097</v>
      </c>
      <c r="H647" s="2011" t="s">
        <v>3306</v>
      </c>
      <c r="I647" s="2218"/>
      <c r="J647" s="2225" t="s">
        <v>6091</v>
      </c>
      <c r="K647" s="1902" t="s">
        <v>6847</v>
      </c>
      <c r="L647" s="1505" t="s">
        <v>139</v>
      </c>
      <c r="M647" s="1505"/>
      <c r="N647" s="1902" t="s">
        <v>2185</v>
      </c>
      <c r="O647" s="1902" t="s">
        <v>6490</v>
      </c>
      <c r="P647" s="2213" t="s">
        <v>6848</v>
      </c>
      <c r="Q647" s="2213"/>
      <c r="R647" s="1902" t="s">
        <v>2455</v>
      </c>
      <c r="S647" s="1902" t="s">
        <v>2457</v>
      </c>
      <c r="T647" s="1902"/>
      <c r="X647" s="2213"/>
      <c r="Y647" s="2213"/>
      <c r="Z647" s="2213"/>
      <c r="AA647" s="2213"/>
      <c r="AB647" s="2213"/>
      <c r="AC647" s="2213"/>
      <c r="AD647" s="2213"/>
      <c r="AE647" s="2213"/>
      <c r="AF647" s="2213"/>
      <c r="AG647" s="2213"/>
      <c r="AH647" s="2213"/>
      <c r="AI647" s="2213"/>
      <c r="AJ647" s="2213"/>
      <c r="AK647" s="2213"/>
      <c r="AL647" s="2213"/>
      <c r="AM647" s="2213"/>
      <c r="AN647" s="2213"/>
      <c r="AO647" s="2213"/>
      <c r="AP647" s="2213"/>
      <c r="AQ647" s="2213"/>
      <c r="AR647" s="2213"/>
      <c r="AS647" s="2213"/>
      <c r="AT647" s="2213"/>
      <c r="AU647" s="2213"/>
      <c r="AV647" s="2213"/>
      <c r="AW647" s="2213"/>
      <c r="AX647" s="2213"/>
      <c r="AY647" s="2213"/>
      <c r="AZ647" s="2213"/>
      <c r="BA647" s="2213"/>
      <c r="BB647" s="2213"/>
      <c r="BC647" s="2213"/>
      <c r="BD647" s="2213"/>
      <c r="BE647" s="2213"/>
      <c r="BF647" s="2213"/>
      <c r="BG647" s="2213"/>
      <c r="BH647" s="2213"/>
      <c r="BI647" s="2213"/>
      <c r="BJ647" s="2213"/>
      <c r="BK647" s="2213"/>
      <c r="BL647" s="2213"/>
      <c r="BM647" s="2213"/>
      <c r="BN647" s="2213"/>
      <c r="BO647" s="2213"/>
      <c r="BP647" s="2213"/>
      <c r="BQ647" s="2213"/>
      <c r="BR647" s="2213"/>
      <c r="BS647" s="2213"/>
      <c r="BT647" s="2213"/>
      <c r="BU647" s="2213"/>
      <c r="BV647" s="2213"/>
      <c r="BW647" s="2213"/>
      <c r="BX647" s="2213"/>
      <c r="BY647" s="2213"/>
      <c r="BZ647" s="2213"/>
      <c r="CA647" s="2213"/>
      <c r="CB647" s="2213"/>
      <c r="CC647" s="2213"/>
      <c r="CD647" s="2213"/>
      <c r="CE647" s="2213"/>
      <c r="CF647" s="2213"/>
      <c r="CG647" s="2213"/>
      <c r="CH647" s="2213"/>
      <c r="CI647" s="2213"/>
      <c r="CJ647" s="2213"/>
      <c r="CK647" s="2213"/>
      <c r="CL647" s="2213"/>
      <c r="CM647" s="2213"/>
      <c r="CN647" s="2213"/>
      <c r="CO647" s="2213"/>
      <c r="CP647" s="2213"/>
      <c r="CQ647" s="2213"/>
      <c r="CR647" s="2213"/>
      <c r="CS647" s="2213"/>
      <c r="CT647" s="2213"/>
      <c r="CU647" s="2213"/>
      <c r="CV647" s="2213"/>
      <c r="CW647" s="2213"/>
      <c r="CX647" s="2213"/>
      <c r="CY647" s="2213"/>
      <c r="CZ647" s="2213"/>
      <c r="DA647" s="2213"/>
      <c r="DB647" s="2213"/>
      <c r="DC647" s="2213"/>
      <c r="DD647" s="2213"/>
      <c r="DE647" s="2213"/>
      <c r="DF647" s="2213"/>
      <c r="DG647" s="2213"/>
      <c r="DH647" s="2213"/>
      <c r="DI647" s="2213"/>
      <c r="DJ647" s="2213"/>
      <c r="DK647" s="2213"/>
      <c r="DL647" s="2213"/>
      <c r="DM647" s="2213"/>
      <c r="DN647" s="2213"/>
      <c r="DO647" s="2213"/>
      <c r="DP647" s="2213"/>
      <c r="DQ647" s="2213"/>
      <c r="DR647" s="2213"/>
      <c r="DS647" s="2213"/>
      <c r="DT647" s="2213"/>
      <c r="DU647" s="2213"/>
      <c r="DV647" s="2213"/>
      <c r="DW647" s="2213"/>
      <c r="DX647" s="2213"/>
      <c r="DY647" s="2213"/>
      <c r="DZ647" s="2213"/>
      <c r="EA647" s="2213"/>
      <c r="EB647" s="2213"/>
      <c r="EC647" s="2213"/>
      <c r="ED647" s="2213"/>
      <c r="EE647" s="2213"/>
      <c r="EF647" s="2213"/>
      <c r="EG647" s="2213"/>
      <c r="EH647" s="2213"/>
      <c r="EI647" s="2213"/>
      <c r="EJ647" s="2213"/>
      <c r="EK647" s="2213"/>
      <c r="EL647" s="2213"/>
      <c r="EM647" s="2213"/>
      <c r="EN647" s="2213"/>
      <c r="EO647" s="2213"/>
      <c r="EP647" s="2213"/>
      <c r="EQ647" s="2213"/>
      <c r="ER647" s="2213"/>
      <c r="ES647" s="2213"/>
      <c r="ET647" s="2213"/>
      <c r="EU647" s="2213"/>
      <c r="EV647" s="2213"/>
      <c r="EW647" s="2213"/>
      <c r="EX647" s="2213"/>
      <c r="EY647" s="2213"/>
      <c r="EZ647" s="2213"/>
      <c r="FA647" s="2213"/>
      <c r="FB647" s="2213"/>
      <c r="FC647" s="2213"/>
      <c r="FD647" s="2213"/>
      <c r="FE647" s="2213"/>
      <c r="FF647" s="2213"/>
      <c r="FG647" s="2213"/>
      <c r="FH647" s="2213"/>
      <c r="FI647" s="2213"/>
      <c r="FJ647" s="2213"/>
      <c r="FK647" s="2213"/>
      <c r="FL647" s="2213"/>
      <c r="FM647" s="2213"/>
      <c r="FN647" s="2213"/>
      <c r="FO647" s="2213"/>
      <c r="FP647" s="2213"/>
      <c r="FQ647" s="2213"/>
      <c r="FR647" s="2213"/>
      <c r="FS647" s="2213"/>
      <c r="FT647" s="2213"/>
      <c r="FU647" s="2213"/>
      <c r="FV647" s="2213"/>
      <c r="FW647" s="2213"/>
      <c r="FX647" s="2213"/>
      <c r="FY647" s="2213"/>
      <c r="FZ647" s="2213"/>
      <c r="GA647" s="2213"/>
      <c r="GB647" s="2213"/>
      <c r="GC647" s="2213"/>
      <c r="GD647" s="2213"/>
      <c r="GE647" s="2213"/>
      <c r="GF647" s="2213"/>
      <c r="GG647" s="2213"/>
      <c r="GH647" s="2213"/>
      <c r="GI647" s="2213"/>
      <c r="GJ647" s="2213"/>
      <c r="GK647" s="2213"/>
      <c r="GL647" s="2213"/>
      <c r="GM647" s="2213"/>
      <c r="GN647" s="2213"/>
      <c r="GO647" s="2213"/>
      <c r="GP647" s="2213"/>
      <c r="GQ647" s="2213"/>
      <c r="GR647" s="2213"/>
      <c r="GS647" s="2213"/>
      <c r="GT647" s="2213"/>
      <c r="GU647" s="2213"/>
      <c r="GV647" s="2213"/>
      <c r="GW647" s="2213"/>
      <c r="GX647" s="2213"/>
      <c r="GY647" s="2213"/>
      <c r="GZ647" s="2213"/>
      <c r="HA647" s="2213"/>
      <c r="HB647" s="2213"/>
      <c r="HC647" s="2213"/>
      <c r="HD647" s="2213"/>
      <c r="HE647" s="2213"/>
      <c r="HF647" s="2213"/>
      <c r="HG647" s="2213"/>
      <c r="HH647" s="2213"/>
      <c r="HI647" s="2213"/>
      <c r="HJ647" s="2213"/>
      <c r="HK647" s="2213"/>
      <c r="HL647" s="2213"/>
      <c r="HM647" s="2213"/>
      <c r="HN647" s="2213"/>
      <c r="HO647" s="2213"/>
      <c r="HP647" s="2213"/>
      <c r="HQ647" s="2213"/>
      <c r="HR647" s="2213"/>
      <c r="HS647" s="2213"/>
      <c r="HT647" s="2213"/>
      <c r="HU647" s="2213"/>
      <c r="HV647" s="2213"/>
      <c r="HW647" s="2213"/>
      <c r="HX647" s="2213"/>
      <c r="HY647" s="2213"/>
      <c r="HZ647" s="2213" t="s">
        <v>1372</v>
      </c>
      <c r="IA647" s="1883" t="s">
        <v>2246</v>
      </c>
      <c r="IB647" s="1883" t="s">
        <v>2247</v>
      </c>
      <c r="IC647" s="1883" t="s">
        <v>2248</v>
      </c>
      <c r="ID647" s="1883" t="s">
        <v>2249</v>
      </c>
      <c r="IE647" s="2213" t="s">
        <v>2300</v>
      </c>
      <c r="IF647" s="2213" t="s">
        <v>2300</v>
      </c>
      <c r="IG647" s="2213" t="s">
        <v>2300</v>
      </c>
      <c r="IH647" s="2213" t="s">
        <v>2300</v>
      </c>
      <c r="II647" s="2213" t="s">
        <v>2300</v>
      </c>
      <c r="IJ647" s="2213" t="s">
        <v>3003</v>
      </c>
      <c r="IK647" s="2213" t="s">
        <v>3003</v>
      </c>
      <c r="IL647" s="2213" t="s">
        <v>3003</v>
      </c>
      <c r="IM647" s="2213" t="s">
        <v>3003</v>
      </c>
      <c r="IN647" s="2213" t="s">
        <v>3003</v>
      </c>
      <c r="IO647" s="1883" t="s">
        <v>526</v>
      </c>
      <c r="IP647" s="1883" t="s">
        <v>2246</v>
      </c>
      <c r="IQ647" s="1883" t="s">
        <v>2247</v>
      </c>
      <c r="IR647" s="1883" t="s">
        <v>2248</v>
      </c>
      <c r="IS647" s="1883" t="s">
        <v>2249</v>
      </c>
      <c r="IT647" s="1883" t="s">
        <v>526</v>
      </c>
      <c r="IU647" s="1883" t="s">
        <v>2246</v>
      </c>
      <c r="IV647" s="1883" t="s">
        <v>2247</v>
      </c>
      <c r="IW647" s="1883" t="s">
        <v>2248</v>
      </c>
      <c r="IX647" s="1883" t="s">
        <v>2249</v>
      </c>
      <c r="IY647" s="2213" t="s">
        <v>6294</v>
      </c>
      <c r="IZ647" s="2213" t="s">
        <v>6294</v>
      </c>
      <c r="JA647" s="2213" t="s">
        <v>6294</v>
      </c>
      <c r="JB647" s="2213" t="s">
        <v>6294</v>
      </c>
      <c r="JC647" s="2213" t="s">
        <v>6294</v>
      </c>
      <c r="JD647" s="2213" t="s">
        <v>6295</v>
      </c>
      <c r="JE647" s="2213" t="s">
        <v>6295</v>
      </c>
      <c r="JF647" s="2213" t="s">
        <v>6295</v>
      </c>
      <c r="JG647" s="2213" t="s">
        <v>6295</v>
      </c>
      <c r="JH647" s="2213" t="s">
        <v>6295</v>
      </c>
      <c r="JI647" s="2213" t="s">
        <v>6297</v>
      </c>
      <c r="JJ647" s="2213" t="s">
        <v>6297</v>
      </c>
      <c r="JK647" s="2213" t="s">
        <v>6297</v>
      </c>
      <c r="JL647" s="2213" t="s">
        <v>6297</v>
      </c>
      <c r="JM647" s="2213" t="s">
        <v>6297</v>
      </c>
      <c r="JN647" s="2213" t="s">
        <v>6298</v>
      </c>
      <c r="JO647" s="2213" t="s">
        <v>6298</v>
      </c>
      <c r="JP647" s="2213" t="s">
        <v>6298</v>
      </c>
      <c r="JQ647" s="2213" t="s">
        <v>6298</v>
      </c>
      <c r="JR647" s="2213" t="s">
        <v>6298</v>
      </c>
      <c r="JS647" s="2213" t="s">
        <v>6299</v>
      </c>
      <c r="JT647" s="2213" t="s">
        <v>6299</v>
      </c>
      <c r="JU647" s="2213" t="s">
        <v>6299</v>
      </c>
      <c r="JV647" s="2213" t="s">
        <v>6299</v>
      </c>
      <c r="JW647" s="2213" t="s">
        <v>6299</v>
      </c>
      <c r="JX647" s="2213" t="s">
        <v>6491</v>
      </c>
      <c r="JY647" s="2213" t="s">
        <v>6491</v>
      </c>
      <c r="JZ647" s="2213" t="s">
        <v>6491</v>
      </c>
      <c r="KA647" s="2213" t="s">
        <v>6491</v>
      </c>
      <c r="KB647" s="2213" t="s">
        <v>6491</v>
      </c>
      <c r="KC647" s="2213" t="s">
        <v>6763</v>
      </c>
      <c r="KD647" s="2213" t="s">
        <v>6763</v>
      </c>
      <c r="KE647" s="2213" t="s">
        <v>6763</v>
      </c>
      <c r="KF647" s="2213" t="s">
        <v>6763</v>
      </c>
      <c r="KG647" s="2213" t="s">
        <v>6763</v>
      </c>
      <c r="KH647" s="2213" t="s">
        <v>6764</v>
      </c>
      <c r="KI647" s="2213" t="s">
        <v>6764</v>
      </c>
      <c r="KJ647" s="2213" t="s">
        <v>6764</v>
      </c>
      <c r="KK647" s="2213" t="s">
        <v>6764</v>
      </c>
      <c r="KL647" s="2213" t="s">
        <v>6764</v>
      </c>
      <c r="KM647" s="2213" t="s">
        <v>6301</v>
      </c>
      <c r="KN647" s="2213" t="s">
        <v>6301</v>
      </c>
      <c r="KO647" s="2213" t="s">
        <v>6301</v>
      </c>
      <c r="KP647" s="2213" t="s">
        <v>6301</v>
      </c>
      <c r="KQ647" s="2213" t="s">
        <v>6301</v>
      </c>
      <c r="KR647" s="2213" t="s">
        <v>6492</v>
      </c>
      <c r="KS647" s="2213" t="s">
        <v>6492</v>
      </c>
      <c r="KT647" s="2213" t="s">
        <v>6492</v>
      </c>
      <c r="KU647" s="2213" t="s">
        <v>6492</v>
      </c>
      <c r="KV647" s="2213" t="s">
        <v>6492</v>
      </c>
      <c r="KW647" s="2213" t="s">
        <v>6765</v>
      </c>
      <c r="KX647" s="2213" t="s">
        <v>6765</v>
      </c>
      <c r="KY647" s="2213" t="s">
        <v>6765</v>
      </c>
      <c r="KZ647" s="2213" t="s">
        <v>6765</v>
      </c>
      <c r="LA647" s="2213" t="s">
        <v>6765</v>
      </c>
      <c r="LB647" s="2213" t="s">
        <v>6766</v>
      </c>
      <c r="LC647" s="2213" t="s">
        <v>6766</v>
      </c>
      <c r="LD647" s="2213" t="s">
        <v>6766</v>
      </c>
      <c r="LE647" s="2213" t="s">
        <v>6766</v>
      </c>
      <c r="LF647" s="2213" t="s">
        <v>6766</v>
      </c>
      <c r="LG647" s="2213"/>
      <c r="LH647" s="2213"/>
      <c r="LI647" s="2213"/>
      <c r="LJ647" s="2213"/>
      <c r="LK647" s="2213"/>
      <c r="LL647" s="2213"/>
      <c r="LM647" s="2213"/>
      <c r="LN647" s="2213"/>
      <c r="LO647" s="2213"/>
      <c r="LP647" s="2213"/>
      <c r="LQ647" s="2213"/>
      <c r="LR647" s="2213"/>
      <c r="LS647" s="2213"/>
      <c r="LT647" s="2213"/>
      <c r="LU647" s="2213"/>
      <c r="LV647" s="2213"/>
      <c r="LW647" s="2213"/>
      <c r="LX647" s="2213"/>
      <c r="LY647" s="2213"/>
      <c r="LZ647" s="2213"/>
      <c r="MA647" s="2213"/>
      <c r="MB647" s="2213"/>
      <c r="MC647" s="2213"/>
      <c r="MD647" s="2213"/>
      <c r="ME647" s="2213"/>
      <c r="MF647" s="2213"/>
      <c r="MG647" s="2213"/>
      <c r="MH647" s="2213"/>
      <c r="MI647" s="2213"/>
      <c r="MJ647" s="2213"/>
      <c r="MK647" s="2218"/>
      <c r="ML647" s="2218"/>
      <c r="MM647" s="2218"/>
      <c r="MN647" s="2218"/>
      <c r="MO647" s="2218"/>
      <c r="MP647" s="2213"/>
      <c r="MQ647" s="2213"/>
      <c r="MR647" s="2213"/>
      <c r="MS647" s="2213"/>
      <c r="MT647" s="2213"/>
    </row>
    <row r="648" spans="1:380" s="360" customFormat="1" ht="11.25" customHeight="1">
      <c r="A648" s="2214"/>
      <c r="B648" s="2226" t="s">
        <v>3937</v>
      </c>
      <c r="C648" s="1902" t="s">
        <v>164</v>
      </c>
      <c r="D648" s="1902" t="s">
        <v>166</v>
      </c>
      <c r="E648" s="1902" t="s">
        <v>1384</v>
      </c>
      <c r="F648" s="1902" t="s">
        <v>1204</v>
      </c>
      <c r="G648" s="2218"/>
      <c r="H648" s="1902" t="s">
        <v>6098</v>
      </c>
      <c r="I648" s="2218"/>
      <c r="J648" s="2225"/>
      <c r="K648" s="2227" t="s">
        <v>334</v>
      </c>
      <c r="L648" s="1902" t="s">
        <v>1433</v>
      </c>
      <c r="M648" s="1902" t="s">
        <v>504</v>
      </c>
      <c r="N648" s="1902" t="s">
        <v>1383</v>
      </c>
      <c r="O648" s="1902" t="s">
        <v>6504</v>
      </c>
      <c r="Q648" s="2213"/>
      <c r="R648" s="1902" t="s">
        <v>1385</v>
      </c>
      <c r="S648" s="1902" t="s">
        <v>2458</v>
      </c>
      <c r="T648" s="357" t="s">
        <v>1711</v>
      </c>
      <c r="W648" s="357"/>
      <c r="X648" s="2213"/>
      <c r="Y648" s="2213"/>
      <c r="Z648" s="2213"/>
      <c r="AA648" s="2213"/>
      <c r="AB648" s="2213"/>
      <c r="AC648" s="2213"/>
      <c r="AD648" s="2213"/>
      <c r="AE648" s="2213"/>
      <c r="AF648" s="2213"/>
      <c r="AG648" s="2213"/>
      <c r="AH648" s="2213"/>
      <c r="AI648" s="2213"/>
      <c r="AJ648" s="2213"/>
      <c r="AK648" s="2213"/>
      <c r="AL648" s="2213"/>
      <c r="AM648" s="2213"/>
      <c r="AN648" s="2213"/>
      <c r="AO648" s="2213"/>
      <c r="AP648" s="2213"/>
      <c r="AQ648" s="2213"/>
      <c r="AR648" s="2213"/>
      <c r="AS648" s="2213"/>
      <c r="AT648" s="2213"/>
      <c r="AU648" s="2213"/>
      <c r="AV648" s="2213"/>
      <c r="AW648" s="2213"/>
      <c r="AX648" s="2213"/>
      <c r="AY648" s="2213"/>
      <c r="AZ648" s="2213"/>
      <c r="BA648" s="2213"/>
      <c r="BB648" s="2213"/>
      <c r="BC648" s="2213"/>
      <c r="BD648" s="2213"/>
      <c r="BE648" s="2213"/>
      <c r="BF648" s="2213"/>
      <c r="BG648" s="2213"/>
      <c r="BH648" s="2213"/>
      <c r="BI648" s="2213"/>
      <c r="BJ648" s="2213"/>
      <c r="BK648" s="2213"/>
      <c r="BL648" s="2213"/>
      <c r="BM648" s="2213"/>
      <c r="BN648" s="2213"/>
      <c r="BO648" s="2213"/>
      <c r="BP648" s="2213"/>
      <c r="BQ648" s="2213"/>
      <c r="BR648" s="2213"/>
      <c r="BS648" s="2213"/>
      <c r="BT648" s="2213"/>
      <c r="BU648" s="2213"/>
      <c r="BV648" s="2213"/>
      <c r="BW648" s="2213"/>
      <c r="BX648" s="2213"/>
      <c r="BY648" s="2213"/>
      <c r="BZ648" s="2213"/>
      <c r="CA648" s="2213"/>
      <c r="CB648" s="2213"/>
      <c r="CC648" s="2213"/>
      <c r="CD648" s="2213"/>
      <c r="CE648" s="2213"/>
      <c r="CF648" s="2213"/>
      <c r="CG648" s="2213"/>
      <c r="CH648" s="2213"/>
      <c r="CI648" s="2213"/>
      <c r="CJ648" s="2213"/>
      <c r="CK648" s="2213"/>
      <c r="CL648" s="2213"/>
      <c r="CM648" s="2213"/>
      <c r="CN648" s="2213"/>
      <c r="CO648" s="2213"/>
      <c r="CP648" s="2213"/>
      <c r="CQ648" s="2213"/>
      <c r="CR648" s="2213"/>
      <c r="CS648" s="2213"/>
      <c r="CT648" s="2213"/>
      <c r="CU648" s="2213"/>
      <c r="CV648" s="2213"/>
      <c r="CW648" s="2213"/>
      <c r="CX648" s="2213"/>
      <c r="CY648" s="2213"/>
      <c r="CZ648" s="2213"/>
      <c r="DA648" s="2213"/>
      <c r="DB648" s="2213"/>
      <c r="DC648" s="2213"/>
      <c r="DD648" s="2213"/>
      <c r="DE648" s="2213"/>
      <c r="DF648" s="2213"/>
      <c r="DG648" s="2213"/>
      <c r="DH648" s="2213"/>
      <c r="DI648" s="2213"/>
      <c r="DJ648" s="2213"/>
      <c r="DK648" s="2213"/>
      <c r="DL648" s="2213"/>
      <c r="DM648" s="2213"/>
      <c r="DN648" s="2213"/>
      <c r="DO648" s="2213"/>
      <c r="DP648" s="2213"/>
      <c r="DQ648" s="2213"/>
      <c r="DR648" s="2213"/>
      <c r="DS648" s="2213"/>
      <c r="DT648" s="2213"/>
      <c r="DU648" s="2213"/>
      <c r="DV648" s="2213"/>
      <c r="DW648" s="2213"/>
      <c r="DX648" s="2213"/>
      <c r="DY648" s="2213"/>
      <c r="DZ648" s="2213"/>
      <c r="EA648" s="2213"/>
      <c r="EB648" s="2213"/>
      <c r="EC648" s="2213"/>
      <c r="ED648" s="2213"/>
      <c r="EE648" s="2213"/>
      <c r="EF648" s="2213"/>
      <c r="EG648" s="2213"/>
      <c r="EH648" s="2213"/>
      <c r="EI648" s="2213"/>
      <c r="EJ648" s="2213"/>
      <c r="EK648" s="2213"/>
      <c r="EL648" s="2213"/>
      <c r="EM648" s="2213"/>
      <c r="EN648" s="2213"/>
      <c r="EO648" s="2213"/>
      <c r="EP648" s="2213"/>
      <c r="EQ648" s="2213"/>
      <c r="ER648" s="2213"/>
      <c r="ES648" s="2213"/>
      <c r="ET648" s="2213"/>
      <c r="EU648" s="2213"/>
      <c r="EV648" s="2213"/>
      <c r="EW648" s="2213"/>
      <c r="EX648" s="2213"/>
      <c r="EY648" s="2213"/>
      <c r="EZ648" s="2213"/>
      <c r="FA648" s="2213"/>
      <c r="FB648" s="2213"/>
      <c r="FC648" s="2213"/>
      <c r="FD648" s="2213"/>
      <c r="FE648" s="2213"/>
      <c r="FF648" s="2213"/>
      <c r="FG648" s="2213"/>
      <c r="FH648" s="2213"/>
      <c r="FI648" s="2213"/>
      <c r="FJ648" s="2213"/>
      <c r="FK648" s="2213"/>
      <c r="FL648" s="2213"/>
      <c r="FM648" s="2213"/>
      <c r="FN648" s="2213"/>
      <c r="FO648" s="2213"/>
      <c r="FP648" s="2213"/>
      <c r="FQ648" s="2213"/>
      <c r="FR648" s="2213"/>
      <c r="FS648" s="2213"/>
      <c r="FT648" s="2213"/>
      <c r="FU648" s="2213"/>
      <c r="FV648" s="2213"/>
      <c r="FW648" s="2213"/>
      <c r="FX648" s="2213"/>
      <c r="FY648" s="2213"/>
      <c r="FZ648" s="2213"/>
      <c r="GA648" s="2213"/>
      <c r="GB648" s="2213"/>
      <c r="GC648" s="2213"/>
      <c r="GD648" s="2213"/>
      <c r="GE648" s="2213"/>
      <c r="GF648" s="2213"/>
      <c r="GG648" s="2213"/>
      <c r="GH648" s="2213"/>
      <c r="GI648" s="2213"/>
      <c r="GJ648" s="2213"/>
      <c r="GK648" s="2213"/>
      <c r="GL648" s="2213"/>
      <c r="GM648" s="2213"/>
      <c r="GN648" s="2213"/>
      <c r="GO648" s="2213"/>
      <c r="GP648" s="2213"/>
      <c r="GQ648" s="2213"/>
      <c r="GR648" s="2213"/>
      <c r="GS648" s="2213"/>
      <c r="GT648" s="2213"/>
      <c r="GU648" s="2213"/>
      <c r="GV648" s="2213"/>
      <c r="GW648" s="2213"/>
      <c r="GX648" s="2213"/>
      <c r="GY648" s="2213"/>
      <c r="GZ648" s="2213"/>
      <c r="HA648" s="2213"/>
      <c r="HB648" s="2213"/>
      <c r="HC648" s="2213"/>
      <c r="HD648" s="2213"/>
      <c r="HE648" s="2213"/>
      <c r="HF648" s="2213"/>
      <c r="HG648" s="2213"/>
      <c r="HH648" s="2213"/>
      <c r="HI648" s="2213"/>
      <c r="HJ648" s="2213"/>
      <c r="HK648" s="2213"/>
      <c r="HL648" s="2213"/>
      <c r="HM648" s="2213"/>
      <c r="HN648" s="2213"/>
      <c r="HO648" s="2213"/>
      <c r="HP648" s="2213"/>
      <c r="HQ648" s="2213"/>
      <c r="HR648" s="2213"/>
      <c r="HS648" s="2213"/>
      <c r="HT648" s="2213"/>
      <c r="HU648" s="2213"/>
      <c r="HV648" s="2213"/>
      <c r="HW648" s="2213"/>
      <c r="HX648" s="2213"/>
      <c r="HY648" s="2213"/>
      <c r="HZ648" s="2213"/>
      <c r="IA648" s="1883" t="s">
        <v>2299</v>
      </c>
      <c r="IB648" s="1883" t="s">
        <v>2299</v>
      </c>
      <c r="IC648" s="1883" t="s">
        <v>2299</v>
      </c>
      <c r="ID648" s="1883" t="s">
        <v>2299</v>
      </c>
      <c r="IE648" s="2213"/>
      <c r="IF648" s="2213"/>
      <c r="IG648" s="2213"/>
      <c r="IH648" s="2213"/>
      <c r="II648" s="2213"/>
      <c r="IJ648" s="2213"/>
      <c r="IK648" s="2213"/>
      <c r="IL648" s="2213"/>
      <c r="IM648" s="2213"/>
      <c r="IN648" s="2213"/>
      <c r="IO648" s="1883" t="s">
        <v>2301</v>
      </c>
      <c r="IP648" s="1883" t="s">
        <v>2301</v>
      </c>
      <c r="IQ648" s="1883" t="s">
        <v>2301</v>
      </c>
      <c r="IR648" s="1883" t="s">
        <v>2301</v>
      </c>
      <c r="IS648" s="1883" t="s">
        <v>2301</v>
      </c>
      <c r="IT648" s="1883" t="s">
        <v>3004</v>
      </c>
      <c r="IU648" s="1883" t="s">
        <v>3004</v>
      </c>
      <c r="IV648" s="1883" t="s">
        <v>3004</v>
      </c>
      <c r="IW648" s="1883" t="s">
        <v>3004</v>
      </c>
      <c r="IX648" s="1883" t="s">
        <v>3004</v>
      </c>
      <c r="IY648" s="2213"/>
      <c r="IZ648" s="2213"/>
      <c r="JA648" s="2213"/>
      <c r="JB648" s="2213"/>
      <c r="JC648" s="2213"/>
      <c r="JD648" s="2213"/>
      <c r="JE648" s="2213"/>
      <c r="JF648" s="2213"/>
      <c r="JG648" s="2213"/>
      <c r="JH648" s="2213"/>
      <c r="JI648" s="2213"/>
      <c r="JJ648" s="2213"/>
      <c r="JK648" s="2213"/>
      <c r="JL648" s="2213"/>
      <c r="JM648" s="2213"/>
      <c r="JN648" s="2213"/>
      <c r="JO648" s="2213"/>
      <c r="JP648" s="2213"/>
      <c r="JQ648" s="2213"/>
      <c r="JR648" s="2213"/>
      <c r="JS648" s="2213"/>
      <c r="JT648" s="2213"/>
      <c r="JU648" s="2213"/>
      <c r="JV648" s="2213"/>
      <c r="JW648" s="2213"/>
      <c r="JX648" s="2213"/>
      <c r="JY648" s="2213"/>
      <c r="JZ648" s="2213"/>
      <c r="KA648" s="2213"/>
      <c r="KB648" s="2213"/>
      <c r="KC648" s="2213"/>
      <c r="KD648" s="2213"/>
      <c r="KE648" s="2213"/>
      <c r="KF648" s="2213"/>
      <c r="KG648" s="2213"/>
      <c r="KH648" s="2213"/>
      <c r="KI648" s="2213"/>
      <c r="KJ648" s="2213"/>
      <c r="KK648" s="2213"/>
      <c r="KL648" s="2213"/>
      <c r="KM648" s="2213"/>
      <c r="KN648" s="2213"/>
      <c r="KO648" s="2213"/>
      <c r="KP648" s="2213"/>
      <c r="KQ648" s="2213"/>
      <c r="KR648" s="2213"/>
      <c r="KS648" s="2213"/>
      <c r="KT648" s="2213"/>
      <c r="KU648" s="2213"/>
      <c r="KV648" s="2213"/>
      <c r="KW648" s="2213"/>
      <c r="KX648" s="2213"/>
      <c r="KY648" s="2213"/>
      <c r="KZ648" s="2213"/>
      <c r="LA648" s="2213"/>
      <c r="LB648" s="2213"/>
      <c r="LC648" s="2213"/>
      <c r="LD648" s="2213"/>
      <c r="LE648" s="2213"/>
      <c r="LF648" s="2213"/>
      <c r="LG648" s="2213"/>
      <c r="LH648" s="2213"/>
      <c r="LI648" s="2213"/>
      <c r="LJ648" s="2213"/>
      <c r="LK648" s="2213"/>
      <c r="LL648" s="2213"/>
      <c r="LM648" s="2213"/>
      <c r="LN648" s="2213"/>
      <c r="LO648" s="2213"/>
      <c r="LP648" s="2213"/>
      <c r="LQ648" s="2213"/>
      <c r="LR648" s="2213"/>
      <c r="LS648" s="2213"/>
      <c r="LT648" s="2213"/>
      <c r="LU648" s="2213"/>
      <c r="LV648" s="2213"/>
      <c r="LW648" s="2213"/>
      <c r="LX648" s="2213"/>
      <c r="LY648" s="2213"/>
      <c r="LZ648" s="2213"/>
      <c r="MA648" s="2213"/>
      <c r="MB648" s="2213"/>
      <c r="MC648" s="2213"/>
      <c r="MD648" s="2213"/>
      <c r="ME648" s="2213"/>
      <c r="MF648" s="2213"/>
      <c r="MG648" s="2213"/>
      <c r="MH648" s="2213"/>
      <c r="MI648" s="2213"/>
      <c r="MJ648" s="2213"/>
      <c r="MK648" s="2218"/>
      <c r="ML648" s="2218"/>
      <c r="MM648" s="2218"/>
      <c r="MN648" s="2218"/>
      <c r="MO648" s="2218"/>
      <c r="MP648" s="2213"/>
      <c r="MQ648" s="2213"/>
      <c r="MR648" s="2213"/>
      <c r="MS648" s="2213"/>
      <c r="MT648" s="2213"/>
    </row>
    <row r="649" spans="1:380" ht="13.9" customHeight="1">
      <c r="A649" s="1901" t="str">
        <f t="shared" ref="A649:A686" si="0">IF(AND(E649&gt;0,OR(B649="",C649="",D649="",F649="",G649="", H649="",I649="",N649="",O649="",P649="",Q649="")),1,"")</f>
        <v/>
      </c>
      <c r="B649" s="2228" t="str">
        <f>'Part V-Revenues &amp; Expenses'!B11</f>
        <v>N/A-CS</v>
      </c>
      <c r="C649" s="2229">
        <f>'Part V-Revenues &amp; Expenses'!C11</f>
        <v>0</v>
      </c>
      <c r="D649" s="2230">
        <f>'Part V-Revenues &amp; Expenses'!D11</f>
        <v>0</v>
      </c>
      <c r="E649" s="2231">
        <f>'Part V-Revenues &amp; Expenses'!E11</f>
        <v>0</v>
      </c>
      <c r="F649" s="2231">
        <f>'Part V-Revenues &amp; Expenses'!F11</f>
        <v>0</v>
      </c>
      <c r="G649" s="2231">
        <f>'Part V-Revenues &amp; Expenses'!G11</f>
        <v>0</v>
      </c>
      <c r="H649" s="2231">
        <f>'Part V-Revenues &amp; Expenses'!H11</f>
        <v>0</v>
      </c>
      <c r="I649" s="2231">
        <f>'Part V-Revenues &amp; Expenses'!I11</f>
        <v>0</v>
      </c>
      <c r="J649" s="2231">
        <f>'Part V-Revenues &amp; Expenses'!J11</f>
        <v>0</v>
      </c>
      <c r="K649" s="2232">
        <f>'Part V-Revenues &amp; Expenses'!K11</f>
        <v>0</v>
      </c>
      <c r="L649" s="2233">
        <f t="shared" ref="L649:L654" si="1">MAX(0,H649-I649-J649)</f>
        <v>0</v>
      </c>
      <c r="M649" s="2233">
        <f t="shared" ref="M649:M654" si="2">MAX(0,E649*L649)</f>
        <v>0</v>
      </c>
      <c r="N649" s="2094">
        <f>'Part V-Revenues &amp; Expenses'!N11</f>
        <v>0</v>
      </c>
      <c r="O649" s="2234">
        <f>'Part V-Revenues &amp; Expenses'!O11</f>
        <v>0</v>
      </c>
      <c r="P649" s="2094">
        <f>'Part V-Revenues &amp; Expenses'!P11</f>
        <v>0</v>
      </c>
      <c r="Q649" s="2235">
        <f>'Part V-Revenues &amp; Expenses'!Q11</f>
        <v>0</v>
      </c>
      <c r="R649" s="2236"/>
      <c r="S649" s="2237"/>
      <c r="T649" s="2160"/>
      <c r="U649" s="2160"/>
      <c r="V649" s="2160"/>
      <c r="W649" s="2160"/>
      <c r="X649" s="357" t="str">
        <f t="shared" ref="X649:X686" si="3">IF(AND(C649="Efficiency",B649=80,NOT(N649="Common Space")),E649,"")</f>
        <v/>
      </c>
      <c r="Y649" s="357" t="str">
        <f t="shared" ref="Y649:Y686" si="4">IF(AND(C649=1,B649=80,NOT(N649="Common Space")),E649,"")</f>
        <v/>
      </c>
      <c r="Z649" s="357" t="str">
        <f t="shared" ref="Z649:Z686" si="5">IF(AND(C649=2,B649=80,NOT(N649="Common Space")),E649,"")</f>
        <v/>
      </c>
      <c r="AA649" s="357" t="str">
        <f t="shared" ref="AA649:AA686" si="6">IF(AND(C649=3,B649=80,NOT(N649="Common Space")),E649,"")</f>
        <v/>
      </c>
      <c r="AB649" s="357" t="str">
        <f t="shared" ref="AB649:AB686" si="7">IF(AND(C649=4,B649=80,NOT(N649="Common Space")),E649,"")</f>
        <v/>
      </c>
      <c r="AC649" s="357" t="str">
        <f t="shared" ref="AC649:AC686" si="8">IF(AND(C649="Efficiency",B649=70,NOT(N649="Common Space")),E649,"")</f>
        <v/>
      </c>
      <c r="AD649" s="357" t="str">
        <f t="shared" ref="AD649:AD686" si="9">IF(AND(C649=1,B649=70,NOT(N649="Common Space")),E649,"")</f>
        <v/>
      </c>
      <c r="AE649" s="357" t="str">
        <f t="shared" ref="AE649:AE686" si="10">IF(AND(C649=2,B649=70,NOT(N649="Common Space")),E649,"")</f>
        <v/>
      </c>
      <c r="AF649" s="357" t="str">
        <f t="shared" ref="AF649:AF686" si="11">IF(AND(C649=3,B649=70,NOT(N649="Common Space")),E649,"")</f>
        <v/>
      </c>
      <c r="AG649" s="357" t="str">
        <f t="shared" ref="AG649:AG686" si="12">IF(AND(C649=4,B649=70,NOT(N649="Common Space")),E649,"")</f>
        <v/>
      </c>
      <c r="AH649" s="357" t="str">
        <f t="shared" ref="AH649:AH686" si="13">IF(AND(C649="Efficiency",B649=60,NOT(N649="Common Space")),E649,"")</f>
        <v/>
      </c>
      <c r="AI649" s="357" t="str">
        <f t="shared" ref="AI649:AI686" si="14">IF(AND(C649=1,B649=60,NOT(N649="Common Space")),E649,"")</f>
        <v/>
      </c>
      <c r="AJ649" s="357" t="str">
        <f t="shared" ref="AJ649:AJ686" si="15">IF(AND(C649=2,B649=60,NOT(N649="Common Space")),E649,"")</f>
        <v/>
      </c>
      <c r="AK649" s="357" t="str">
        <f t="shared" ref="AK649:AK686" si="16">IF(AND(C649=3,B649=60,NOT(N649="Common Space")),E649,"")</f>
        <v/>
      </c>
      <c r="AL649" s="357" t="str">
        <f t="shared" ref="AL649:AL686" si="17">IF(AND(C649=4,B649=60,NOT(N649="Common Space")),E649,"")</f>
        <v/>
      </c>
      <c r="AM649" s="357" t="str">
        <f t="shared" ref="AM649:AM686" si="18">IF(AND(C649="Efficiency",B649=50,NOT(N649="Common Space")),E649,"")</f>
        <v/>
      </c>
      <c r="AN649" s="357" t="str">
        <f t="shared" ref="AN649:AN686" si="19">IF(AND(C649=1,B649=50,NOT(N649="Common Space")),E649,"")</f>
        <v/>
      </c>
      <c r="AO649" s="357" t="str">
        <f t="shared" ref="AO649:AO686" si="20">IF(AND(C649=2,B649=50,NOT(N649="Common Space")),E649,"")</f>
        <v/>
      </c>
      <c r="AP649" s="357" t="str">
        <f t="shared" ref="AP649:AP686" si="21">IF(AND(C649=3,B649=50,NOT(N649="Common Space")),E649,"")</f>
        <v/>
      </c>
      <c r="AQ649" s="357" t="str">
        <f t="shared" ref="AQ649:AQ686" si="22">IF(AND(C649=4,B649=50,NOT(N649="Common Space")),E649,"")</f>
        <v/>
      </c>
      <c r="AR649" s="357" t="str">
        <f t="shared" ref="AR649:AR686" si="23">IF(AND(C649="Efficiency",B649=40,NOT(N649="Common Space")),E649,"")</f>
        <v/>
      </c>
      <c r="AS649" s="357" t="str">
        <f t="shared" ref="AS649:AS686" si="24">IF(AND(C649=1,B649=40,NOT(N649="Common Space")),E649,"")</f>
        <v/>
      </c>
      <c r="AT649" s="357" t="str">
        <f t="shared" ref="AT649:AT686" si="25">IF(AND(C649=2,B649=40,NOT(N649="Common Space")),E649,"")</f>
        <v/>
      </c>
      <c r="AU649" s="357" t="str">
        <f t="shared" ref="AU649:AU686" si="26">IF(AND(C649=3,B649=40,NOT(N649="Common Space")),E649,"")</f>
        <v/>
      </c>
      <c r="AV649" s="357" t="str">
        <f t="shared" ref="AV649:AV686" si="27">IF(AND(C649=4,B649=40,NOT(N649="Common Space")),E649,"")</f>
        <v/>
      </c>
      <c r="AW649" s="357" t="str">
        <f t="shared" ref="AW649:AW686" si="28">IF(AND(C649="Efficiency",B649=30,NOT(N649="Common Space")),E649,"")</f>
        <v/>
      </c>
      <c r="AX649" s="357" t="str">
        <f t="shared" ref="AX649:AX686" si="29">IF(AND(C649=1,B649=30,NOT(N649="Common Space")),E649,"")</f>
        <v/>
      </c>
      <c r="AY649" s="357" t="str">
        <f t="shared" ref="AY649:AY686" si="30">IF(AND(C649=2,B649=30,NOT(N649="Common Space")),E649,"")</f>
        <v/>
      </c>
      <c r="AZ649" s="357" t="str">
        <f t="shared" ref="AZ649:AZ686" si="31">IF(AND(C649=3,B649=30,NOT(N649="Common Space")),E649,"")</f>
        <v/>
      </c>
      <c r="BA649" s="357" t="str">
        <f t="shared" ref="BA649:BA686" si="32">IF(AND(C649=4,B649=30,NOT(N649="Common Space")),E649,"")</f>
        <v/>
      </c>
      <c r="BB649" s="357" t="str">
        <f t="shared" ref="BB649:BB686" si="33">IF(AND(C649="Efficiency",B649=20,NOT(N649="Common Space")),E649,"")</f>
        <v/>
      </c>
      <c r="BC649" s="357" t="str">
        <f t="shared" ref="BC649:BC686" si="34">IF(AND(C649=1,B649=20,NOT(N649="Common Space")),E649,"")</f>
        <v/>
      </c>
      <c r="BD649" s="357" t="str">
        <f t="shared" ref="BD649:BD686" si="35">IF(AND(C649=2,B649=20,NOT(N649="Common Space")),E649,"")</f>
        <v/>
      </c>
      <c r="BE649" s="357" t="str">
        <f t="shared" ref="BE649:BE686" si="36">IF(AND(C649=3,B649=20,NOT(N649="Common Space")),E649,"")</f>
        <v/>
      </c>
      <c r="BF649" s="357" t="str">
        <f t="shared" ref="BF649:BF686" si="37">IF(AND(C649=4,B649=20,NOT(N649="Common Space")),E649,"")</f>
        <v/>
      </c>
      <c r="BG649" s="357" t="str">
        <f t="shared" ref="BG649:BG686" si="38">IF(AND(C649="Efficiency",B649="Unrestricted",NOT(N649="Common Space")),E649,"")</f>
        <v/>
      </c>
      <c r="BH649" s="357" t="str">
        <f t="shared" ref="BH649:BH686" si="39">IF(AND(C649=1,B649="Unrestricted",NOT(N649="Common Space")),E649,"")</f>
        <v/>
      </c>
      <c r="BI649" s="357" t="str">
        <f t="shared" ref="BI649:BI686" si="40">IF(AND(C649=2,B649="Unrestricted",NOT(N649="Common Space")),E649,"")</f>
        <v/>
      </c>
      <c r="BJ649" s="357" t="str">
        <f t="shared" ref="BJ649:BJ686" si="41">IF(AND(C649=3,B649="Unrestricted",NOT(N649="Common Space")),E649,"")</f>
        <v/>
      </c>
      <c r="BK649" s="357" t="str">
        <f t="shared" ref="BK649:BK686" si="42">IF(AND(C649=4,B649="Unrestricted",NOT(N649="Common Space")),E649,"")</f>
        <v/>
      </c>
      <c r="BL649" s="357" t="str">
        <f t="shared" ref="BL649:BL686" si="43">IF(OR(AND($C649="Efficiency",NOT($K649=""),NOT($K649="PHA Oper Sub"),$B649=20,NOT($N649="Common Space")),AND($C649="Efficiency",NOT($K649=""),NOT($K649="PHA Oper Sub"),$B649="HOME 20",NOT($N649="Common Space"))),$E649,"")</f>
        <v/>
      </c>
      <c r="BM649" s="357" t="str">
        <f t="shared" ref="BM649:BM686" si="44">IF(OR(AND($C649=1,NOT($K649=""),NOT($K649="PHA Oper Sub"),$B649=20,NOT($N649="Common Space")),AND($C649=1,NOT($K649=""),NOT($K649="PHA Oper Sub"),$B649="HOME 20",NOT($N649="Common Space"))),$E649,"")</f>
        <v/>
      </c>
      <c r="BN649" s="357" t="str">
        <f t="shared" ref="BN649:BN686" si="45">IF(OR(AND($C649=2,NOT($K649=""),NOT($K649="PHA Oper Sub"),$B649=20,NOT($N649="Common Space")),AND($C649=2,NOT($K649=""),NOT($K649="PHA Oper Sub"),$B649="HOME 20",NOT($N649="Common Space"))),$E649,"")</f>
        <v/>
      </c>
      <c r="BO649" s="357" t="str">
        <f t="shared" ref="BO649:BO686" si="46">IF(OR(AND($C649=3,NOT($K649=""),NOT($K649="PHA Oper Sub"),$B649=20,NOT($N649="Common Space")),AND($C649=3,NOT($K649=""),NOT($K649="PHA Oper Sub"),$B649="HOME 20",NOT($N649="Common Space"))),$E649,"")</f>
        <v/>
      </c>
      <c r="BP649" s="357" t="str">
        <f t="shared" ref="BP649:BP686" si="47">IF(OR(AND($C649=4,NOT($K649=""),NOT($K649="PHA Oper Sub"),$B649=20,NOT($N649="Common Space")),AND($C649=4,NOT($K649=""),NOT($K649="PHA Oper Sub"),$B649="HOME 20",NOT($N649="Common Space"))),$E649,"")</f>
        <v/>
      </c>
      <c r="BQ649" s="357" t="str">
        <f t="shared" ref="BQ649:BQ686" si="48">IF(OR(AND($C649="Efficiency",NOT($K649=""),NOT($K649="PHA Oper Sub"),$B649=30,NOT($N649="Common Space")),AND($C649="Efficiency",NOT($K649=""),NOT($K649="PHA Oper Sub"),$B649="HOME 30",NOT($N649="Common Space"))),$E649,"")</f>
        <v/>
      </c>
      <c r="BR649" s="357" t="str">
        <f t="shared" ref="BR649:BR686" si="49">IF(OR(AND($C649=1,NOT($K649=""),NOT($K649="PHA Oper Sub"),$B649=30,NOT($N649="Common Space")),AND($C649=1,NOT($K649=""),NOT($K649="PHA Oper Sub"),$B649="HOME 30",NOT($N649="Common Space"))),$E649,"")</f>
        <v/>
      </c>
      <c r="BS649" s="357" t="str">
        <f t="shared" ref="BS649:BS686" si="50">IF(OR(AND($C649=2,NOT($K649=""),NOT($K649="PHA Oper Sub"),$B649=30,NOT($N649="Common Space")),AND($C649=2,NOT($K649=""),NOT($K649="PHA Oper Sub"),$B649="HOME 30",NOT($N649="Common Space"))),$E649,"")</f>
        <v/>
      </c>
      <c r="BT649" s="357" t="str">
        <f t="shared" ref="BT649:BT686" si="51">IF(OR(AND($C649=3,NOT($K649=""),NOT($K649="PHA Oper Sub"),$B649=30,NOT($N649="Common Space")),AND($C649=3,NOT($K649=""),NOT($K649="PHA Oper Sub"),$B649="HOME 30",NOT($N649="Common Space"))),$E649,"")</f>
        <v/>
      </c>
      <c r="BU649" s="357" t="str">
        <f t="shared" ref="BU649:BU686" si="52">IF(OR(AND($C649=4,NOT($K649=""),NOT($K649="PHA Oper Sub"),$B649=30,NOT($N649="Common Space")),AND($C649=4,NOT($K649=""),NOT($K649="PHA Oper Sub"),$B649="HOME 30",NOT($N649="Common Space"))),$E649,"")</f>
        <v/>
      </c>
      <c r="BV649" s="357" t="str">
        <f t="shared" ref="BV649:BV686" si="53">IF(OR(AND($C649="Efficiency",NOT($K649=""),NOT($K649="PHA Oper Sub"),$B649=40,NOT($N649="Common Space")),AND($C649="Efficiency",NOT($K649=""),NOT($K649="PHA Oper Sub"),$B649="HOME 40",NOT($N649="Common Space"))),$E649,"")</f>
        <v/>
      </c>
      <c r="BW649" s="357" t="str">
        <f t="shared" ref="BW649:BW686" si="54">IF(OR(AND($C649=1,NOT($K649=""),NOT($K649="PHA Oper Sub"),$B649=40,NOT($N649="Common Space")),AND($C649=1,NOT($K649=""),NOT($K649="PHA Oper Sub"),$B649="HOME 40",NOT($N649="Common Space"))),$E649,"")</f>
        <v/>
      </c>
      <c r="BX649" s="357" t="str">
        <f t="shared" ref="BX649:BX686" si="55">IF(OR(AND($C649=2,NOT($K649=""),NOT($K649="PHA Oper Sub"),$B649=40,NOT($N649="Common Space")),AND($C649=2,NOT($K649=""),NOT($K649="PHA Oper Sub"),$B649="HOME 40",NOT($N649="Common Space"))),$E649,"")</f>
        <v/>
      </c>
      <c r="BY649" s="357" t="str">
        <f t="shared" ref="BY649:BY686" si="56">IF(OR(AND($C649=3,NOT($K649=""),NOT($K649="PHA Oper Sub"),$B649=40,NOT($N649="Common Space")),AND($C649=3,NOT($K649=""),NOT($K649="PHA Oper Sub"),$B649="HOME 40",NOT($N649="Common Space"))),$E649,"")</f>
        <v/>
      </c>
      <c r="BZ649" s="357" t="str">
        <f t="shared" ref="BZ649:BZ686" si="57">IF(OR(AND($C649=4,NOT($K649=""),NOT($K649="PHA Oper Sub"),$B649=40,NOT($N649="Common Space")),AND($C649=4,NOT($K649=""),NOT($K649="PHA Oper Sub"),$B649="HOME 40",NOT($N649="Common Space"))),$E649,"")</f>
        <v/>
      </c>
      <c r="CA649" s="357" t="str">
        <f t="shared" ref="CA649:CA686" si="58">IF(OR(AND($C649="Efficiency",NOT($K649=""),NOT($K649="PHA Oper Sub"),NOT($K649=0),$B649=50,NOT($N649="Common Space")),AND($C649="Efficiency",NOT($K649=""),NOT($K649=0),NOT($K649="PHA Oper Sub"),$B649="HOME 50",NOT($N649="Common Space"))),$E649,"")</f>
        <v/>
      </c>
      <c r="CB649" s="357" t="str">
        <f t="shared" ref="CB649:CB686" si="59">IF(OR(AND($C649=1,NOT($K649=""),NOT($K649=0),NOT($K649="PHA Oper Sub"),$B649=50,NOT($N649="Common Space")),AND($C649=1,NOT($K649=""),NOT($K649=0),NOT($K649="PHA Oper Sub"),$B649="HOME 50",NOT($N649="Common Space"))),$E649,"")</f>
        <v/>
      </c>
      <c r="CC649" s="357" t="str">
        <f t="shared" ref="CC649:CC686" si="60">IF(OR(AND($C649=2,NOT($K649=""),NOT($K649=0),NOT($K649="PHA Oper Sub"),$B649=50,NOT($N649="Common Space")),AND($C649=2,NOT($K649=""),NOT($K649=0),NOT($K649="PHA Oper Sub"),$B649="HOME 50",NOT($N649="Common Space"))),$E649,"")</f>
        <v/>
      </c>
      <c r="CD649" s="357" t="str">
        <f t="shared" ref="CD649:CD686" si="61">IF(OR(AND($C649=3,NOT($K649=""),NOT($K649=0),NOT($K649="PHA Oper Sub"),$B649=50,NOT($N649="Common Space")),AND($C649=3,NOT($K649=""),NOT($K649=0),NOT($K649="PHA Oper Sub"),$B649="HOME 50",NOT($N649="Common Space"))),$E649,"")</f>
        <v/>
      </c>
      <c r="CE649" s="357" t="str">
        <f t="shared" ref="CE649:CE686" si="62">IF(OR(AND($C649=4,NOT($K649=""),NOT($K649=0),NOT($K649="PHA Oper Sub"),$B649=50,NOT($N649="Common Space")),AND($C649=4,NOT($K649=""),NOT($K649=0),NOT($K649="PHA Oper Sub"),$B649="HOME 50",NOT($N649="Common Space"))),$E649,"")</f>
        <v/>
      </c>
      <c r="CF649" s="357" t="str">
        <f t="shared" ref="CF649:CF686" si="63">IF(OR(AND($C649="Efficiency",NOT($K649=""),NOT($K649=0),NOT($K649="PHA Oper Sub"),$B649=60,NOT($N649="Common Space")),AND($C649="Efficiency",NOT($K649=""),NOT($K649=0),NOT($K649="PHA Oper Sub"),$B649="HOME 60",NOT($N649="Common Space"))),$E649,"")</f>
        <v/>
      </c>
      <c r="CG649" s="357" t="str">
        <f t="shared" ref="CG649:CG686" si="64">IF(OR(AND($C649=1,NOT($K649=""),NOT($K649=0),NOT($K649="PHA Oper Sub"),$B649=60,NOT($N649="Common Space")),AND($C649=1,NOT($K649=""),NOT($K649=0),NOT($K649="PHA Oper Sub"),$B649="HOME 60",NOT($N649="Common Space"))),$E649,"")</f>
        <v/>
      </c>
      <c r="CH649" s="357" t="str">
        <f t="shared" ref="CH649:CH686" si="65">IF(OR(AND($C649=2,NOT($K649=""),NOT($K649=0),NOT($K649="PHA Oper Sub"),$B649=60,NOT($N649="Common Space")),AND($C649=2,NOT($K649=""),NOT($K649=0),NOT($K649="PHA Oper Sub"),$B649="HOME 60",NOT($N649="Common Space"))),$E649,"")</f>
        <v/>
      </c>
      <c r="CI649" s="357" t="str">
        <f t="shared" ref="CI649:CI686" si="66">IF(OR(AND($C649=3,NOT($K649=""),NOT($K649=0),NOT($K649="PHA Oper Sub"),$B649=60,NOT($N649="Common Space")),AND($C649=3,NOT($K649=""),NOT($K649=0),NOT($K649="PHA Oper Sub"),$B649="HOME 60",NOT($N649="Common Space"))),$E649,"")</f>
        <v/>
      </c>
      <c r="CJ649" s="357" t="str">
        <f t="shared" ref="CJ649:CJ686" si="67">IF(OR(AND($C649=4,NOT($K649=""),NOT($K649=0),NOT($K649="PHA Oper Sub"),$B649=60,NOT($N649="Common Space")),AND($C649=4,NOT($K649=""),NOT($K649=0),NOT($K649="PHA Oper Sub"),$B649="HOME 60",NOT($N649="Common Space"))),$E649,"")</f>
        <v/>
      </c>
      <c r="CK649" s="357" t="str">
        <f t="shared" ref="CK649:CK686" si="68">IF(OR(AND($C649="Efficiency",NOT($K649=""),NOT($K649="PHA Oper Sub"),$B649=70,NOT($N649="Common Space")),AND($C649="Efficiency",NOT($K649=""),NOT($K649="PHA Oper Sub"),$B649="HOME 70",NOT($N649="Common Space"))),$E649,"")</f>
        <v/>
      </c>
      <c r="CL649" s="357" t="str">
        <f t="shared" ref="CL649:CL686" si="69">IF(OR(AND($C649=1,NOT($K649=""),NOT($K649="PHA Oper Sub"),$B649=70,NOT($N649="Common Space")),AND($C649=1,NOT($K649=""),NOT($K649="PHA Oper Sub"),$B649="HOME 70",NOT($N649="Common Space"))),$E649,"")</f>
        <v/>
      </c>
      <c r="CM649" s="357" t="str">
        <f t="shared" ref="CM649:CM686" si="70">IF(OR(AND($C649=2,NOT($K649=""),NOT($K649="PHA Oper Sub"),$B649=70,NOT($N649="Common Space")),AND($C649=2,NOT($K649=""),NOT($K649="PHA Oper Sub"),$B649="HOME 70",NOT($N649="Common Space"))),$E649,"")</f>
        <v/>
      </c>
      <c r="CN649" s="357" t="str">
        <f t="shared" ref="CN649:CN686" si="71">IF(OR(AND($C649=3,NOT($K649=""),NOT($K649="PHA Oper Sub"),$B649=70,NOT($N649="Common Space")),AND($C649=3,NOT($K649=""),NOT($K649="PHA Oper Sub"),$B649="HOME 70",NOT($N649="Common Space"))),$E649,"")</f>
        <v/>
      </c>
      <c r="CO649" s="357" t="str">
        <f t="shared" ref="CO649:CO686" si="72">IF(OR(AND($C649=4,NOT($K649=""),NOT($K649="PHA Oper Sub"),$B649=70,NOT($N649="Common Space")),AND($C649=4,NOT($K649=""),NOT($K649="PHA Oper Sub"),$B649="HOME 70",NOT($N649="Common Space"))),$E649,"")</f>
        <v/>
      </c>
      <c r="CP649" s="357" t="str">
        <f t="shared" ref="CP649:CP686" si="73">IF(OR(AND($C649="Efficiency",NOT($K649=""),NOT($K649="PHA Oper Sub"),$B649=80,NOT($N649="Common Space")),AND($C649="Efficiency",NOT($K649=""),NOT($K649="PHA Oper Sub"),$B649="HOME 80",NOT($N649="Common Space"))),$E649,"")</f>
        <v/>
      </c>
      <c r="CQ649" s="357" t="str">
        <f t="shared" ref="CQ649:CQ686" si="74">IF(OR(AND($C649=1,NOT($K649=""),NOT($K649="PHA Oper Sub"),$B649=80,NOT($N649="Common Space")),AND($C649=1,NOT($K649=""),NOT($K649="PHA Oper Sub"),$B649="HOME 80",NOT($N649="Common Space"))),$E649,"")</f>
        <v/>
      </c>
      <c r="CR649" s="357" t="str">
        <f t="shared" ref="CR649:CR686" si="75">IF(OR(AND($C649=2,NOT($K649=""),NOT($K649="PHA Oper Sub"),$B649=80,NOT($N649="Common Space")),AND($C649=2,NOT($K649=""),NOT($K649="PHA Oper Sub"),$B649="HOME 80",NOT($N649="Common Space"))),$E649,"")</f>
        <v/>
      </c>
      <c r="CS649" s="357" t="str">
        <f t="shared" ref="CS649:CS686" si="76">IF(OR(AND($C649=3,NOT($K649=""),NOT($K649="PHA Oper Sub"),$B649=80,NOT($N649="Common Space")),AND($C649=3,NOT($K649=""),NOT($K649="PHA Oper Sub"),$B649="HOME 80",NOT($N649="Common Space"))),$E649,"")</f>
        <v/>
      </c>
      <c r="CT649" s="357" t="str">
        <f t="shared" ref="CT649:CT686" si="77">IF(OR(AND($C649=4,NOT($K649=""),NOT($K649="PHA Oper Sub"),$B649=80,NOT($N649="Common Space")),AND($C649=4,NOT($K649=""),NOT($K649="PHA Oper Sub"),$B649="HOME 80",NOT($N649="Common Space"))),$E649,"")</f>
        <v/>
      </c>
      <c r="CU649" s="357" t="str">
        <f t="shared" ref="CU649:CU686" si="78">IF(OR(AND($C649="Efficiency",$K649="PHA Oper Sub",$B649=20,NOT($N649="Common Space")),AND($C649="Efficiency",$K649="PHA Oper Sub",$B649="HOME 20",NOT($N649="Common Space"))),$E649,"")</f>
        <v/>
      </c>
      <c r="CV649" s="357" t="str">
        <f t="shared" ref="CV649:CV686" si="79">IF(OR(AND($C649=1,$K649="PHA Oper Sub",$B649=20,NOT($N649="Common Space")),AND($C649=1,$K649="PHA Oper Sub",$B649="HOME 20",NOT($N649="Common Space"))),$E649,"")</f>
        <v/>
      </c>
      <c r="CW649" s="357" t="str">
        <f t="shared" ref="CW649:CW686" si="80">IF(OR(AND($C649=2,$K649="PHA Oper Sub",$B649=20,NOT($N649="Common Space")),AND($C649=2,$K649="PHA Oper Sub",$B649="HOME 20",NOT($N649="Common Space"))),$E649,"")</f>
        <v/>
      </c>
      <c r="CX649" s="357" t="str">
        <f t="shared" ref="CX649:CX686" si="81">IF(OR(AND($C649=3,$K649="PHA Oper Sub",$B649=20,NOT($N649="Common Space")),AND($C649=3,$K649="PHA Oper Sub",$B649="HOME 20",NOT($N649="Common Space"))),$E649,"")</f>
        <v/>
      </c>
      <c r="CY649" s="357" t="str">
        <f t="shared" ref="CY649:CY686" si="82">IF(OR(AND($C649=4,$K649="PHA Oper Sub",$B649=20,NOT($N649="Common Space")),AND($C649=4,$K649="PHA Oper Sub",$B649="HOME 20",NOT($N649="Common Space"))),$E649,"")</f>
        <v/>
      </c>
      <c r="CZ649" s="357" t="str">
        <f t="shared" ref="CZ649:CZ686" si="83">IF(OR(AND($C649="Efficiency",$K649="PHA Oper Sub",$B649=30,NOT($N649="Common Space")),AND($C649="Efficiency",$K649="PHA Oper Sub",$B649="HOME 30",NOT($N649="Common Space"))),$E649,"")</f>
        <v/>
      </c>
      <c r="DA649" s="357" t="str">
        <f t="shared" ref="DA649:DA686" si="84">IF(OR(AND($C649=1,$K649="PHA Oper Sub",$B649=30,NOT($N649="Common Space")),AND($C649=1,$K649="PHA Oper Sub",$B649="HOME 30",NOT($N649="Common Space"))),$E649,"")</f>
        <v/>
      </c>
      <c r="DB649" s="357" t="str">
        <f t="shared" ref="DB649:DB686" si="85">IF(OR(AND($C649=2,$K649="PHA Oper Sub",$B649=30,NOT($N649="Common Space")),AND($C649=2,$K649="PHA Oper Sub",$B649="HOME 30",NOT($N649="Common Space"))),$E649,"")</f>
        <v/>
      </c>
      <c r="DC649" s="357" t="str">
        <f t="shared" ref="DC649:DC686" si="86">IF(OR(AND($C649=3,$K649="PHA Oper Sub",$B649=30,NOT($N649="Common Space")),AND($C649=3,$K649="PHA Oper Sub",$B649="HOME 30",NOT($N649="Common Space"))),$E649,"")</f>
        <v/>
      </c>
      <c r="DD649" s="357" t="str">
        <f t="shared" ref="DD649:DD686" si="87">IF(OR(AND($C649=4,$K649="PHA Oper Sub",$B649=30,NOT($N649="Common Space")),AND($C649=4,$K649="PHA Oper Sub",$B649="HOME 30",NOT($N649="Common Space"))),$E649,"")</f>
        <v/>
      </c>
      <c r="DE649" s="357" t="str">
        <f t="shared" ref="DE649:DE686" si="88">IF(OR(AND($C649="Efficiency",$K649="PHA Oper Sub",$B649=40,NOT($N649="Common Space")),AND($C649="Efficiency",$K649="PHA Oper Sub",$B649="HOME 40",NOT($N649="Common Space"))),$E649,"")</f>
        <v/>
      </c>
      <c r="DF649" s="357" t="str">
        <f t="shared" ref="DF649:DF686" si="89">IF(OR(AND($C649=1,$K649="PHA Oper Sub",$B649=40,NOT($N649="Common Space")),AND($C649=1,$K649="PHA Oper Sub",$B649="HOME 40",NOT($N649="Common Space"))),$E649,"")</f>
        <v/>
      </c>
      <c r="DG649" s="357" t="str">
        <f t="shared" ref="DG649:DG686" si="90">IF(OR(AND($C649=2,$K649="PHA Oper Sub",$B649=40,NOT($N649="Common Space")),AND($C649=2,$K649="PHA Oper Sub",$B649="HOME 40",NOT($N649="Common Space"))),$E649,"")</f>
        <v/>
      </c>
      <c r="DH649" s="357" t="str">
        <f t="shared" ref="DH649:DH686" si="91">IF(OR(AND($C649=3,$K649="PHA Oper Sub",$B649=40,NOT($N649="Common Space")),AND($C649=3,$K649="PHA Oper Sub",$B649="HOME 40",NOT($N649="Common Space"))),$E649,"")</f>
        <v/>
      </c>
      <c r="DI649" s="357" t="str">
        <f t="shared" ref="DI649:DI686" si="92">IF(OR(AND($C649=4,$K649="PHA Oper Sub",$B649=40,NOT($N649="Common Space")),AND($C649=4,$K649="PHA Oper Sub",$B649="HOME 40",NOT($N649="Common Space"))),$E649,"")</f>
        <v/>
      </c>
      <c r="DJ649" s="357" t="str">
        <f t="shared" ref="DJ649:DJ686" si="93">IF(OR(AND($C649="Efficiency",$K649="PHA Oper Sub",$B649=50,NOT($N649="Common Space")),AND($C649="Efficiency",$K649="PHA Oper Sub",$B649="HOME 50",NOT($N649="Common Space"))),$E649,"")</f>
        <v/>
      </c>
      <c r="DK649" s="357" t="str">
        <f t="shared" ref="DK649:DK686" si="94">IF(OR(AND($C649=1,$K649="PHA Oper Sub",$B649=50,NOT($N649="Common Space")),AND($C649=1,$K649="PHA Oper Sub",$B649="HOME 50",NOT($N649="Common Space"))),$E649,"")</f>
        <v/>
      </c>
      <c r="DL649" s="357" t="str">
        <f t="shared" ref="DL649:DL686" si="95">IF(OR(AND($C649=2,$K649="PHA Oper Sub",$B649=50,NOT($N649="Common Space")),AND($C649=2,$K649="PHA Oper Sub",$B649="HOME 50",NOT($N649="Common Space"))),$E649,"")</f>
        <v/>
      </c>
      <c r="DM649" s="357" t="str">
        <f t="shared" ref="DM649:DM686" si="96">IF(OR(AND($C649=3,$K649="PHA Oper Sub",$B649=50,NOT($N649="Common Space")),AND($C649=3,$K649="PHA Oper Sub",$B649="HOME 50",NOT($N649="Common Space"))),$E649,"")</f>
        <v/>
      </c>
      <c r="DN649" s="357" t="str">
        <f t="shared" ref="DN649:DN686" si="97">IF(OR(AND($C649=4,$K649="PHA Oper Sub",$B649=50,NOT($N649="Common Space")),AND($C649=4,$K649="PHA Oper Sub",$B649="HOME 50",NOT($N649="Common Space"))),$E649,"")</f>
        <v/>
      </c>
      <c r="DO649" s="357" t="str">
        <f t="shared" ref="DO649:DO686" si="98">IF(OR(AND($C649="Efficiency",$K649="PHA Oper Sub",$B649=60,NOT($N649="Common Space")),AND($C649="Efficiency",$K649="PHA Oper Sub",$B649="HOME 60",NOT($N649="Common Space"))),$E649,"")</f>
        <v/>
      </c>
      <c r="DP649" s="357" t="str">
        <f t="shared" ref="DP649:DP686" si="99">IF(OR(AND($C649=1,$K649="PHA Oper Sub",$B649=60,NOT($N649="Common Space")),AND($C649=1,$K649="PHA Oper Sub",$B649="HOME 60",NOT($N649="Common Space"))),$E649,"")</f>
        <v/>
      </c>
      <c r="DQ649" s="357" t="str">
        <f t="shared" ref="DQ649:DQ686" si="100">IF(OR(AND($C649=2,$K649="PHA Oper Sub",$B649=60,NOT($N649="Common Space")),AND($C649=2,$K649="PHA Oper Sub",$B649="HOME 60",NOT($N649="Common Space"))),$E649,"")</f>
        <v/>
      </c>
      <c r="DR649" s="357" t="str">
        <f t="shared" ref="DR649:DR686" si="101">IF(OR(AND($C649=3,$K649="PHA Oper Sub",$B649=60,NOT($N649="Common Space")),AND($C649=3,$K649="PHA Oper Sub",$B649="HOME 60",NOT($N649="Common Space"))),$E649,"")</f>
        <v/>
      </c>
      <c r="DS649" s="357" t="str">
        <f t="shared" ref="DS649:DS686" si="102">IF(OR(AND($C649=4,$K649="PHA Oper Sub",$B649=60,NOT($N649="Common Space")),AND($C649=4,$K649="PHA Oper Sub",$B649="HOME 60",NOT($N649="Common Space"))),$E649,"")</f>
        <v/>
      </c>
      <c r="DT649" s="357" t="str">
        <f t="shared" ref="DT649:DT686" si="103">IF(OR(AND($C649="Efficiency",$K649="PHA Oper Sub",$B649=70,NOT($N649="Common Space")),AND($C649="Efficiency",$K649="PHA Oper Sub",$B649="HOME 70",NOT($N649="Common Space"))),$E649,"")</f>
        <v/>
      </c>
      <c r="DU649" s="357" t="str">
        <f t="shared" ref="DU649:DU686" si="104">IF(OR(AND($C649=1,$K649="PHA Oper Sub",$B649=70,NOT($N649="Common Space")),AND($C649=1,$K649="PHA Oper Sub",$B649="HOME 70",NOT($N649="Common Space"))),$E649,"")</f>
        <v/>
      </c>
      <c r="DV649" s="357" t="str">
        <f t="shared" ref="DV649:DV686" si="105">IF(OR(AND($C649=2,$K649="PHA Oper Sub",$B649=70,NOT($N649="Common Space")),AND($C649=2,$K649="PHA Oper Sub",$B649="HOME 70",NOT($N649="Common Space"))),$E649,"")</f>
        <v/>
      </c>
      <c r="DW649" s="357" t="str">
        <f t="shared" ref="DW649:DW686" si="106">IF(OR(AND($C649=3,$K649="PHA Oper Sub",$B649=70,NOT($N649="Common Space")),AND($C649=3,$K649="PHA Oper Sub",$B649="HOME 70",NOT($N649="Common Space"))),$E649,"")</f>
        <v/>
      </c>
      <c r="DX649" s="357" t="str">
        <f t="shared" ref="DX649:DX686" si="107">IF(OR(AND($C649=4,$K649="PHA Oper Sub",$B649=70,NOT($N649="Common Space")),AND($C649=4,$K649="PHA Oper Sub",$B649="HOME 70",NOT($N649="Common Space"))),$E649,"")</f>
        <v/>
      </c>
      <c r="DY649" s="357" t="str">
        <f t="shared" ref="DY649:DY686" si="108">IF(OR(AND($C649="Efficiency",$K649="PHA Oper Sub",$B649=80,NOT($N649="Common Space")),AND($C649="Efficiency",$K649="PHA Oper Sub",$B649="HOME 80",NOT($N649="Common Space"))),$E649,"")</f>
        <v/>
      </c>
      <c r="DZ649" s="357" t="str">
        <f t="shared" ref="DZ649:DZ686" si="109">IF(OR(AND($C649=1,$K649="PHA Oper Sub",$B649=80,NOT($N649="Common Space")),AND($C649=1,$K649="PHA Oper Sub",$B649="HOME 80",NOT($N649="Common Space"))),$E649,"")</f>
        <v/>
      </c>
      <c r="EA649" s="357" t="str">
        <f t="shared" ref="EA649:EA686" si="110">IF(OR(AND($C649=2,$K649="PHA Oper Sub",$B649=80,NOT($N649="Common Space")),AND($C649=2,$K649="PHA Oper Sub",$B649="HOME 80",NOT($N649="Common Space"))),$E649,"")</f>
        <v/>
      </c>
      <c r="EB649" s="357" t="str">
        <f t="shared" ref="EB649:EB686" si="111">IF(OR(AND($C649=3,$K649="PHA Oper Sub",$B649=80,NOT($N649="Common Space")),AND($C649=3,$K649="PHA Oper Sub",$B649="HOME 80",NOT($N649="Common Space"))),$E649,"")</f>
        <v/>
      </c>
      <c r="EC649" s="357" t="str">
        <f t="shared" ref="EC649:EC686" si="112">IF(OR(AND($C649=4,$K649="PHA Oper Sub",$B649=80,NOT($N649="Common Space")),AND($C649=4,$K649="PHA Oper Sub",$B649="HOME 80",NOT($N649="Common Space"))),$E649,"")</f>
        <v/>
      </c>
      <c r="ED649" s="357" t="str">
        <f t="shared" ref="ED649:ED686" si="113">IF(AND(C649="Efficiency",N649="Common Space"),E649,"")</f>
        <v/>
      </c>
      <c r="EE649" s="357" t="str">
        <f t="shared" ref="EE649:EE686" si="114">IF(AND(C649=1,N649="Common Space"),E649,"")</f>
        <v/>
      </c>
      <c r="EF649" s="357" t="str">
        <f t="shared" ref="EF649:EF686" si="115">IF(AND(C649=2,N649="Common Space"),E649,"")</f>
        <v/>
      </c>
      <c r="EG649" s="357" t="str">
        <f t="shared" ref="EG649:EG686" si="116">IF(AND(C649=3,N649="Common Space"),E649,"")</f>
        <v/>
      </c>
      <c r="EH649" s="357" t="str">
        <f t="shared" ref="EH649:EH686" si="117">IF(AND(C649=4,N649="Common Space"),E649,"")</f>
        <v/>
      </c>
      <c r="EI649" s="357" t="str">
        <f t="shared" ref="EI649:EI686" si="118">IF(OR(AND($C649="Efficiency",$B649=80,NOT($N649="Common Space")),AND($C649="Efficiency",$B649="HOME 80",NOT($N649="Common Space"))),$E649*$F649,"")</f>
        <v/>
      </c>
      <c r="EJ649" s="357" t="str">
        <f t="shared" ref="EJ649:EJ686" si="119">IF(OR(AND($C649=1,$B649=80,NOT($N649="Common Space")),AND($C649=1,$B649="HOME 80",NOT($N649="Common Space"))),$E649*$F649,"")</f>
        <v/>
      </c>
      <c r="EK649" s="357" t="str">
        <f t="shared" ref="EK649:EK686" si="120">IF(OR(AND($C649=2,$B649=80,NOT($N649="Common Space")),AND($C649=2,$B649="HOME 80",NOT($N649="Common Space"))),$E649*$F649,"")</f>
        <v/>
      </c>
      <c r="EL649" s="357" t="str">
        <f t="shared" ref="EL649:EL686" si="121">IF(OR(AND($C649=3,$B649=80,NOT($N649="Common Space")),AND($C649=3,$B649="HOME 80",NOT($N649="Common Space"))),$E649*$F649,"")</f>
        <v/>
      </c>
      <c r="EM649" s="357" t="str">
        <f t="shared" ref="EM649:EM686" si="122">IF(OR(AND($C649=4,$B649=80,NOT($N649="Common Space")),AND($C649=4,$B649="HOME 80",NOT($N649="Common Space"))),$E649*$F649,"")</f>
        <v/>
      </c>
      <c r="EN649" s="357" t="str">
        <f t="shared" ref="EN649:EN686" si="123">IF(OR(AND($C649="Efficiency",$B649=70,NOT($N649="Common Space")),AND($C649="Efficiency",$B649="HOME 70",NOT($N649="Common Space"))),$E649*$F649,"")</f>
        <v/>
      </c>
      <c r="EO649" s="357" t="str">
        <f t="shared" ref="EO649:EO686" si="124">IF(OR(AND($C649=1,$B649=70,NOT($N649="Common Space")),AND($C649=1,$B649="HOME 70",NOT($N649="Common Space"))),$E649*$F649,"")</f>
        <v/>
      </c>
      <c r="EP649" s="357" t="str">
        <f t="shared" ref="EP649:EP686" si="125">IF(OR(AND($C649=2,$B649=70,NOT($N649="Common Space")),AND($C649=2,$B649="HOME 70",NOT($N649="Common Space"))),$E649*$F649,"")</f>
        <v/>
      </c>
      <c r="EQ649" s="357" t="str">
        <f t="shared" ref="EQ649:EQ686" si="126">IF(OR(AND($C649=3,$B649=70,NOT($N649="Common Space")),AND($C649=3,$B649="HOME 70",NOT($N649="Common Space"))),$E649*$F649,"")</f>
        <v/>
      </c>
      <c r="ER649" s="357" t="str">
        <f t="shared" ref="ER649:ER686" si="127">IF(OR(AND($C649=4,$B649=70,NOT($N649="Common Space")),AND($C649=4,$B649="HOME 70",NOT($N649="Common Space"))),$E649*$F649,"")</f>
        <v/>
      </c>
      <c r="ES649" s="357" t="str">
        <f t="shared" ref="ES649:ES686" si="128">IF(OR(AND($C649="Efficiency",$B649=60,NOT($N649="Common Space")),AND($C649="Efficiency",$B649="HOME 60",NOT($N649="Common Space"))),$E649*$F649,"")</f>
        <v/>
      </c>
      <c r="ET649" s="357" t="str">
        <f t="shared" ref="ET649:ET686" si="129">IF(OR(AND($C649=1,$B649=60,NOT($N649="Common Space")),AND($C649=1,$B649="HOME 60",NOT($N649="Common Space"))),$E649*$F649,"")</f>
        <v/>
      </c>
      <c r="EU649" s="357" t="str">
        <f t="shared" ref="EU649:EU686" si="130">IF(OR(AND($C649=2,$B649=60,NOT($N649="Common Space")),AND($C649=2,$B649="HOME 60",NOT($N649="Common Space"))),$E649*$F649,"")</f>
        <v/>
      </c>
      <c r="EV649" s="357" t="str">
        <f t="shared" ref="EV649:EV686" si="131">IF(OR(AND($C649=3,$B649=60,NOT($N649="Common Space")),AND($C649=3,$B649="HOME 60",NOT($N649="Common Space"))),$E649*$F649,"")</f>
        <v/>
      </c>
      <c r="EW649" s="357" t="str">
        <f t="shared" ref="EW649:EW686" si="132">IF(OR(AND($C649=4,$B649=60,NOT($N649="Common Space")),AND($C649=4,$B649="HOME 60",NOT($N649="Common Space"))),$E649*$F649,"")</f>
        <v/>
      </c>
      <c r="EX649" s="357" t="str">
        <f t="shared" ref="EX649:EX686" si="133">IF(OR(AND($C649="Efficiency",$B649=50,NOT($N649="Common Space")),AND($C649="Efficiency",$B649="HOME 50",NOT($N649="Common Space"))),$E649*$F649,"")</f>
        <v/>
      </c>
      <c r="EY649" s="357" t="str">
        <f t="shared" ref="EY649:EY686" si="134">IF(OR(AND($C649=1,$B649=50,NOT($N649="Common Space")),AND($C649=1,$B649="HOME 50",NOT($N649="Common Space"))),$E649*$F649,"")</f>
        <v/>
      </c>
      <c r="EZ649" s="357" t="str">
        <f t="shared" ref="EZ649:EZ686" si="135">IF(OR(AND($C649=2,$B649=50,NOT($N649="Common Space")),AND($C649=2,$B649="HOME 50",NOT($N649="Common Space"))),$E649*$F649,"")</f>
        <v/>
      </c>
      <c r="FA649" s="357" t="str">
        <f t="shared" ref="FA649:FA686" si="136">IF(OR(AND($C649=3,$B649=50,NOT($N649="Common Space")),AND($C649=3,$B649="HOME 50",NOT($N649="Common Space"))),$E649*$F649,"")</f>
        <v/>
      </c>
      <c r="FB649" s="357" t="str">
        <f t="shared" ref="FB649:FB686" si="137">IF(OR(AND($C649=4,$B649=50,NOT($N649="Common Space")),AND($C649=4,$B649="HOME 50",NOT($N649="Common Space"))),$E649*$F649,"")</f>
        <v/>
      </c>
      <c r="FC649" s="357" t="str">
        <f t="shared" ref="FC649:FC686" si="138">IF(OR(AND($C649="Efficiency",$B649=40,NOT($N649="Common Space")),AND($C649="Efficiency",$B649="HOME 40",NOT($N649="Common Space"))),$E649*$F649,"")</f>
        <v/>
      </c>
      <c r="FD649" s="357" t="str">
        <f t="shared" ref="FD649:FD686" si="139">IF(OR(AND($C649=1,$B649=40,NOT($N649="Common Space")),AND($C649=1,$B649="HOME 40",NOT($N649="Common Space"))),$E649*$F649,"")</f>
        <v/>
      </c>
      <c r="FE649" s="357" t="str">
        <f t="shared" ref="FE649:FE686" si="140">IF(OR(AND($C649=2,$B649=40,NOT($N649="Common Space")),AND($C649=2,$B649="HOME 40",NOT($N649="Common Space"))),$E649*$F649,"")</f>
        <v/>
      </c>
      <c r="FF649" s="357" t="str">
        <f t="shared" ref="FF649:FF686" si="141">IF(OR(AND($C649=3,$B649=40,NOT($N649="Common Space")),AND($C649=3,$B649="HOME 40",NOT($N649="Common Space"))),$E649*$F649,"")</f>
        <v/>
      </c>
      <c r="FG649" s="357" t="str">
        <f t="shared" ref="FG649:FG686" si="142">IF(OR(AND($C649=4,$B649=40,NOT($N649="Common Space")),AND($C649=4,$B649="HOME 40",NOT($N649="Common Space"))),$E649*$F649,"")</f>
        <v/>
      </c>
      <c r="FH649" s="357" t="str">
        <f t="shared" ref="FH649:FH686" si="143">IF(OR(AND($C649="Efficiency",$B649=30,NOT($N649="Common Space")),AND($C649="Efficiency",$B649="HOME 30",NOT($N649="Common Space"))),$E649*$F649,"")</f>
        <v/>
      </c>
      <c r="FI649" s="357" t="str">
        <f t="shared" ref="FI649:FI686" si="144">IF(OR(AND($C649=1,$B649=30,NOT($N649="Common Space")),AND($C649=1,$B649="HOME 30",NOT($N649="Common Space"))),$E649*$F649,"")</f>
        <v/>
      </c>
      <c r="FJ649" s="357" t="str">
        <f t="shared" ref="FJ649:FJ686" si="145">IF(OR(AND($C649=2,$B649=30,NOT($N649="Common Space")),AND($C649=2,$B649="HOME 30",NOT($N649="Common Space"))),$E649*$F649,"")</f>
        <v/>
      </c>
      <c r="FK649" s="357" t="str">
        <f t="shared" ref="FK649:FK686" si="146">IF(OR(AND($C649=3,$B649=30,NOT($N649="Common Space")),AND($C649=3,$B649="HOME 30",NOT($N649="Common Space"))),$E649*$F649,"")</f>
        <v/>
      </c>
      <c r="FL649" s="357" t="str">
        <f t="shared" ref="FL649:FL686" si="147">IF(OR(AND($C649=4,$B649=30,NOT($N649="Common Space")),AND($C649=4,$B649="HOME 30",NOT($N649="Common Space"))),$E649*$F649,"")</f>
        <v/>
      </c>
      <c r="FM649" s="357" t="str">
        <f t="shared" ref="FM649:FM686" si="148">IF(OR(AND($C649="Efficiency",$B649=20,NOT($N649="Common Space")),AND($C649="Efficiency",$B649="HOME 20",NOT($N649="Common Space"))),$E649*$F649,"")</f>
        <v/>
      </c>
      <c r="FN649" s="357" t="str">
        <f t="shared" ref="FN649:FN686" si="149">IF(OR(AND($C649=1,$B649=20,NOT($N649="Common Space")),AND($C649=1,$B649="HOME 20",NOT($N649="Common Space"))),$E649*$F649,"")</f>
        <v/>
      </c>
      <c r="FO649" s="357" t="str">
        <f t="shared" ref="FO649:FO686" si="150">IF(OR(AND($C649=2,$B649=20,NOT($N649="Common Space")),AND($C649=2,$B649="HOME 20",NOT($N649="Common Space"))),$E649*$F649,"")</f>
        <v/>
      </c>
      <c r="FP649" s="357" t="str">
        <f t="shared" ref="FP649:FP686" si="151">IF(OR(AND($C649=3,$B649=20,NOT($N649="Common Space")),AND($C649=3,$B649="HOME 20",NOT($N649="Common Space"))),$E649*$F649,"")</f>
        <v/>
      </c>
      <c r="FQ649" s="357" t="str">
        <f t="shared" ref="FQ649:FQ686" si="152">IF(OR(AND($C649=4,$B649=20,NOT($N649="Common Space")),AND($C649=4,$B649="HOME 20",NOT($N649="Common Space"))),$E649*$F649,"")</f>
        <v/>
      </c>
      <c r="FR649" s="357" t="str">
        <f t="shared" ref="FR649:FR686" si="153">IF(AND(C649="Efficiency",B649="Unrestricted",NOT(N649="Common Space")),E649*F649,"")</f>
        <v/>
      </c>
      <c r="FS649" s="357" t="str">
        <f t="shared" ref="FS649:FS686" si="154">IF(AND(C649=1,B649="Unrestricted",NOT(N649="Common Space")),E649*F649,"")</f>
        <v/>
      </c>
      <c r="FT649" s="357" t="str">
        <f t="shared" ref="FT649:FT686" si="155">IF(AND(C649=2,B649="Unrestricted",NOT(N649="Common Space")),E649*F649,"")</f>
        <v/>
      </c>
      <c r="FU649" s="357" t="str">
        <f t="shared" ref="FU649:FU686" si="156">IF(AND(C649=3,B649="Unrestricted",NOT(N649="Common Space")),E649*F649,"")</f>
        <v/>
      </c>
      <c r="FV649" s="357" t="str">
        <f t="shared" ref="FV649:FV686" si="157">IF(AND(C649=4,B649="Unrestricted",NOT(N649="Common Space")),E649*F649,"")</f>
        <v/>
      </c>
      <c r="FW649" s="357" t="str">
        <f t="shared" ref="FW649:FW686" si="158">IF(AND(C649="Efficiency",NOT(K649=""),NOT($K649=0),NOT(N649="Common Space")),E649*F649,"")</f>
        <v/>
      </c>
      <c r="FX649" s="357" t="str">
        <f t="shared" ref="FX649:FX686" si="159">IF(AND(C649=1,NOT(K649=""),NOT($K649=0),NOT(N649="Common Space")),E649*F649,"")</f>
        <v/>
      </c>
      <c r="FY649" s="357" t="str">
        <f t="shared" ref="FY649:FY686" si="160">IF(AND(C649=2,NOT(K649=""),NOT($K649=0),NOT(N649="Common Space")),E649*F649,"")</f>
        <v/>
      </c>
      <c r="FZ649" s="357" t="str">
        <f t="shared" ref="FZ649:FZ686" si="161">IF(AND(C649=3,NOT(K649=""),NOT($K649=0),NOT(N649="Common Space")),E649*F649,"")</f>
        <v/>
      </c>
      <c r="GA649" s="357" t="str">
        <f t="shared" ref="GA649:GA686" si="162">IF(AND(C649=4,NOT(K649=""),NOT($K649=0),NOT(N649="Common Space")),E649*F649,"")</f>
        <v/>
      </c>
      <c r="GB649" s="357" t="str">
        <f t="shared" ref="GB649:GB686" si="163">IF(AND(C649="Efficiency",N649="Common Space"),E649*F649,"")</f>
        <v/>
      </c>
      <c r="GC649" s="357" t="str">
        <f t="shared" ref="GC649:GC686" si="164">IF(AND(C649=1,N649="Common Space"),E649*F649,"")</f>
        <v/>
      </c>
      <c r="GD649" s="357" t="str">
        <f t="shared" ref="GD649:GD686" si="165">IF(AND(C649=2,N649="Common Space"),E649*F649,"")</f>
        <v/>
      </c>
      <c r="GE649" s="357" t="str">
        <f t="shared" ref="GE649:GE686" si="166">IF(AND(C649=3,N649="Common Space"),E649*F649,"")</f>
        <v/>
      </c>
      <c r="GF649" s="357" t="str">
        <f t="shared" ref="GF649:GF686" si="167">IF(AND(C649=4,N649="Common Space"),E649*F649,"")</f>
        <v/>
      </c>
      <c r="GG649" s="357" t="str">
        <f t="shared" ref="GG649:GG686" si="168">IF(AND($C649="Efficiency", $P649="New Construction",NOT($B649="Unrestricted"),NOT($B649="NSP 120"),NOT($B649="N/A-CS"),NOT($N649="Common Space")),$E649,"")</f>
        <v/>
      </c>
      <c r="GH649" s="357" t="str">
        <f t="shared" ref="GH649:GH686" si="169">IF(AND($C649=1, $P649="New Construction",NOT($B649="Unrestricted"),NOT($B649="NSP 120"),NOT($B649="N/A-CS"),NOT($N649="Common Space")),$E649,"")</f>
        <v/>
      </c>
      <c r="GI649" s="357" t="str">
        <f t="shared" ref="GI649:GI686" si="170">IF(AND($C649=2, $P649="New Construction",NOT($B649="Unrestricted"),NOT($B649="NSP 120"),NOT($B649="N/A-CS"),NOT($N649="Common Space")),$E649,"")</f>
        <v/>
      </c>
      <c r="GJ649" s="357" t="str">
        <f t="shared" ref="GJ649:GJ686" si="171">IF(AND($C649=3, $P649="New Construction",NOT($B649="Unrestricted"),NOT($B649="NSP 120"),NOT($B649="N/A-CS"),NOT($N649="Common Space")),$E649,"")</f>
        <v/>
      </c>
      <c r="GK649" s="357" t="str">
        <f t="shared" ref="GK649:GK686" si="172">IF(AND($C649=4, $P649="New Construction",NOT($B649="Unrestricted"),NOT($B649="NSP 120"),NOT($B649="N/A-CS"),NOT($N649="Common Space")),$E649,"")</f>
        <v/>
      </c>
      <c r="GL649" s="357" t="str">
        <f t="shared" ref="GL649:GL686" si="173">IF(AND($C649="Efficiency", $P649="New Construction",$B649="Unrestricted",NOT($B649="N/A-CS"),NOT($N649="Common Space")),$E649,"")</f>
        <v/>
      </c>
      <c r="GM649" s="357" t="str">
        <f t="shared" ref="GM649:GM686" si="174">IF(AND($C649=1, $P649="New Construction",$B649="Unrestricted",NOT($B649="N/A-CS"),NOT($N649="Common Space")),$E649,"")</f>
        <v/>
      </c>
      <c r="GN649" s="357" t="str">
        <f t="shared" ref="GN649:GN686" si="175">IF(AND($C649=2, $P649="New Construction",$B649="Unrestricted",NOT($B649="N/A-CS"),NOT($N649="Common Space")),$E649,"")</f>
        <v/>
      </c>
      <c r="GO649" s="357" t="str">
        <f t="shared" ref="GO649:GO686" si="176">IF(AND($C649=3, $P649="New Construction",$B649="Unrestricted",NOT($B649="N/A-CS"),NOT($N649="Common Space")),$E649,"")</f>
        <v/>
      </c>
      <c r="GP649" s="357" t="str">
        <f t="shared" ref="GP649:GP686" si="177">IF(AND($C649=4, $P649="New Construction",$B649="Unrestricted",NOT($B649="N/A-CS"),NOT($N649="Common Space")),$E649,"")</f>
        <v/>
      </c>
      <c r="GQ649" s="357" t="str">
        <f t="shared" ref="GQ649:GQ686" si="178">IF(AND($C649="Efficiency", $P649="New Construction",$B649="N/A-CS",$N649="Common Space"),$E649,"")</f>
        <v/>
      </c>
      <c r="GR649" s="357" t="str">
        <f t="shared" ref="GR649:GR686" si="179">IF(AND($C649=1, $P649="New Construction",$B649="N/A-CS",$N649="Common Space"),$E649,"")</f>
        <v/>
      </c>
      <c r="GS649" s="357" t="str">
        <f t="shared" ref="GS649:GS686" si="180">IF(AND($C649=2, $P649="New Construction",$B649="N/A-CS",$N649="Common Space"),$E649,"")</f>
        <v/>
      </c>
      <c r="GT649" s="357" t="str">
        <f t="shared" ref="GT649:GT686" si="181">IF(AND($C649=3, $P649="New Construction",$B649="N/A-CS",$N649="Common Space"),$E649,"")</f>
        <v/>
      </c>
      <c r="GU649" s="357" t="str">
        <f t="shared" ref="GU649:GU686" si="182">IF(AND($C649=4, $P649="New Construction",$B649="N/A-CS",$N649="Common Space"),$E649,"")</f>
        <v/>
      </c>
      <c r="GV649" s="357" t="str">
        <f t="shared" ref="GV649:GV686" si="183">IF(AND($C649="Efficiency", $P649="Acquisition/Rehab",NOT($B649="Unrestricted"),NOT($B649="NSP 120"),NOT($B649="N/A-CS"),NOT($N649="Common Space")),$E649,"")</f>
        <v/>
      </c>
      <c r="GW649" s="357" t="str">
        <f t="shared" ref="GW649:GW686" si="184">IF(AND($C649=1, $P649="Acquisition/Rehab",NOT($B649="Unrestricted"),NOT($B649="NSP 120"),NOT($B649="N/A-CS"),NOT($N649="Common Space")),$E649,"")</f>
        <v/>
      </c>
      <c r="GX649" s="357" t="str">
        <f t="shared" ref="GX649:GX686" si="185">IF(AND($C649=2, $P649="Acquisition/Rehab",NOT($B649="Unrestricted"),NOT($B649="NSP 120"),NOT($B649="N/A-CS"),NOT($N649="Common Space")),$E649,"")</f>
        <v/>
      </c>
      <c r="GY649" s="357" t="str">
        <f t="shared" ref="GY649:GY686" si="186">IF(AND($C649=3, $P649="Acquisition/Rehab",NOT($B649="Unrestricted"),NOT($B649="NSP 120"),NOT($B649="N/A-CS"),NOT($N649="Common Space")),$E649,"")</f>
        <v/>
      </c>
      <c r="GZ649" s="357" t="str">
        <f t="shared" ref="GZ649:GZ686" si="187">IF(AND($C649=4, $P649="Acquisition/Rehab",NOT($B649="Unrestricted"),NOT($B649="NSP 120"),NOT($B649="N/A-CS"),NOT($N649="Common Space")),$E649,"")</f>
        <v/>
      </c>
      <c r="HA649" s="357" t="str">
        <f t="shared" ref="HA649:HA686" si="188">IF(AND($C649="Efficiency", $P649="Acquisition/Rehab",$B649="Unrestricted",NOT($B649="N/A-CS"),NOT($N649="Common Space")),$E649,"")</f>
        <v/>
      </c>
      <c r="HB649" s="357" t="str">
        <f t="shared" ref="HB649:HB686" si="189">IF(AND($C649=1, $P649="Acquisition/Rehab",$B649="Unrestricted",NOT($B649="N/A-CS"),NOT($N649="Common Space")),$E649,"")</f>
        <v/>
      </c>
      <c r="HC649" s="357" t="str">
        <f t="shared" ref="HC649:HC686" si="190">IF(AND($C649=2, $P649="Acquisition/Rehab",$B649="Unrestricted",NOT($B649="N/A-CS"),NOT($N649="Common Space")),$E649,"")</f>
        <v/>
      </c>
      <c r="HD649" s="357" t="str">
        <f t="shared" ref="HD649:HD686" si="191">IF(AND($C649=3, $P649="Acquisition/Rehab",$B649="Unrestricted",NOT($B649="N/A-CS"),NOT($N649="Common Space")),$E649,"")</f>
        <v/>
      </c>
      <c r="HE649" s="357" t="str">
        <f t="shared" ref="HE649:HE686" si="192">IF(AND($C649=4, $P649="Acquisition/Rehab",$B649="Unrestricted",NOT($B649="N/A-CS"),NOT($N649="Common Space")),$E649,"")</f>
        <v/>
      </c>
      <c r="HF649" s="357" t="str">
        <f t="shared" ref="HF649:HF686" si="193">IF(AND($C649="Efficiency", $P649="Acquisition/Rehab",$B649="N/A-CS",$N649="Common Space"),$E649,"")</f>
        <v/>
      </c>
      <c r="HG649" s="357" t="str">
        <f t="shared" ref="HG649:HG686" si="194">IF(AND($C649=1, $P649="Acquisition/Rehab",$B649="N/A-CS",$N649="Common Space"),$E649,"")</f>
        <v/>
      </c>
      <c r="HH649" s="357" t="str">
        <f t="shared" ref="HH649:HH686" si="195">IF(AND($C649=2, $P649="Acquisition/Rehab",$B649="N/A-CS",$N649="Common Space"),$E649,"")</f>
        <v/>
      </c>
      <c r="HI649" s="357" t="str">
        <f t="shared" ref="HI649:HI686" si="196">IF(AND($C649=3, $P649="Acquisition/Rehab",$B649="N/A-CS",$N649="Common Space"),$E649,"")</f>
        <v/>
      </c>
      <c r="HJ649" s="357" t="str">
        <f t="shared" ref="HJ649:HJ686" si="197">IF(AND($C649=4, $P649="Acquisition/Rehab",$B649="N/A-CS",$N649="Common Space"),$E649,"")</f>
        <v/>
      </c>
      <c r="HK649" s="357" t="str">
        <f t="shared" ref="HK649:HK686" si="198">IF(AND($C649="Efficiency", $P649="Rehabilitation",NOT($B649="Unrestricted"),NOT($B649="NSP 120"),NOT($B649="N/A-CS"),NOT($N649="Common Space")),$E649,"")</f>
        <v/>
      </c>
      <c r="HL649" s="357" t="str">
        <f t="shared" ref="HL649:HL686" si="199">IF(AND($C649=1, $P649="Rehabilitation",NOT($B649="Unrestricted"),NOT($B649="NSP 120"),NOT($B649="N/A-CS"),NOT($N649="Common Space")),$E649,"")</f>
        <v/>
      </c>
      <c r="HM649" s="357" t="str">
        <f t="shared" ref="HM649:HM686" si="200">IF(AND($C649=2, $P649="Rehabilitation",NOT($B649="Unrestricted"),NOT($B649="NSP 120"),NOT($B649="N/A-CS"),NOT($N649="Common Space")),$E649,"")</f>
        <v/>
      </c>
      <c r="HN649" s="357" t="str">
        <f t="shared" ref="HN649:HN686" si="201">IF(AND($C649=3, $P649="Rehabilitation",NOT($B649="Unrestricted"),NOT($B649="NSP 120"),NOT($B649="N/A-CS"),NOT($N649="Common Space")),$E649,"")</f>
        <v/>
      </c>
      <c r="HO649" s="357" t="str">
        <f t="shared" ref="HO649:HO686" si="202">IF(AND($C649=4, $P649="Rehabilitation",NOT($B649="Unrestricted"),NOT($B649="NSP 120"),NOT($B649="N/A-CS"),NOT($N649="Common Space")),$E649,"")</f>
        <v/>
      </c>
      <c r="HP649" s="357" t="str">
        <f t="shared" ref="HP649:HP686" si="203">IF(AND($C649="Efficiency", $P649="Rehabilitation",$B649="Unrestricted",NOT($B649="N/A-CS"),NOT($N649="Common Space")),$E649,"")</f>
        <v/>
      </c>
      <c r="HQ649" s="357" t="str">
        <f t="shared" ref="HQ649:HQ686" si="204">IF(AND($C649=1, $P649="Rehabilitation",$B649="Unrestricted",NOT($B649="N/A-CS"),NOT($N649="Common Space")),$E649,"")</f>
        <v/>
      </c>
      <c r="HR649" s="357" t="str">
        <f t="shared" ref="HR649:HR686" si="205">IF(AND($C649=2, $P649="Rehabilitation",$B649="Unrestricted",NOT($B649="N/A-CS"),NOT($N649="Common Space")),$E649,"")</f>
        <v/>
      </c>
      <c r="HS649" s="357" t="str">
        <f t="shared" ref="HS649:HS686" si="206">IF(AND($C649=3, $P649="Rehabilitation",$B649="Unrestricted",NOT($B649="N/A-CS"),NOT($N649="Common Space")),$E649,"")</f>
        <v/>
      </c>
      <c r="HT649" s="357" t="str">
        <f t="shared" ref="HT649:HT686" si="207">IF(AND($C649=4, $P649="Rehabilitation",$B649="Unrestricted",NOT($B649="N/A-CS"),NOT($N649="Common Space")),$E649,"")</f>
        <v/>
      </c>
      <c r="HU649" s="357" t="str">
        <f t="shared" ref="HU649:HU686" si="208">IF(AND($C649="Efficiency", $P649="Rehabilitation",$B649="N/A-CS",$N649="Common Space"),$E649,"")</f>
        <v/>
      </c>
      <c r="HV649" s="357" t="str">
        <f t="shared" ref="HV649:HV686" si="209">IF(AND($C649=1, $P649="Rehabilitation",$B649="N/A-CS",$N649="Common Space"),$E649,"")</f>
        <v/>
      </c>
      <c r="HW649" s="357" t="str">
        <f t="shared" ref="HW649:HW686" si="210">IF(AND($C649=2, $P649="Rehabilitation",$B649="N/A-CS",$N649="Common Space"),$E649,"")</f>
        <v/>
      </c>
      <c r="HX649" s="357" t="str">
        <f t="shared" ref="HX649:HX686" si="211">IF(AND($C649=3, $P649="Rehabilitation",$B649="N/A-CS",$N649="Common Space"),$E649,"")</f>
        <v/>
      </c>
      <c r="HY649" s="357" t="str">
        <f t="shared" ref="HY649:HY686" si="212">IF(AND($C649=4, $P649="Rehabilitation",$B649="N/A-CS",$N649="Common Space"),$E649,"")</f>
        <v/>
      </c>
      <c r="HZ649" s="1903" t="str">
        <f t="shared" ref="HZ649:HZ686" si="213">IF(AND($C649="Efficiency", NOT(OR($O649="SF Detached",$O649="Mfd Home",$O649="Semi-Detached",$O649="Row House/TH"))),$E649,"")</f>
        <v/>
      </c>
      <c r="IA649" s="1903" t="str">
        <f t="shared" ref="IA649:IA686" si="214">IF(AND($C649=1, NOT(OR($O649="SF Detached",$O649="Mfd Home",$O649="Semi-Detached",$O649="Row House/TH"))),$E649,"")</f>
        <v/>
      </c>
      <c r="IB649" s="1903" t="str">
        <f t="shared" ref="IB649:IB686" si="215">IF(AND($C649=2, NOT(OR($O649="SF Detached",$O649="Mfd Home",$O649="Semi-Detached",$O649="Row House/TH"))),$E649,"")</f>
        <v/>
      </c>
      <c r="IC649" s="1903" t="str">
        <f t="shared" ref="IC649:IC686" si="216">IF(AND($C649=3, NOT(OR($O649="SF Detached",$O649="Mfd Home",$O649="Semi-Detached",$O649="Row House/TH"))),$E649,"")</f>
        <v/>
      </c>
      <c r="ID649" s="1903" t="str">
        <f t="shared" ref="ID649:ID686" si="217">IF(AND($C649=4, NOT(OR($O649="SF Detached",$O649="Mfd Home",$O649="Semi-Detached",$O649="Row House/TH"))),$E649,"")</f>
        <v/>
      </c>
      <c r="IE649" s="1903" t="str">
        <f t="shared" ref="IE649:IE686" si="218">IF(AND($C649="Efficiency", $O649="SF Detached",NOT($Q649="Yes")),$E649,"")</f>
        <v/>
      </c>
      <c r="IF649" s="1903" t="str">
        <f t="shared" ref="IF649:IF686" si="219">IF(AND($C649=1, $O649="SF Detached",NOT($Q649="Yes")),$E649,"")</f>
        <v/>
      </c>
      <c r="IG649" s="1903" t="str">
        <f t="shared" ref="IG649:IG686" si="220">IF(AND($C649=2, $O649="SF Detached",NOT($Q649="Yes")),$E649,"")</f>
        <v/>
      </c>
      <c r="IH649" s="1903" t="str">
        <f t="shared" ref="IH649:IH686" si="221">IF(AND($C649=3, $O649="SF Detached",NOT($Q649="Yes")),$E649,"")</f>
        <v/>
      </c>
      <c r="II649" s="1903" t="str">
        <f t="shared" ref="II649:II686" si="222">IF(AND($C649=4, $O649="SF Detached",NOT($Q649="Yes")),$E649,"")</f>
        <v/>
      </c>
      <c r="IJ649" s="1903" t="str">
        <f t="shared" ref="IJ649:IJ686" si="223">IF(AND($C649="Efficiency", $O649="SF Detached",$Q649="Yes"),$E649,"")</f>
        <v/>
      </c>
      <c r="IK649" s="1903" t="str">
        <f t="shared" ref="IK649:IK686" si="224">IF(AND($C649=1, $O649="SF Detached",$Q649="Yes"),$E649,"")</f>
        <v/>
      </c>
      <c r="IL649" s="1903" t="str">
        <f t="shared" ref="IL649:IL686" si="225">IF(AND($C649=2, $O649="SF Detached",$Q649="Yes"),$E649,"")</f>
        <v/>
      </c>
      <c r="IM649" s="1903" t="str">
        <f t="shared" ref="IM649:IM686" si="226">IF(AND($C649=3, $O649="SF Detached",$Q649="Yes"),$E649,"")</f>
        <v/>
      </c>
      <c r="IN649" s="1903" t="str">
        <f t="shared" ref="IN649:IN686" si="227">IF(AND($C649=4, $O649="SF Detached",$Q649="Yes"),$E649,"")</f>
        <v/>
      </c>
      <c r="IO649" s="1903" t="str">
        <f t="shared" ref="IO649:IO686" si="228">IF(AND($C649="Efficiency", $O649="Mfd Home",NOT($Q649="Yes")),$E649,"")</f>
        <v/>
      </c>
      <c r="IP649" s="1903" t="str">
        <f t="shared" ref="IP649:IP686" si="229">IF(AND($C649=1, $O649="Mfd Home",NOT($Q649="Yes")),$E649,"")</f>
        <v/>
      </c>
      <c r="IQ649" s="1903" t="str">
        <f t="shared" ref="IQ649:IQ686" si="230">IF(AND($C649=2, $O649="Mfd Home",NOT($Q649="Yes")),$E649,"")</f>
        <v/>
      </c>
      <c r="IR649" s="1903" t="str">
        <f t="shared" ref="IR649:IR686" si="231">IF(AND($C649=3, $O649="Mfd Home",NOT($Q649="Yes")),$E649,"")</f>
        <v/>
      </c>
      <c r="IS649" s="1903" t="str">
        <f t="shared" ref="IS649:IS686" si="232">IF(AND($C649=4, $O649="Mfd Home",NOT($Q649="Yes")),$E649,"")</f>
        <v/>
      </c>
      <c r="IT649" s="1903" t="str">
        <f t="shared" ref="IT649:IT686" si="233">IF(AND($C649="Efficiency", $O649="Mfd Home",$Q649="Yes"),$E649,"")</f>
        <v/>
      </c>
      <c r="IU649" s="1903" t="str">
        <f t="shared" ref="IU649:IU686" si="234">IF(AND($C649=1, $O649="Mfd Home",$Q649="Yes"),$E649,"")</f>
        <v/>
      </c>
      <c r="IV649" s="1903" t="str">
        <f t="shared" ref="IV649:IV686" si="235">IF(AND($C649=2, $O649="Mfd Home",$Q649="Yes"),$E649,"")</f>
        <v/>
      </c>
      <c r="IW649" s="1903" t="str">
        <f t="shared" ref="IW649:IW686" si="236">IF(AND($C649=3, $O649="Mfd Home",$Q649="Yes"),$E649,"")</f>
        <v/>
      </c>
      <c r="IX649" s="1903" t="str">
        <f t="shared" ref="IX649:IX686" si="237">IF(AND($C649=4, $O649="Mfd Home",$Q649="Yes"),$E649,"")</f>
        <v/>
      </c>
      <c r="IY649" s="1903" t="str">
        <f t="shared" ref="IY649:IY686" si="238">IF(AND($C649="Efficiency", $O649="Semi-Detached",NOT($Q649="Yes")),$E649,"")</f>
        <v/>
      </c>
      <c r="IZ649" s="1903" t="str">
        <f t="shared" ref="IZ649:IZ686" si="239">IF(AND($C649=1, $O649="Semi-Detached",NOT($Q649="Yes")),$E649,"")</f>
        <v/>
      </c>
      <c r="JA649" s="1903" t="str">
        <f t="shared" ref="JA649:JA686" si="240">IF(AND($C649=2, $O649="Semi-Detached",NOT($Q649="Yes")),$E649,"")</f>
        <v/>
      </c>
      <c r="JB649" s="1903" t="str">
        <f t="shared" ref="JB649:JB686" si="241">IF(AND($C649=3, $O649="Semi-Detached",NOT($Q649="Yes")),$E649,"")</f>
        <v/>
      </c>
      <c r="JC649" s="1903" t="str">
        <f t="shared" ref="JC649:JC686" si="242">IF(AND($C649=4, $O649="Semi-Detached",NOT($Q649="Yes")),$E649,"")</f>
        <v/>
      </c>
      <c r="JD649" s="1903" t="str">
        <f t="shared" ref="JD649:JD686" si="243">IF(AND($C649="Efficiency", $O649="Semi-Detached",$Q649="Yes"),$E649,"")</f>
        <v/>
      </c>
      <c r="JE649" s="1903" t="str">
        <f t="shared" ref="JE649:JE686" si="244">IF(AND($C649=1, $O649="Semi-Detached",$Q649="Yes"),$E649,"")</f>
        <v/>
      </c>
      <c r="JF649" s="1903" t="str">
        <f t="shared" ref="JF649:JF686" si="245">IF(AND($C649=2, $O649="Semi-Detached",$Q649="Yes"),$E649,"")</f>
        <v/>
      </c>
      <c r="JG649" s="1903" t="str">
        <f t="shared" ref="JG649:JG686" si="246">IF(AND($C649=3, $O649="Semi-Detached",$Q649="Yes"),$E649,"")</f>
        <v/>
      </c>
      <c r="JH649" s="1903" t="str">
        <f t="shared" ref="JH649:JH686" si="247">IF(AND($C649=4, $O649="Semi-Detached",$Q649="Yes"),$E649,"")</f>
        <v/>
      </c>
      <c r="JI649" s="1903" t="str">
        <f t="shared" ref="JI649:JI686" si="248">IF(AND($C649="Efficiency", $O649="Row House/TH",NOT($Q649="Yes")),$E649,"")</f>
        <v/>
      </c>
      <c r="JJ649" s="1903" t="str">
        <f t="shared" ref="JJ649:JJ686" si="249">IF(AND($C649=1, $O649="Row House/TH",NOT($Q649="Yes")),$E649,"")</f>
        <v/>
      </c>
      <c r="JK649" s="1903" t="str">
        <f t="shared" ref="JK649:JK686" si="250">IF(AND($C649=2, $O649="Row House/TH",NOT($Q649="Yes")),$E649,"")</f>
        <v/>
      </c>
      <c r="JL649" s="1903" t="str">
        <f t="shared" ref="JL649:JL686" si="251">IF(AND($C649=3, $O649="Row House/TH",NOT($Q649="Yes")),$E649,"")</f>
        <v/>
      </c>
      <c r="JM649" s="1903" t="str">
        <f t="shared" ref="JM649:JM686" si="252">IF(AND($C649=4, $O649="Row House/TH",NOT($Q649="Yes")),$E649,"")</f>
        <v/>
      </c>
      <c r="JN649" s="1903" t="str">
        <f t="shared" ref="JN649:JN686" si="253">IF(AND($C649="Efficiency", $O649="Row House/TH",$Q649="Yes"),$E649,"")</f>
        <v/>
      </c>
      <c r="JO649" s="1903" t="str">
        <f t="shared" ref="JO649:JO686" si="254">IF(AND($C649=1, $O649="Row House/TH",$Q649="Yes"),$E649,"")</f>
        <v/>
      </c>
      <c r="JP649" s="1903" t="str">
        <f t="shared" ref="JP649:JP686" si="255">IF(AND($C649=2, $O649="Row House/TH",$Q649="Yes"),$E649,"")</f>
        <v/>
      </c>
      <c r="JQ649" s="1903" t="str">
        <f t="shared" ref="JQ649:JQ686" si="256">IF(AND($C649=3, $O649="Row House/TH",$Q649="Yes"),$E649,"")</f>
        <v/>
      </c>
      <c r="JR649" s="1903" t="str">
        <f t="shared" ref="JR649:JR686" si="257">IF(AND($C649=4, $O649="Row House/TH",$Q649="Yes"),$E649,"")</f>
        <v/>
      </c>
      <c r="JS649" s="1903" t="str">
        <f t="shared" ref="JS649:JS686" si="258">IF(AND($C649="Efficiency", $O649="Low-Rise Apt",NOT($Q649="Yes")),$E649,"")</f>
        <v/>
      </c>
      <c r="JT649" s="1903" t="str">
        <f t="shared" ref="JT649:JT686" si="259">IF(AND($C649=1, $O649="Low-Rise Apt",NOT($Q649="Yes")),$E649,"")</f>
        <v/>
      </c>
      <c r="JU649" s="1903" t="str">
        <f t="shared" ref="JU649:JU686" si="260">IF(AND($C649=2, $O649="Low-Rise Apt",NOT($Q649="Yes")),$E649,"")</f>
        <v/>
      </c>
      <c r="JV649" s="1903" t="str">
        <f t="shared" ref="JV649:JV686" si="261">IF(AND($C649=3, $O649="Low-Rise Apt",NOT($Q649="Yes")),$E649,"")</f>
        <v/>
      </c>
      <c r="JW649" s="1903" t="str">
        <f t="shared" ref="JW649:JW686" si="262">IF(AND($C649=4, $O649="Low-Rise Apt",NOT($Q649="Yes")),$E649,"")</f>
        <v/>
      </c>
      <c r="JX649" s="1903" t="str">
        <f t="shared" ref="JX649:JX686" si="263">IF(AND($C649="Efficiency", $O649="Low-Rise Elevator",NOT($Q649="Yes")),$E649,"")</f>
        <v/>
      </c>
      <c r="JY649" s="1903" t="str">
        <f t="shared" ref="JY649:JY686" si="264">IF(AND($C649=1, $O649="Low-Rise Elevator",NOT($Q649="Yes")),$E649,"")</f>
        <v/>
      </c>
      <c r="JZ649" s="1903" t="str">
        <f t="shared" ref="JZ649:JZ686" si="265">IF(AND($C649=2, $O649="Low-Rise Elevator",NOT($Q649="Yes")),$E649,"")</f>
        <v/>
      </c>
      <c r="KA649" s="1903" t="str">
        <f t="shared" ref="KA649:KA686" si="266">IF(AND($C649=3, $O649="Low-Rise Elevator",NOT($Q649="Yes")),$E649,"")</f>
        <v/>
      </c>
      <c r="KB649" s="1903" t="str">
        <f t="shared" ref="KB649:KB686" si="267">IF(AND($C649=4, $O649="Low-Rise Elevator",NOT($Q649="Yes")),$E649,"")</f>
        <v/>
      </c>
      <c r="KC649" s="1903" t="str">
        <f t="shared" ref="KC649:KC686" si="268">IF(AND($C649="Efficiency", $O649="Low-Rise Apt",$Q649="Yes"),$E649,"")</f>
        <v/>
      </c>
      <c r="KD649" s="1903" t="str">
        <f t="shared" ref="KD649:KD686" si="269">IF(AND($C649=1, $O649="Low-Rise Apt",$Q649="Yes"),$E649,"")</f>
        <v/>
      </c>
      <c r="KE649" s="1903" t="str">
        <f t="shared" ref="KE649:KE686" si="270">IF(AND($C649=2, $O649="Low-Rise Apt",$Q649="Yes"),$E649,"")</f>
        <v/>
      </c>
      <c r="KF649" s="1903" t="str">
        <f t="shared" ref="KF649:KF686" si="271">IF(AND($C649=3, $O649="Low-Rise Apt",$Q649="Yes"),$E649,"")</f>
        <v/>
      </c>
      <c r="KG649" s="1903" t="str">
        <f t="shared" ref="KG649:KG686" si="272">IF(AND($C649=4, $O649="Low-Rise Apt",$Q649="Yes"),$E649,"")</f>
        <v/>
      </c>
      <c r="KH649" s="1903" t="str">
        <f t="shared" ref="KH649:KH686" si="273">IF(AND($C649="Efficiency", $O649="Low-Rise Elevator",$Q649="Yes"),$E649,"")</f>
        <v/>
      </c>
      <c r="KI649" s="1903" t="str">
        <f t="shared" ref="KI649:KI686" si="274">IF(AND($C649=1, $O649="Low-Rise Elevator",$Q649="Yes"),$E649,"")</f>
        <v/>
      </c>
      <c r="KJ649" s="1903" t="str">
        <f t="shared" ref="KJ649:KJ686" si="275">IF(AND($C649=2, $O649="Low-Rise Elevator",$Q649="Yes"),$E649,"")</f>
        <v/>
      </c>
      <c r="KK649" s="1903" t="str">
        <f t="shared" ref="KK649:KK686" si="276">IF(AND($C649=3, $O649="Low-Rise Elevator",$Q649="Yes"),$E649,"")</f>
        <v/>
      </c>
      <c r="KL649" s="1903" t="str">
        <f t="shared" ref="KL649:KL686" si="277">IF(AND($C649=4, $O649="Low-Rise Elevator",$Q649="Yes"),$E649,"")</f>
        <v/>
      </c>
      <c r="KM649" s="1903" t="str">
        <f t="shared" ref="KM649:KM686" si="278">IF(AND($C649="Efficiency", $O649="High-Rise Apt",NOT($Q649="Yes")),$E649,"")</f>
        <v/>
      </c>
      <c r="KN649" s="1903" t="str">
        <f t="shared" ref="KN649:KN686" si="279">IF(AND($C649=1, $O649="High-Rise Apt",NOT($Q649="Yes")),$E649,"")</f>
        <v/>
      </c>
      <c r="KO649" s="1903" t="str">
        <f t="shared" ref="KO649:KO686" si="280">IF(AND($C649=2, $O649="High-Rise Apt",NOT($Q649="Yes")),$E649,"")</f>
        <v/>
      </c>
      <c r="KP649" s="1903" t="str">
        <f t="shared" ref="KP649:KP686" si="281">IF(AND($C649=3, $O649="High-Rise Apt",NOT($Q649="Yes")),$E649,"")</f>
        <v/>
      </c>
      <c r="KQ649" s="1903" t="str">
        <f t="shared" ref="KQ649:KQ686" si="282">IF(AND($C649=4, $O649="High-Rise Apt",NOT($Q649="Yes")),$E649,"")</f>
        <v/>
      </c>
      <c r="KR649" s="1903" t="str">
        <f t="shared" ref="KR649:KR686" si="283">IF(AND($C649="Efficiency", $O649="High-Rise Elevator",NOT($Q649="Yes")),$E649,"")</f>
        <v/>
      </c>
      <c r="KS649" s="1903" t="str">
        <f t="shared" ref="KS649:KS686" si="284">IF(AND($C649=1, $O649="High-Rise Elevator",NOT($Q649="Yes")),$E649,"")</f>
        <v/>
      </c>
      <c r="KT649" s="1903" t="str">
        <f t="shared" ref="KT649:KT686" si="285">IF(AND($C649=2, $O649="High-Rise Elevator",NOT($Q649="Yes")),$E649,"")</f>
        <v/>
      </c>
      <c r="KU649" s="1903" t="str">
        <f t="shared" ref="KU649:KU686" si="286">IF(AND($C649=3, $O649="High-Rise Elevator",NOT($Q649="Yes")),$E649,"")</f>
        <v/>
      </c>
      <c r="KV649" s="1903" t="str">
        <f t="shared" ref="KV649:KV686" si="287">IF(AND($C649=4, $O649="High-Rise Elevator",NOT($Q649="Yes")),$E649,"")</f>
        <v/>
      </c>
      <c r="KW649" s="1903" t="str">
        <f t="shared" ref="KW649:KW686" si="288">IF(AND($C649="Efficiency", $O649="High-Rise Apt",$Q649="Yes"),$E649,"")</f>
        <v/>
      </c>
      <c r="KX649" s="1903" t="str">
        <f t="shared" ref="KX649:KX686" si="289">IF(AND($C649=1, $O649="High-Rise Apt",$Q649="Yes"),$E649,"")</f>
        <v/>
      </c>
      <c r="KY649" s="1903" t="str">
        <f t="shared" ref="KY649:KY686" si="290">IF(AND($C649=2, $O649="High-Rise Apt",$Q649="Yes"),$E649,"")</f>
        <v/>
      </c>
      <c r="KZ649" s="1903" t="str">
        <f t="shared" ref="KZ649:KZ686" si="291">IF(AND($C649=3, $O649="High-Rise Apt",$Q649="Yes"),$E649,"")</f>
        <v/>
      </c>
      <c r="LA649" s="1903" t="str">
        <f t="shared" ref="LA649:LA686" si="292">IF(AND($C649=4, $O649="High-Rise Apt",$Q649="Yes"),$E649,"")</f>
        <v/>
      </c>
      <c r="LB649" s="1903" t="str">
        <f t="shared" ref="LB649:LB686" si="293">IF(AND($C649="Efficiency", $O649="High-Rise Elevator",$Q649="Yes"),$E649,"")</f>
        <v/>
      </c>
      <c r="LC649" s="1903" t="str">
        <f t="shared" ref="LC649:LC686" si="294">IF(AND($C649=1, $O649="High-Rise Elevator",$Q649="Yes"),$E649,"")</f>
        <v/>
      </c>
      <c r="LD649" s="1903" t="str">
        <f t="shared" ref="LD649:LD686" si="295">IF(AND($C649=2, $O649="High-Rise Elevator",$Q649="Yes"),$E649,"")</f>
        <v/>
      </c>
      <c r="LE649" s="1903" t="str">
        <f t="shared" ref="LE649:LE686" si="296">IF(AND($C649=3, $O649="High-Rise Elevator",$Q649="Yes"),$E649,"")</f>
        <v/>
      </c>
      <c r="LF649" s="1903" t="str">
        <f t="shared" ref="LF649:LF686" si="297">IF(AND($C649=4, $O649="High-Rise Elevator",$Q649="Yes"),$E649,"")</f>
        <v/>
      </c>
      <c r="LG649" s="1750" t="str">
        <f t="shared" ref="LG649:LG686" si="298">IF(AND($B649="NSP 120% AMI",$C649="Efficiency", NOT($N649="Common Space")),$E649,"")</f>
        <v/>
      </c>
      <c r="LH649" s="1750" t="str">
        <f t="shared" ref="LH649:LH686" si="299">IF(AND($B649="NSP 120% AMI",$C649=1,NOT($N649="Common Space")),$E649,"")</f>
        <v/>
      </c>
      <c r="LI649" s="1750" t="str">
        <f t="shared" ref="LI649:LI686" si="300">IF(AND($B649="NSP 120% AMI",$C649=2,NOT($N649="Common Space")),$E649,"")</f>
        <v/>
      </c>
      <c r="LJ649" s="1750" t="str">
        <f t="shared" ref="LJ649:LJ686" si="301">IF(AND($B649="NSP 120% AMI",$C649=3,NOT($N649="Common Space")),$E649,"")</f>
        <v/>
      </c>
      <c r="LK649" s="1750" t="str">
        <f t="shared" ref="LK649:LK686" si="302">IF(AND($B649="NSP 120% AMI",$C649=4,NOT($N649="Common Space")),$E649,"")</f>
        <v/>
      </c>
      <c r="LL649" s="357" t="str">
        <f t="shared" ref="LL649:LL686" si="303">IF(AND(C649="Efficiency",B649="NSP 120% AMI",NOT(N649="Common Space")),E649*F649,"")</f>
        <v/>
      </c>
      <c r="LM649" s="357" t="str">
        <f t="shared" ref="LM649:LM686" si="304">IF(AND(C649=1,B649="NSP 120% AMI",NOT(N649="Common Space")),E649*F649,"")</f>
        <v/>
      </c>
      <c r="LN649" s="357" t="str">
        <f t="shared" ref="LN649:LN686" si="305">IF(AND(C649=2,B649="NSP 120% AMI",NOT(N649="Common Space")),E649*F649,"")</f>
        <v/>
      </c>
      <c r="LO649" s="357" t="str">
        <f t="shared" ref="LO649:LO686" si="306">IF(AND(C649=3,B649="NSP 120% AMI",NOT(N649="Common Space")),E649*F649,"")</f>
        <v/>
      </c>
      <c r="LP649" s="357" t="str">
        <f t="shared" ref="LP649:LP686" si="307">IF(AND(C649=4,B649="NSP 120% AMI",NOT(N649="Common Space")),E649*F649,"")</f>
        <v/>
      </c>
      <c r="LQ649" s="357" t="str">
        <f t="shared" ref="LQ649:LQ686" si="308">IF(AND($C649="Efficiency", $P649="New Construction",$B649="NSP 120% AMI",NOT($N649="Common Space")),$E649,"")</f>
        <v/>
      </c>
      <c r="LR649" s="357" t="str">
        <f t="shared" ref="LR649:LR686" si="309">IF(AND($C649=1, $P649="New Construction",$B649="NSP 120% AMI",NOT($N649="Common Space")),$E649,"")</f>
        <v/>
      </c>
      <c r="LS649" s="357" t="str">
        <f t="shared" ref="LS649:LS686" si="310">IF(AND($C649=2, $P649="New Construction",$B649="NSP 120% AMI",NOT($N649="Common Space")),$E649,"")</f>
        <v/>
      </c>
      <c r="LT649" s="357" t="str">
        <f t="shared" ref="LT649:LT686" si="311">IF(AND($C649=3, $P649="New Construction",$B649="NSP 120% AMI",NOT($N649="Common Space")),$E649,"")</f>
        <v/>
      </c>
      <c r="LU649" s="357" t="str">
        <f t="shared" ref="LU649:LU686" si="312">IF(AND($C649=4, $P649="New Construction",$B649="NSP 120% AMI",NOT($N649="Common Space")),$E649,"")</f>
        <v/>
      </c>
      <c r="LV649" s="357" t="str">
        <f t="shared" ref="LV649:LV686" si="313">IF(AND($C649="Efficiency", $P649="Acquisition/Rehab",$B649="NSP 120% AMI",NOT($N649="Common Space")),$E649,"")</f>
        <v/>
      </c>
      <c r="LW649" s="357" t="str">
        <f t="shared" ref="LW649:LW686" si="314">IF(AND($C649=1, $P649="Acquisition/Rehab",$B649="NSP 120% AMI",NOT($N649="Common Space")),$E649,"")</f>
        <v/>
      </c>
      <c r="LX649" s="357" t="str">
        <f t="shared" ref="LX649:LX686" si="315">IF(AND($C649=2, $P649="Acquisition/Rehab",$B649="NSP 120% AMI",NOT($N649="Common Space")),$E649,"")</f>
        <v/>
      </c>
      <c r="LY649" s="357" t="str">
        <f t="shared" ref="LY649:LY686" si="316">IF(AND($C649=3, $P649="Acquisition/Rehab",$B649="NSP 120% AMI",NOT($N649="Common Space")),$E649,"")</f>
        <v/>
      </c>
      <c r="LZ649" s="357" t="str">
        <f t="shared" ref="LZ649:LZ686" si="317">IF(AND($C649=4, $P649="Acquisition/Rehab",$B649="NSP 120% AMI",NOT($N649="Common Space")),$E649,"")</f>
        <v/>
      </c>
      <c r="MA649" s="357" t="str">
        <f t="shared" ref="MA649:MA686" si="318">IF(AND($C649="Efficiency", $P649="Rehabilitation",$B649="NSP 120% AMI",NOT($N649="Common Space")),$E649,"")</f>
        <v/>
      </c>
      <c r="MB649" s="357" t="str">
        <f t="shared" ref="MB649:MB686" si="319">IF(AND($C649=1, $P649="Rehabilitation",$B649="NSP 120% AMI",NOT($N649="Common Space")),$E649,"")</f>
        <v/>
      </c>
      <c r="MC649" s="357" t="str">
        <f t="shared" ref="MC649:MC686" si="320">IF(AND($C649=2, $P649="Rehabilitation",$B649="NSP 120% AMI",NOT($N649="Common Space")),$E649,"")</f>
        <v/>
      </c>
      <c r="MD649" s="357" t="str">
        <f t="shared" ref="MD649:MD686" si="321">IF(AND($C649=3, $P649="Rehabilitation",$B649="NSP 120% AMI",NOT($N649="Common Space")),$E649,"")</f>
        <v/>
      </c>
      <c r="ME649" s="357" t="str">
        <f t="shared" ref="ME649:ME686" si="322">IF(AND($C649=4, $P649="Rehabilitation",$B649="NSP 120% AMI",NOT($N649="Common Space")),$E649,"")</f>
        <v/>
      </c>
      <c r="MF649" s="1750">
        <f t="shared" ref="MF649:MF686" si="323">IF(AND($C649="Efficiency",$E649&gt;0,OR($O649="Low-Rise Apt",$O649="Low-Rise Elevator",$O649="High-Rise Apt",$O649="High-Rise Elevator",$O649="Row House/TH"),OR($P649="Acquisition/Rehab",$P649="Rehabilitation"),NOT($Q649="Yes")),$E649,0)</f>
        <v>0</v>
      </c>
      <c r="MG649" s="1750">
        <f t="shared" ref="MG649:MG686" si="324">IF(AND($C649=1,$E649&gt;0,OR($O649="Low-Rise Apt",$O649="Low-Rise Elevator",$O649="High-Rise Apt",$O649="High-Rise Elevator",$O649="Row House/TH"),OR($P649="Acquisition/Rehab",$P649="Rehabilitation"),NOT($Q649="Yes")),$E649,0)</f>
        <v>0</v>
      </c>
      <c r="MH649" s="1750">
        <f t="shared" ref="MH649:MH686" si="325">IF(AND($C649=2,$E649&gt;0,OR($O649="Low-Rise Apt",$O649="Low-Rise Elevator",$O649="High-Rise Apt",$O649="High-Rise Elevator",$O649="Row House/TH"),OR($P649="Acquisition/Rehab",$P649="Rehabilitation"),NOT($Q649="Yes")),$E649,0)</f>
        <v>0</v>
      </c>
      <c r="MI649" s="1750">
        <f t="shared" ref="MI649:MI686" si="326">IF(AND($C649=3,$E649&gt;0,OR($O649="Low-Rise Apt",$O649="Low-Rise Elevator",$O649="High-Rise Apt",$O649="High-Rise Elevator",$O649="Row House/TH"),OR($P649="Acquisition/Rehab",$P649="Rehabilitation"),NOT($Q649="Yes")),$E649,0)</f>
        <v>0</v>
      </c>
      <c r="MJ649" s="1750">
        <f t="shared" ref="MJ649:MJ686" si="327">IF(AND($C649=4,$E649&gt;0,OR($O649="Low-Rise Apt",$O649="Low-Rise Elevator",$O649="High-Rise Apt",$O649="High-Rise Elevator",$O649="Row House/TH"),OR($P649="Acquisition/Rehab",$P649="Rehabilitation"),NOT($Q649="Yes")),$E649,0)</f>
        <v>0</v>
      </c>
      <c r="MK649" s="1750">
        <f>IF(AND($C649="Efficiency",$E649&gt;0,OR($O649="Low-Rise Apt",$O649="Low-Rise Elevator",$O649="High-Rise Apt",$O649="High-Rise Elevator",$O649="Row House/TH"),$P649="New Construction"),$E649,0)</f>
        <v>0</v>
      </c>
      <c r="ML649" s="1750">
        <f>IF(AND($C649=1,$E649&gt;0,OR($O649="Low-Rise Apt",$O649="Low-Rise Elevator",$O649="High-Rise Apt",$O649="High-Rise Elevator",$O649="Row House/TH"),$P649="New Construction"),$E649,0)</f>
        <v>0</v>
      </c>
      <c r="MM649" s="1750">
        <f>IF(AND($C649=2,$E649&gt;0,OR($O649="Low-Rise Apt",$O649="Low-Rise Elevator",$O649="High-Rise Apt",$O649="High-Rise Elevator",$O649="Row House/TH"),$P649="New Construction"),$E649,0)</f>
        <v>0</v>
      </c>
      <c r="MN649" s="1750">
        <f>IF(AND($C649=3,$E649&gt;0,OR($O649="Low-Rise Apt",$O649="Low-Rise Elevator",$O649="High-Rise Apt",$O649="High-Rise Elevator",$O649="Row House/TH"),$P649="New Construction"),$E649,0)</f>
        <v>0</v>
      </c>
      <c r="MO649" s="1750">
        <f>IF(AND($C649=4,$E649&gt;0,OR($O649="Low-Rise Apt",$O649="Low-Rise Elevator",$O649="High-Rise Apt",$O649="High-Rise Elevator",$O649="Row House/TH"),$P649="New Construction"),$E649,0)</f>
        <v>0</v>
      </c>
      <c r="MP649" s="1750">
        <f t="shared" ref="MP649:MP686" si="328">IF(AND($C649="Efficiency",$E649&gt;0,OR($O649="SF Detached",$O649="Semi-Detached",$O649="Mfd Home"),NOT($Q649="Yes")),$E649,0)</f>
        <v>0</v>
      </c>
      <c r="MQ649" s="1750">
        <f t="shared" ref="MQ649:MQ686" si="329">IF(AND($C649=1,$E649&gt;0,OR($O649="SF Detached",$O649="Semi-Detached",$O649="Mfd Home"),NOT($Q649="Yes")),$E649,0)</f>
        <v>0</v>
      </c>
      <c r="MR649" s="1750">
        <f t="shared" ref="MR649:MR686" si="330">IF(AND($C649=2,$E649&gt;0,OR($O649="SF Detached",$O649="Semi-Detached",$O649="Mfd Home"),NOT($Q649="Yes")),$E649,0)</f>
        <v>0</v>
      </c>
      <c r="MS649" s="1750">
        <f t="shared" ref="MS649:MS686" si="331">IF(AND($C649=3,$E649&gt;0,OR($O649="SF Detached",$O649="Semi-Detached",$O649="Mfd Home"),NOT($Q649="Yes")),$E649,0)</f>
        <v>0</v>
      </c>
      <c r="MT649" s="1750">
        <f t="shared" ref="MT649:MT686" si="332">IF(AND($C649=4,$E649&gt;0,OR($O649="SF Detached",$O649="Semi-Detached",$O649="Mfd Home"),NOT($Q649="Yes")),$E649,0)</f>
        <v>0</v>
      </c>
      <c r="NP649" s="357" t="s">
        <v>6414</v>
      </c>
    </row>
    <row r="650" spans="1:380" ht="13.9" customHeight="1">
      <c r="A650" s="1901" t="str">
        <f t="shared" si="0"/>
        <v/>
      </c>
      <c r="B650" s="2228" t="str">
        <f>'Part V-Revenues &amp; Expenses'!B12</f>
        <v>N/A-CS</v>
      </c>
      <c r="C650" s="2229">
        <f>'Part V-Revenues &amp; Expenses'!C12</f>
        <v>0</v>
      </c>
      <c r="D650" s="2230">
        <f>'Part V-Revenues &amp; Expenses'!D12</f>
        <v>0</v>
      </c>
      <c r="E650" s="2231">
        <f>'Part V-Revenues &amp; Expenses'!E12</f>
        <v>0</v>
      </c>
      <c r="F650" s="2231">
        <f>'Part V-Revenues &amp; Expenses'!F12</f>
        <v>0</v>
      </c>
      <c r="G650" s="2231">
        <f>'Part V-Revenues &amp; Expenses'!G12</f>
        <v>0</v>
      </c>
      <c r="H650" s="2231">
        <f>'Part V-Revenues &amp; Expenses'!H12</f>
        <v>0</v>
      </c>
      <c r="I650" s="2231">
        <f>'Part V-Revenues &amp; Expenses'!I12</f>
        <v>0</v>
      </c>
      <c r="J650" s="2231">
        <f>'Part V-Revenues &amp; Expenses'!J12</f>
        <v>0</v>
      </c>
      <c r="K650" s="2232">
        <f>'Part V-Revenues &amp; Expenses'!K12</f>
        <v>0</v>
      </c>
      <c r="L650" s="2233">
        <f t="shared" si="1"/>
        <v>0</v>
      </c>
      <c r="M650" s="2233">
        <f t="shared" si="2"/>
        <v>0</v>
      </c>
      <c r="N650" s="2094">
        <f>'Part V-Revenues &amp; Expenses'!N12</f>
        <v>0</v>
      </c>
      <c r="O650" s="2234">
        <f>'Part V-Revenues &amp; Expenses'!O12</f>
        <v>0</v>
      </c>
      <c r="P650" s="2094">
        <f>'Part V-Revenues &amp; Expenses'!P12</f>
        <v>0</v>
      </c>
      <c r="Q650" s="2235">
        <f>'Part V-Revenues &amp; Expenses'!Q12</f>
        <v>0</v>
      </c>
      <c r="R650" s="2236"/>
      <c r="S650" s="2237"/>
      <c r="T650" s="2160"/>
      <c r="U650" s="2160"/>
      <c r="V650" s="2160"/>
      <c r="W650" s="2160"/>
      <c r="X650" s="357" t="str">
        <f t="shared" si="3"/>
        <v/>
      </c>
      <c r="Y650" s="357" t="str">
        <f t="shared" si="4"/>
        <v/>
      </c>
      <c r="Z650" s="357" t="str">
        <f t="shared" si="5"/>
        <v/>
      </c>
      <c r="AA650" s="357" t="str">
        <f t="shared" si="6"/>
        <v/>
      </c>
      <c r="AB650" s="357" t="str">
        <f t="shared" si="7"/>
        <v/>
      </c>
      <c r="AC650" s="357" t="str">
        <f t="shared" si="8"/>
        <v/>
      </c>
      <c r="AD650" s="357" t="str">
        <f t="shared" si="9"/>
        <v/>
      </c>
      <c r="AE650" s="357" t="str">
        <f t="shared" si="10"/>
        <v/>
      </c>
      <c r="AF650" s="357" t="str">
        <f t="shared" si="11"/>
        <v/>
      </c>
      <c r="AG650" s="357" t="str">
        <f t="shared" si="12"/>
        <v/>
      </c>
      <c r="AH650" s="357" t="str">
        <f t="shared" si="13"/>
        <v/>
      </c>
      <c r="AI650" s="357" t="str">
        <f t="shared" si="14"/>
        <v/>
      </c>
      <c r="AJ650" s="357" t="str">
        <f t="shared" si="15"/>
        <v/>
      </c>
      <c r="AK650" s="357" t="str">
        <f t="shared" si="16"/>
        <v/>
      </c>
      <c r="AL650" s="357" t="str">
        <f t="shared" si="17"/>
        <v/>
      </c>
      <c r="AM650" s="357" t="str">
        <f t="shared" si="18"/>
        <v/>
      </c>
      <c r="AN650" s="357" t="str">
        <f t="shared" si="19"/>
        <v/>
      </c>
      <c r="AO650" s="357" t="str">
        <f t="shared" si="20"/>
        <v/>
      </c>
      <c r="AP650" s="357" t="str">
        <f t="shared" si="21"/>
        <v/>
      </c>
      <c r="AQ650" s="357" t="str">
        <f t="shared" si="22"/>
        <v/>
      </c>
      <c r="AR650" s="357" t="str">
        <f t="shared" si="23"/>
        <v/>
      </c>
      <c r="AS650" s="357" t="str">
        <f t="shared" si="24"/>
        <v/>
      </c>
      <c r="AT650" s="357" t="str">
        <f t="shared" si="25"/>
        <v/>
      </c>
      <c r="AU650" s="357" t="str">
        <f t="shared" si="26"/>
        <v/>
      </c>
      <c r="AV650" s="357" t="str">
        <f t="shared" si="27"/>
        <v/>
      </c>
      <c r="AW650" s="357" t="str">
        <f t="shared" si="28"/>
        <v/>
      </c>
      <c r="AX650" s="357" t="str">
        <f t="shared" si="29"/>
        <v/>
      </c>
      <c r="AY650" s="357" t="str">
        <f t="shared" si="30"/>
        <v/>
      </c>
      <c r="AZ650" s="357" t="str">
        <f t="shared" si="31"/>
        <v/>
      </c>
      <c r="BA650" s="357" t="str">
        <f t="shared" si="32"/>
        <v/>
      </c>
      <c r="BB650" s="357" t="str">
        <f t="shared" si="33"/>
        <v/>
      </c>
      <c r="BC650" s="357" t="str">
        <f t="shared" si="34"/>
        <v/>
      </c>
      <c r="BD650" s="357" t="str">
        <f t="shared" si="35"/>
        <v/>
      </c>
      <c r="BE650" s="357" t="str">
        <f t="shared" si="36"/>
        <v/>
      </c>
      <c r="BF650" s="357" t="str">
        <f t="shared" si="37"/>
        <v/>
      </c>
      <c r="BG650" s="357" t="str">
        <f t="shared" si="38"/>
        <v/>
      </c>
      <c r="BH650" s="357" t="str">
        <f t="shared" si="39"/>
        <v/>
      </c>
      <c r="BI650" s="357" t="str">
        <f t="shared" si="40"/>
        <v/>
      </c>
      <c r="BJ650" s="357" t="str">
        <f t="shared" si="41"/>
        <v/>
      </c>
      <c r="BK650" s="357" t="str">
        <f t="shared" si="42"/>
        <v/>
      </c>
      <c r="BL650" s="357" t="str">
        <f t="shared" si="43"/>
        <v/>
      </c>
      <c r="BM650" s="357" t="str">
        <f t="shared" si="44"/>
        <v/>
      </c>
      <c r="BN650" s="357" t="str">
        <f t="shared" si="45"/>
        <v/>
      </c>
      <c r="BO650" s="357" t="str">
        <f t="shared" si="46"/>
        <v/>
      </c>
      <c r="BP650" s="357" t="str">
        <f t="shared" si="47"/>
        <v/>
      </c>
      <c r="BQ650" s="357" t="str">
        <f t="shared" si="48"/>
        <v/>
      </c>
      <c r="BR650" s="357" t="str">
        <f t="shared" si="49"/>
        <v/>
      </c>
      <c r="BS650" s="357" t="str">
        <f t="shared" si="50"/>
        <v/>
      </c>
      <c r="BT650" s="357" t="str">
        <f t="shared" si="51"/>
        <v/>
      </c>
      <c r="BU650" s="357" t="str">
        <f t="shared" si="52"/>
        <v/>
      </c>
      <c r="BV650" s="357" t="str">
        <f t="shared" si="53"/>
        <v/>
      </c>
      <c r="BW650" s="357" t="str">
        <f t="shared" si="54"/>
        <v/>
      </c>
      <c r="BX650" s="357" t="str">
        <f t="shared" si="55"/>
        <v/>
      </c>
      <c r="BY650" s="357" t="str">
        <f t="shared" si="56"/>
        <v/>
      </c>
      <c r="BZ650" s="357" t="str">
        <f t="shared" si="57"/>
        <v/>
      </c>
      <c r="CA650" s="357" t="str">
        <f t="shared" si="58"/>
        <v/>
      </c>
      <c r="CB650" s="357" t="str">
        <f t="shared" si="59"/>
        <v/>
      </c>
      <c r="CC650" s="357" t="str">
        <f t="shared" si="60"/>
        <v/>
      </c>
      <c r="CD650" s="357" t="str">
        <f t="shared" si="61"/>
        <v/>
      </c>
      <c r="CE650" s="357" t="str">
        <f t="shared" si="62"/>
        <v/>
      </c>
      <c r="CF650" s="357" t="str">
        <f t="shared" si="63"/>
        <v/>
      </c>
      <c r="CG650" s="357" t="str">
        <f t="shared" si="64"/>
        <v/>
      </c>
      <c r="CH650" s="357" t="str">
        <f t="shared" si="65"/>
        <v/>
      </c>
      <c r="CI650" s="357" t="str">
        <f t="shared" si="66"/>
        <v/>
      </c>
      <c r="CJ650" s="357" t="str">
        <f t="shared" si="67"/>
        <v/>
      </c>
      <c r="CK650" s="357" t="str">
        <f t="shared" si="68"/>
        <v/>
      </c>
      <c r="CL650" s="357" t="str">
        <f t="shared" si="69"/>
        <v/>
      </c>
      <c r="CM650" s="357" t="str">
        <f t="shared" si="70"/>
        <v/>
      </c>
      <c r="CN650" s="357" t="str">
        <f t="shared" si="71"/>
        <v/>
      </c>
      <c r="CO650" s="357" t="str">
        <f t="shared" si="72"/>
        <v/>
      </c>
      <c r="CP650" s="357" t="str">
        <f t="shared" si="73"/>
        <v/>
      </c>
      <c r="CQ650" s="357" t="str">
        <f t="shared" si="74"/>
        <v/>
      </c>
      <c r="CR650" s="357" t="str">
        <f t="shared" si="75"/>
        <v/>
      </c>
      <c r="CS650" s="357" t="str">
        <f t="shared" si="76"/>
        <v/>
      </c>
      <c r="CT650" s="357" t="str">
        <f t="shared" si="77"/>
        <v/>
      </c>
      <c r="CU650" s="357" t="str">
        <f t="shared" si="78"/>
        <v/>
      </c>
      <c r="CV650" s="357" t="str">
        <f t="shared" si="79"/>
        <v/>
      </c>
      <c r="CW650" s="357" t="str">
        <f t="shared" si="80"/>
        <v/>
      </c>
      <c r="CX650" s="357" t="str">
        <f t="shared" si="81"/>
        <v/>
      </c>
      <c r="CY650" s="357" t="str">
        <f t="shared" si="82"/>
        <v/>
      </c>
      <c r="CZ650" s="357" t="str">
        <f t="shared" si="83"/>
        <v/>
      </c>
      <c r="DA650" s="357" t="str">
        <f t="shared" si="84"/>
        <v/>
      </c>
      <c r="DB650" s="357" t="str">
        <f t="shared" si="85"/>
        <v/>
      </c>
      <c r="DC650" s="357" t="str">
        <f t="shared" si="86"/>
        <v/>
      </c>
      <c r="DD650" s="357" t="str">
        <f t="shared" si="87"/>
        <v/>
      </c>
      <c r="DE650" s="357" t="str">
        <f t="shared" si="88"/>
        <v/>
      </c>
      <c r="DF650" s="357" t="str">
        <f t="shared" si="89"/>
        <v/>
      </c>
      <c r="DG650" s="357" t="str">
        <f t="shared" si="90"/>
        <v/>
      </c>
      <c r="DH650" s="357" t="str">
        <f t="shared" si="91"/>
        <v/>
      </c>
      <c r="DI650" s="357" t="str">
        <f t="shared" si="92"/>
        <v/>
      </c>
      <c r="DJ650" s="357" t="str">
        <f t="shared" si="93"/>
        <v/>
      </c>
      <c r="DK650" s="357" t="str">
        <f t="shared" si="94"/>
        <v/>
      </c>
      <c r="DL650" s="357" t="str">
        <f t="shared" si="95"/>
        <v/>
      </c>
      <c r="DM650" s="357" t="str">
        <f t="shared" si="96"/>
        <v/>
      </c>
      <c r="DN650" s="357" t="str">
        <f t="shared" si="97"/>
        <v/>
      </c>
      <c r="DO650" s="357" t="str">
        <f t="shared" si="98"/>
        <v/>
      </c>
      <c r="DP650" s="357" t="str">
        <f t="shared" si="99"/>
        <v/>
      </c>
      <c r="DQ650" s="357" t="str">
        <f t="shared" si="100"/>
        <v/>
      </c>
      <c r="DR650" s="357" t="str">
        <f t="shared" si="101"/>
        <v/>
      </c>
      <c r="DS650" s="357" t="str">
        <f t="shared" si="102"/>
        <v/>
      </c>
      <c r="DT650" s="357" t="str">
        <f t="shared" si="103"/>
        <v/>
      </c>
      <c r="DU650" s="357" t="str">
        <f t="shared" si="104"/>
        <v/>
      </c>
      <c r="DV650" s="357" t="str">
        <f t="shared" si="105"/>
        <v/>
      </c>
      <c r="DW650" s="357" t="str">
        <f t="shared" si="106"/>
        <v/>
      </c>
      <c r="DX650" s="357" t="str">
        <f t="shared" si="107"/>
        <v/>
      </c>
      <c r="DY650" s="357" t="str">
        <f t="shared" si="108"/>
        <v/>
      </c>
      <c r="DZ650" s="357" t="str">
        <f t="shared" si="109"/>
        <v/>
      </c>
      <c r="EA650" s="357" t="str">
        <f t="shared" si="110"/>
        <v/>
      </c>
      <c r="EB650" s="357" t="str">
        <f t="shared" si="111"/>
        <v/>
      </c>
      <c r="EC650" s="357" t="str">
        <f t="shared" si="112"/>
        <v/>
      </c>
      <c r="ED650" s="357" t="str">
        <f t="shared" si="113"/>
        <v/>
      </c>
      <c r="EE650" s="357" t="str">
        <f t="shared" si="114"/>
        <v/>
      </c>
      <c r="EF650" s="357" t="str">
        <f t="shared" si="115"/>
        <v/>
      </c>
      <c r="EG650" s="357" t="str">
        <f t="shared" si="116"/>
        <v/>
      </c>
      <c r="EH650" s="357" t="str">
        <f t="shared" si="117"/>
        <v/>
      </c>
      <c r="EI650" s="357" t="str">
        <f t="shared" si="118"/>
        <v/>
      </c>
      <c r="EJ650" s="357" t="str">
        <f t="shared" si="119"/>
        <v/>
      </c>
      <c r="EK650" s="357" t="str">
        <f t="shared" si="120"/>
        <v/>
      </c>
      <c r="EL650" s="357" t="str">
        <f t="shared" si="121"/>
        <v/>
      </c>
      <c r="EM650" s="357" t="str">
        <f t="shared" si="122"/>
        <v/>
      </c>
      <c r="EN650" s="357" t="str">
        <f t="shared" si="123"/>
        <v/>
      </c>
      <c r="EO650" s="357" t="str">
        <f t="shared" si="124"/>
        <v/>
      </c>
      <c r="EP650" s="357" t="str">
        <f t="shared" si="125"/>
        <v/>
      </c>
      <c r="EQ650" s="357" t="str">
        <f t="shared" si="126"/>
        <v/>
      </c>
      <c r="ER650" s="357" t="str">
        <f t="shared" si="127"/>
        <v/>
      </c>
      <c r="ES650" s="357" t="str">
        <f t="shared" si="128"/>
        <v/>
      </c>
      <c r="ET650" s="357" t="str">
        <f t="shared" si="129"/>
        <v/>
      </c>
      <c r="EU650" s="357" t="str">
        <f t="shared" si="130"/>
        <v/>
      </c>
      <c r="EV650" s="357" t="str">
        <f t="shared" si="131"/>
        <v/>
      </c>
      <c r="EW650" s="357" t="str">
        <f t="shared" si="132"/>
        <v/>
      </c>
      <c r="EX650" s="357" t="str">
        <f t="shared" si="133"/>
        <v/>
      </c>
      <c r="EY650" s="357" t="str">
        <f t="shared" si="134"/>
        <v/>
      </c>
      <c r="EZ650" s="357" t="str">
        <f t="shared" si="135"/>
        <v/>
      </c>
      <c r="FA650" s="357" t="str">
        <f t="shared" si="136"/>
        <v/>
      </c>
      <c r="FB650" s="357" t="str">
        <f t="shared" si="137"/>
        <v/>
      </c>
      <c r="FC650" s="357" t="str">
        <f t="shared" si="138"/>
        <v/>
      </c>
      <c r="FD650" s="357" t="str">
        <f t="shared" si="139"/>
        <v/>
      </c>
      <c r="FE650" s="357" t="str">
        <f t="shared" si="140"/>
        <v/>
      </c>
      <c r="FF650" s="357" t="str">
        <f t="shared" si="141"/>
        <v/>
      </c>
      <c r="FG650" s="357" t="str">
        <f t="shared" si="142"/>
        <v/>
      </c>
      <c r="FH650" s="357" t="str">
        <f t="shared" si="143"/>
        <v/>
      </c>
      <c r="FI650" s="357" t="str">
        <f t="shared" si="144"/>
        <v/>
      </c>
      <c r="FJ650" s="357" t="str">
        <f t="shared" si="145"/>
        <v/>
      </c>
      <c r="FK650" s="357" t="str">
        <f t="shared" si="146"/>
        <v/>
      </c>
      <c r="FL650" s="357" t="str">
        <f t="shared" si="147"/>
        <v/>
      </c>
      <c r="FM650" s="357" t="str">
        <f t="shared" si="148"/>
        <v/>
      </c>
      <c r="FN650" s="357" t="str">
        <f t="shared" si="149"/>
        <v/>
      </c>
      <c r="FO650" s="357" t="str">
        <f t="shared" si="150"/>
        <v/>
      </c>
      <c r="FP650" s="357" t="str">
        <f t="shared" si="151"/>
        <v/>
      </c>
      <c r="FQ650" s="357" t="str">
        <f t="shared" si="152"/>
        <v/>
      </c>
      <c r="FR650" s="357" t="str">
        <f t="shared" si="153"/>
        <v/>
      </c>
      <c r="FS650" s="357" t="str">
        <f t="shared" si="154"/>
        <v/>
      </c>
      <c r="FT650" s="357" t="str">
        <f t="shared" si="155"/>
        <v/>
      </c>
      <c r="FU650" s="357" t="str">
        <f t="shared" si="156"/>
        <v/>
      </c>
      <c r="FV650" s="357" t="str">
        <f t="shared" si="157"/>
        <v/>
      </c>
      <c r="FW650" s="357" t="str">
        <f t="shared" si="158"/>
        <v/>
      </c>
      <c r="FX650" s="357" t="str">
        <f t="shared" si="159"/>
        <v/>
      </c>
      <c r="FY650" s="357" t="str">
        <f t="shared" si="160"/>
        <v/>
      </c>
      <c r="FZ650" s="357" t="str">
        <f t="shared" si="161"/>
        <v/>
      </c>
      <c r="GA650" s="357" t="str">
        <f t="shared" si="162"/>
        <v/>
      </c>
      <c r="GB650" s="357" t="str">
        <f t="shared" si="163"/>
        <v/>
      </c>
      <c r="GC650" s="357" t="str">
        <f t="shared" si="164"/>
        <v/>
      </c>
      <c r="GD650" s="357" t="str">
        <f t="shared" si="165"/>
        <v/>
      </c>
      <c r="GE650" s="357" t="str">
        <f t="shared" si="166"/>
        <v/>
      </c>
      <c r="GF650" s="357" t="str">
        <f t="shared" si="167"/>
        <v/>
      </c>
      <c r="GG650" s="357" t="str">
        <f t="shared" si="168"/>
        <v/>
      </c>
      <c r="GH650" s="357" t="str">
        <f t="shared" si="169"/>
        <v/>
      </c>
      <c r="GI650" s="357" t="str">
        <f t="shared" si="170"/>
        <v/>
      </c>
      <c r="GJ650" s="357" t="str">
        <f t="shared" si="171"/>
        <v/>
      </c>
      <c r="GK650" s="357" t="str">
        <f t="shared" si="172"/>
        <v/>
      </c>
      <c r="GL650" s="357" t="str">
        <f t="shared" si="173"/>
        <v/>
      </c>
      <c r="GM650" s="357" t="str">
        <f t="shared" si="174"/>
        <v/>
      </c>
      <c r="GN650" s="357" t="str">
        <f t="shared" si="175"/>
        <v/>
      </c>
      <c r="GO650" s="357" t="str">
        <f t="shared" si="176"/>
        <v/>
      </c>
      <c r="GP650" s="357" t="str">
        <f t="shared" si="177"/>
        <v/>
      </c>
      <c r="GQ650" s="357" t="str">
        <f t="shared" si="178"/>
        <v/>
      </c>
      <c r="GR650" s="357" t="str">
        <f t="shared" si="179"/>
        <v/>
      </c>
      <c r="GS650" s="357" t="str">
        <f t="shared" si="180"/>
        <v/>
      </c>
      <c r="GT650" s="357" t="str">
        <f t="shared" si="181"/>
        <v/>
      </c>
      <c r="GU650" s="357" t="str">
        <f t="shared" si="182"/>
        <v/>
      </c>
      <c r="GV650" s="357" t="str">
        <f t="shared" si="183"/>
        <v/>
      </c>
      <c r="GW650" s="357" t="str">
        <f t="shared" si="184"/>
        <v/>
      </c>
      <c r="GX650" s="357" t="str">
        <f t="shared" si="185"/>
        <v/>
      </c>
      <c r="GY650" s="357" t="str">
        <f t="shared" si="186"/>
        <v/>
      </c>
      <c r="GZ650" s="357" t="str">
        <f t="shared" si="187"/>
        <v/>
      </c>
      <c r="HA650" s="357" t="str">
        <f t="shared" si="188"/>
        <v/>
      </c>
      <c r="HB650" s="357" t="str">
        <f t="shared" si="189"/>
        <v/>
      </c>
      <c r="HC650" s="357" t="str">
        <f t="shared" si="190"/>
        <v/>
      </c>
      <c r="HD650" s="357" t="str">
        <f t="shared" si="191"/>
        <v/>
      </c>
      <c r="HE650" s="357" t="str">
        <f t="shared" si="192"/>
        <v/>
      </c>
      <c r="HF650" s="357" t="str">
        <f t="shared" si="193"/>
        <v/>
      </c>
      <c r="HG650" s="357" t="str">
        <f t="shared" si="194"/>
        <v/>
      </c>
      <c r="HH650" s="357" t="str">
        <f t="shared" si="195"/>
        <v/>
      </c>
      <c r="HI650" s="357" t="str">
        <f t="shared" si="196"/>
        <v/>
      </c>
      <c r="HJ650" s="357" t="str">
        <f t="shared" si="197"/>
        <v/>
      </c>
      <c r="HK650" s="357" t="str">
        <f t="shared" si="198"/>
        <v/>
      </c>
      <c r="HL650" s="357" t="str">
        <f t="shared" si="199"/>
        <v/>
      </c>
      <c r="HM650" s="357" t="str">
        <f t="shared" si="200"/>
        <v/>
      </c>
      <c r="HN650" s="357" t="str">
        <f t="shared" si="201"/>
        <v/>
      </c>
      <c r="HO650" s="357" t="str">
        <f t="shared" si="202"/>
        <v/>
      </c>
      <c r="HP650" s="357" t="str">
        <f t="shared" si="203"/>
        <v/>
      </c>
      <c r="HQ650" s="357" t="str">
        <f t="shared" si="204"/>
        <v/>
      </c>
      <c r="HR650" s="357" t="str">
        <f t="shared" si="205"/>
        <v/>
      </c>
      <c r="HS650" s="357" t="str">
        <f t="shared" si="206"/>
        <v/>
      </c>
      <c r="HT650" s="357" t="str">
        <f t="shared" si="207"/>
        <v/>
      </c>
      <c r="HU650" s="357" t="str">
        <f t="shared" si="208"/>
        <v/>
      </c>
      <c r="HV650" s="357" t="str">
        <f t="shared" si="209"/>
        <v/>
      </c>
      <c r="HW650" s="357" t="str">
        <f t="shared" si="210"/>
        <v/>
      </c>
      <c r="HX650" s="357" t="str">
        <f t="shared" si="211"/>
        <v/>
      </c>
      <c r="HY650" s="357" t="str">
        <f t="shared" si="212"/>
        <v/>
      </c>
      <c r="HZ650" s="1903" t="str">
        <f t="shared" si="213"/>
        <v/>
      </c>
      <c r="IA650" s="1903" t="str">
        <f t="shared" si="214"/>
        <v/>
      </c>
      <c r="IB650" s="1903" t="str">
        <f t="shared" si="215"/>
        <v/>
      </c>
      <c r="IC650" s="1903" t="str">
        <f t="shared" si="216"/>
        <v/>
      </c>
      <c r="ID650" s="1903" t="str">
        <f t="shared" si="217"/>
        <v/>
      </c>
      <c r="IE650" s="1903" t="str">
        <f t="shared" si="218"/>
        <v/>
      </c>
      <c r="IF650" s="1903" t="str">
        <f t="shared" si="219"/>
        <v/>
      </c>
      <c r="IG650" s="1903" t="str">
        <f t="shared" si="220"/>
        <v/>
      </c>
      <c r="IH650" s="1903" t="str">
        <f t="shared" si="221"/>
        <v/>
      </c>
      <c r="II650" s="1903" t="str">
        <f t="shared" si="222"/>
        <v/>
      </c>
      <c r="IJ650" s="1903" t="str">
        <f t="shared" si="223"/>
        <v/>
      </c>
      <c r="IK650" s="1903" t="str">
        <f t="shared" si="224"/>
        <v/>
      </c>
      <c r="IL650" s="1903" t="str">
        <f t="shared" si="225"/>
        <v/>
      </c>
      <c r="IM650" s="1903" t="str">
        <f t="shared" si="226"/>
        <v/>
      </c>
      <c r="IN650" s="1903" t="str">
        <f t="shared" si="227"/>
        <v/>
      </c>
      <c r="IO650" s="1903" t="str">
        <f t="shared" si="228"/>
        <v/>
      </c>
      <c r="IP650" s="1903" t="str">
        <f t="shared" si="229"/>
        <v/>
      </c>
      <c r="IQ650" s="1903" t="str">
        <f t="shared" si="230"/>
        <v/>
      </c>
      <c r="IR650" s="1903" t="str">
        <f t="shared" si="231"/>
        <v/>
      </c>
      <c r="IS650" s="1903" t="str">
        <f t="shared" si="232"/>
        <v/>
      </c>
      <c r="IT650" s="1903" t="str">
        <f t="shared" si="233"/>
        <v/>
      </c>
      <c r="IU650" s="1903" t="str">
        <f t="shared" si="234"/>
        <v/>
      </c>
      <c r="IV650" s="1903" t="str">
        <f t="shared" si="235"/>
        <v/>
      </c>
      <c r="IW650" s="1903" t="str">
        <f t="shared" si="236"/>
        <v/>
      </c>
      <c r="IX650" s="1903" t="str">
        <f t="shared" si="237"/>
        <v/>
      </c>
      <c r="IY650" s="1903" t="str">
        <f t="shared" si="238"/>
        <v/>
      </c>
      <c r="IZ650" s="1903" t="str">
        <f t="shared" si="239"/>
        <v/>
      </c>
      <c r="JA650" s="1903" t="str">
        <f t="shared" si="240"/>
        <v/>
      </c>
      <c r="JB650" s="1903" t="str">
        <f t="shared" si="241"/>
        <v/>
      </c>
      <c r="JC650" s="1903" t="str">
        <f t="shared" si="242"/>
        <v/>
      </c>
      <c r="JD650" s="1903" t="str">
        <f t="shared" si="243"/>
        <v/>
      </c>
      <c r="JE650" s="1903" t="str">
        <f t="shared" si="244"/>
        <v/>
      </c>
      <c r="JF650" s="1903" t="str">
        <f t="shared" si="245"/>
        <v/>
      </c>
      <c r="JG650" s="1903" t="str">
        <f t="shared" si="246"/>
        <v/>
      </c>
      <c r="JH650" s="1903" t="str">
        <f t="shared" si="247"/>
        <v/>
      </c>
      <c r="JI650" s="1903" t="str">
        <f t="shared" si="248"/>
        <v/>
      </c>
      <c r="JJ650" s="1903" t="str">
        <f t="shared" si="249"/>
        <v/>
      </c>
      <c r="JK650" s="1903" t="str">
        <f t="shared" si="250"/>
        <v/>
      </c>
      <c r="JL650" s="1903" t="str">
        <f t="shared" si="251"/>
        <v/>
      </c>
      <c r="JM650" s="1903" t="str">
        <f t="shared" si="252"/>
        <v/>
      </c>
      <c r="JN650" s="1903" t="str">
        <f t="shared" si="253"/>
        <v/>
      </c>
      <c r="JO650" s="1903" t="str">
        <f t="shared" si="254"/>
        <v/>
      </c>
      <c r="JP650" s="1903" t="str">
        <f t="shared" si="255"/>
        <v/>
      </c>
      <c r="JQ650" s="1903" t="str">
        <f t="shared" si="256"/>
        <v/>
      </c>
      <c r="JR650" s="1903" t="str">
        <f t="shared" si="257"/>
        <v/>
      </c>
      <c r="JS650" s="1903" t="str">
        <f t="shared" si="258"/>
        <v/>
      </c>
      <c r="JT650" s="1903" t="str">
        <f t="shared" si="259"/>
        <v/>
      </c>
      <c r="JU650" s="1903" t="str">
        <f t="shared" si="260"/>
        <v/>
      </c>
      <c r="JV650" s="1903" t="str">
        <f t="shared" si="261"/>
        <v/>
      </c>
      <c r="JW650" s="1903" t="str">
        <f t="shared" si="262"/>
        <v/>
      </c>
      <c r="JX650" s="1903" t="str">
        <f t="shared" si="263"/>
        <v/>
      </c>
      <c r="JY650" s="1903" t="str">
        <f t="shared" si="264"/>
        <v/>
      </c>
      <c r="JZ650" s="1903" t="str">
        <f t="shared" si="265"/>
        <v/>
      </c>
      <c r="KA650" s="1903" t="str">
        <f t="shared" si="266"/>
        <v/>
      </c>
      <c r="KB650" s="1903" t="str">
        <f t="shared" si="267"/>
        <v/>
      </c>
      <c r="KC650" s="1903" t="str">
        <f t="shared" si="268"/>
        <v/>
      </c>
      <c r="KD650" s="1903" t="str">
        <f t="shared" si="269"/>
        <v/>
      </c>
      <c r="KE650" s="1903" t="str">
        <f t="shared" si="270"/>
        <v/>
      </c>
      <c r="KF650" s="1903" t="str">
        <f t="shared" si="271"/>
        <v/>
      </c>
      <c r="KG650" s="1903" t="str">
        <f t="shared" si="272"/>
        <v/>
      </c>
      <c r="KH650" s="1903" t="str">
        <f t="shared" si="273"/>
        <v/>
      </c>
      <c r="KI650" s="1903" t="str">
        <f t="shared" si="274"/>
        <v/>
      </c>
      <c r="KJ650" s="1903" t="str">
        <f t="shared" si="275"/>
        <v/>
      </c>
      <c r="KK650" s="1903" t="str">
        <f t="shared" si="276"/>
        <v/>
      </c>
      <c r="KL650" s="1903" t="str">
        <f t="shared" si="277"/>
        <v/>
      </c>
      <c r="KM650" s="1903" t="str">
        <f t="shared" si="278"/>
        <v/>
      </c>
      <c r="KN650" s="1903" t="str">
        <f t="shared" si="279"/>
        <v/>
      </c>
      <c r="KO650" s="1903" t="str">
        <f t="shared" si="280"/>
        <v/>
      </c>
      <c r="KP650" s="1903" t="str">
        <f t="shared" si="281"/>
        <v/>
      </c>
      <c r="KQ650" s="1903" t="str">
        <f t="shared" si="282"/>
        <v/>
      </c>
      <c r="KR650" s="1903" t="str">
        <f t="shared" si="283"/>
        <v/>
      </c>
      <c r="KS650" s="1903" t="str">
        <f t="shared" si="284"/>
        <v/>
      </c>
      <c r="KT650" s="1903" t="str">
        <f t="shared" si="285"/>
        <v/>
      </c>
      <c r="KU650" s="1903" t="str">
        <f t="shared" si="286"/>
        <v/>
      </c>
      <c r="KV650" s="1903" t="str">
        <f t="shared" si="287"/>
        <v/>
      </c>
      <c r="KW650" s="1903" t="str">
        <f t="shared" si="288"/>
        <v/>
      </c>
      <c r="KX650" s="1903" t="str">
        <f t="shared" si="289"/>
        <v/>
      </c>
      <c r="KY650" s="1903" t="str">
        <f t="shared" si="290"/>
        <v/>
      </c>
      <c r="KZ650" s="1903" t="str">
        <f t="shared" si="291"/>
        <v/>
      </c>
      <c r="LA650" s="1903" t="str">
        <f t="shared" si="292"/>
        <v/>
      </c>
      <c r="LB650" s="1903" t="str">
        <f t="shared" si="293"/>
        <v/>
      </c>
      <c r="LC650" s="1903" t="str">
        <f t="shared" si="294"/>
        <v/>
      </c>
      <c r="LD650" s="1903" t="str">
        <f t="shared" si="295"/>
        <v/>
      </c>
      <c r="LE650" s="1903" t="str">
        <f t="shared" si="296"/>
        <v/>
      </c>
      <c r="LF650" s="1903" t="str">
        <f t="shared" si="297"/>
        <v/>
      </c>
      <c r="LG650" s="1750" t="str">
        <f t="shared" si="298"/>
        <v/>
      </c>
      <c r="LH650" s="1750" t="str">
        <f t="shared" si="299"/>
        <v/>
      </c>
      <c r="LI650" s="1750" t="str">
        <f t="shared" si="300"/>
        <v/>
      </c>
      <c r="LJ650" s="1750" t="str">
        <f t="shared" si="301"/>
        <v/>
      </c>
      <c r="LK650" s="1750" t="str">
        <f t="shared" si="302"/>
        <v/>
      </c>
      <c r="LL650" s="357" t="str">
        <f t="shared" si="303"/>
        <v/>
      </c>
      <c r="LM650" s="357" t="str">
        <f t="shared" si="304"/>
        <v/>
      </c>
      <c r="LN650" s="357" t="str">
        <f t="shared" si="305"/>
        <v/>
      </c>
      <c r="LO650" s="357" t="str">
        <f t="shared" si="306"/>
        <v/>
      </c>
      <c r="LP650" s="357" t="str">
        <f t="shared" si="307"/>
        <v/>
      </c>
      <c r="LQ650" s="357" t="str">
        <f t="shared" si="308"/>
        <v/>
      </c>
      <c r="LR650" s="357" t="str">
        <f t="shared" si="309"/>
        <v/>
      </c>
      <c r="LS650" s="357" t="str">
        <f t="shared" si="310"/>
        <v/>
      </c>
      <c r="LT650" s="357" t="str">
        <f t="shared" si="311"/>
        <v/>
      </c>
      <c r="LU650" s="357" t="str">
        <f t="shared" si="312"/>
        <v/>
      </c>
      <c r="LV650" s="357" t="str">
        <f t="shared" si="313"/>
        <v/>
      </c>
      <c r="LW650" s="357" t="str">
        <f t="shared" si="314"/>
        <v/>
      </c>
      <c r="LX650" s="357" t="str">
        <f t="shared" si="315"/>
        <v/>
      </c>
      <c r="LY650" s="357" t="str">
        <f t="shared" si="316"/>
        <v/>
      </c>
      <c r="LZ650" s="357" t="str">
        <f t="shared" si="317"/>
        <v/>
      </c>
      <c r="MA650" s="357" t="str">
        <f t="shared" si="318"/>
        <v/>
      </c>
      <c r="MB650" s="357" t="str">
        <f t="shared" si="319"/>
        <v/>
      </c>
      <c r="MC650" s="357" t="str">
        <f t="shared" si="320"/>
        <v/>
      </c>
      <c r="MD650" s="357" t="str">
        <f t="shared" si="321"/>
        <v/>
      </c>
      <c r="ME650" s="357" t="str">
        <f t="shared" si="322"/>
        <v/>
      </c>
      <c r="MF650" s="1750">
        <f t="shared" si="323"/>
        <v>0</v>
      </c>
      <c r="MG650" s="1750">
        <f t="shared" si="324"/>
        <v>0</v>
      </c>
      <c r="MH650" s="1750">
        <f t="shared" si="325"/>
        <v>0</v>
      </c>
      <c r="MI650" s="1750">
        <f t="shared" si="326"/>
        <v>0</v>
      </c>
      <c r="MJ650" s="1750">
        <f t="shared" si="327"/>
        <v>0</v>
      </c>
      <c r="MK650" s="1750">
        <f t="shared" ref="MK650:MK686" si="333">IF(AND($C650="Efficiency",$E650&gt;0,OR($O650="Low-Rise Apt",$O650="Low-Rise Elevator",$O650="High-Rise Apt",$O650="High-Rise Elevator",$O650="Row House/TH"),$P650="New Construction"),$E650,0)</f>
        <v>0</v>
      </c>
      <c r="ML650" s="1750">
        <f t="shared" ref="ML650:ML686" si="334">IF(AND($C650=1,$E650&gt;0,OR($O650="Low-Rise Apt",$O650="Low-Rise Elevator",$O650="High-Rise Apt",$O650="High-Rise Elevator",$O650="Row House/TH"),$P650="New Construction"),$E650,0)</f>
        <v>0</v>
      </c>
      <c r="MM650" s="1750">
        <f t="shared" ref="MM650:MM686" si="335">IF(AND($C650=2,$E650&gt;0,OR($O650="Low-Rise Apt",$O650="Low-Rise Elevator",$O650="High-Rise Apt",$O650="High-Rise Elevator",$O650="Row House/TH"),$P650="New Construction"),$E650,0)</f>
        <v>0</v>
      </c>
      <c r="MN650" s="1750">
        <f t="shared" ref="MN650:MN686" si="336">IF(AND($C650=3,$E650&gt;0,OR($O650="Low-Rise Apt",$O650="Low-Rise Elevator",$O650="High-Rise Apt",$O650="High-Rise Elevator",$O650="Row House/TH"),$P650="New Construction"),$E650,0)</f>
        <v>0</v>
      </c>
      <c r="MO650" s="1750">
        <f t="shared" ref="MO650:MO686" si="337">IF(AND($C650=4,$E650&gt;0,OR($O650="Low-Rise Apt",$O650="Low-Rise Elevator",$O650="High-Rise Apt",$O650="High-Rise Elevator",$O650="Row House/TH"),$P650="New Construction"),$E650,0)</f>
        <v>0</v>
      </c>
      <c r="MP650" s="1750">
        <f t="shared" si="328"/>
        <v>0</v>
      </c>
      <c r="MQ650" s="1750">
        <f t="shared" si="329"/>
        <v>0</v>
      </c>
      <c r="MR650" s="1750">
        <f t="shared" si="330"/>
        <v>0</v>
      </c>
      <c r="MS650" s="1750">
        <f t="shared" si="331"/>
        <v>0</v>
      </c>
      <c r="MT650" s="1750">
        <f t="shared" si="332"/>
        <v>0</v>
      </c>
      <c r="NP650" s="357" t="s">
        <v>6415</v>
      </c>
    </row>
    <row r="651" spans="1:380" ht="13.9" customHeight="1">
      <c r="A651" s="1901" t="str">
        <f t="shared" si="0"/>
        <v/>
      </c>
      <c r="B651" s="2228" t="str">
        <f>'Part V-Revenues &amp; Expenses'!B13</f>
        <v>Unrestricted</v>
      </c>
      <c r="C651" s="2229">
        <f>'Part V-Revenues &amp; Expenses'!C13</f>
        <v>0</v>
      </c>
      <c r="D651" s="2230">
        <f>'Part V-Revenues &amp; Expenses'!D13</f>
        <v>0</v>
      </c>
      <c r="E651" s="2231">
        <f>'Part V-Revenues &amp; Expenses'!E13</f>
        <v>0</v>
      </c>
      <c r="F651" s="2231">
        <f>'Part V-Revenues &amp; Expenses'!F13</f>
        <v>0</v>
      </c>
      <c r="G651" s="2231">
        <f>'Part V-Revenues &amp; Expenses'!G13</f>
        <v>0</v>
      </c>
      <c r="H651" s="2231">
        <f>'Part V-Revenues &amp; Expenses'!H13</f>
        <v>0</v>
      </c>
      <c r="I651" s="2231">
        <f>'Part V-Revenues &amp; Expenses'!I13</f>
        <v>0</v>
      </c>
      <c r="J651" s="2231">
        <f>'Part V-Revenues &amp; Expenses'!J13</f>
        <v>0</v>
      </c>
      <c r="K651" s="2232">
        <f>'Part V-Revenues &amp; Expenses'!K13</f>
        <v>0</v>
      </c>
      <c r="L651" s="2233">
        <f t="shared" si="1"/>
        <v>0</v>
      </c>
      <c r="M651" s="2233">
        <f t="shared" si="2"/>
        <v>0</v>
      </c>
      <c r="N651" s="2094">
        <f>'Part V-Revenues &amp; Expenses'!N13</f>
        <v>0</v>
      </c>
      <c r="O651" s="2234">
        <f>'Part V-Revenues &amp; Expenses'!O13</f>
        <v>0</v>
      </c>
      <c r="P651" s="2094">
        <f>'Part V-Revenues &amp; Expenses'!P13</f>
        <v>0</v>
      </c>
      <c r="Q651" s="2235">
        <f>'Part V-Revenues &amp; Expenses'!Q13</f>
        <v>0</v>
      </c>
      <c r="R651" s="2236"/>
      <c r="S651" s="2237"/>
      <c r="T651" s="2160"/>
      <c r="U651" s="2160"/>
      <c r="V651" s="2160"/>
      <c r="W651" s="2160"/>
      <c r="X651" s="357" t="str">
        <f t="shared" si="3"/>
        <v/>
      </c>
      <c r="Y651" s="357" t="str">
        <f t="shared" si="4"/>
        <v/>
      </c>
      <c r="Z651" s="357" t="str">
        <f t="shared" si="5"/>
        <v/>
      </c>
      <c r="AA651" s="357" t="str">
        <f t="shared" si="6"/>
        <v/>
      </c>
      <c r="AB651" s="357" t="str">
        <f t="shared" si="7"/>
        <v/>
      </c>
      <c r="AC651" s="357" t="str">
        <f t="shared" si="8"/>
        <v/>
      </c>
      <c r="AD651" s="357" t="str">
        <f t="shared" si="9"/>
        <v/>
      </c>
      <c r="AE651" s="357" t="str">
        <f t="shared" si="10"/>
        <v/>
      </c>
      <c r="AF651" s="357" t="str">
        <f t="shared" si="11"/>
        <v/>
      </c>
      <c r="AG651" s="357" t="str">
        <f t="shared" si="12"/>
        <v/>
      </c>
      <c r="AH651" s="357" t="str">
        <f t="shared" si="13"/>
        <v/>
      </c>
      <c r="AI651" s="357" t="str">
        <f t="shared" si="14"/>
        <v/>
      </c>
      <c r="AJ651" s="357" t="str">
        <f t="shared" si="15"/>
        <v/>
      </c>
      <c r="AK651" s="357" t="str">
        <f t="shared" si="16"/>
        <v/>
      </c>
      <c r="AL651" s="357" t="str">
        <f t="shared" si="17"/>
        <v/>
      </c>
      <c r="AM651" s="357" t="str">
        <f t="shared" si="18"/>
        <v/>
      </c>
      <c r="AN651" s="357" t="str">
        <f t="shared" si="19"/>
        <v/>
      </c>
      <c r="AO651" s="357" t="str">
        <f t="shared" si="20"/>
        <v/>
      </c>
      <c r="AP651" s="357" t="str">
        <f t="shared" si="21"/>
        <v/>
      </c>
      <c r="AQ651" s="357" t="str">
        <f t="shared" si="22"/>
        <v/>
      </c>
      <c r="AR651" s="357" t="str">
        <f t="shared" si="23"/>
        <v/>
      </c>
      <c r="AS651" s="357" t="str">
        <f t="shared" si="24"/>
        <v/>
      </c>
      <c r="AT651" s="357" t="str">
        <f t="shared" si="25"/>
        <v/>
      </c>
      <c r="AU651" s="357" t="str">
        <f t="shared" si="26"/>
        <v/>
      </c>
      <c r="AV651" s="357" t="str">
        <f t="shared" si="27"/>
        <v/>
      </c>
      <c r="AW651" s="357" t="str">
        <f t="shared" si="28"/>
        <v/>
      </c>
      <c r="AX651" s="357" t="str">
        <f t="shared" si="29"/>
        <v/>
      </c>
      <c r="AY651" s="357" t="str">
        <f t="shared" si="30"/>
        <v/>
      </c>
      <c r="AZ651" s="357" t="str">
        <f t="shared" si="31"/>
        <v/>
      </c>
      <c r="BA651" s="357" t="str">
        <f t="shared" si="32"/>
        <v/>
      </c>
      <c r="BB651" s="357" t="str">
        <f t="shared" si="33"/>
        <v/>
      </c>
      <c r="BC651" s="357" t="str">
        <f t="shared" si="34"/>
        <v/>
      </c>
      <c r="BD651" s="357" t="str">
        <f t="shared" si="35"/>
        <v/>
      </c>
      <c r="BE651" s="357" t="str">
        <f t="shared" si="36"/>
        <v/>
      </c>
      <c r="BF651" s="357" t="str">
        <f t="shared" si="37"/>
        <v/>
      </c>
      <c r="BG651" s="357" t="str">
        <f t="shared" si="38"/>
        <v/>
      </c>
      <c r="BH651" s="357" t="str">
        <f t="shared" si="39"/>
        <v/>
      </c>
      <c r="BI651" s="357" t="str">
        <f t="shared" si="40"/>
        <v/>
      </c>
      <c r="BJ651" s="357" t="str">
        <f t="shared" si="41"/>
        <v/>
      </c>
      <c r="BK651" s="357" t="str">
        <f t="shared" si="42"/>
        <v/>
      </c>
      <c r="BL651" s="357" t="str">
        <f t="shared" si="43"/>
        <v/>
      </c>
      <c r="BM651" s="357" t="str">
        <f t="shared" si="44"/>
        <v/>
      </c>
      <c r="BN651" s="357" t="str">
        <f t="shared" si="45"/>
        <v/>
      </c>
      <c r="BO651" s="357" t="str">
        <f t="shared" si="46"/>
        <v/>
      </c>
      <c r="BP651" s="357" t="str">
        <f t="shared" si="47"/>
        <v/>
      </c>
      <c r="BQ651" s="357" t="str">
        <f t="shared" si="48"/>
        <v/>
      </c>
      <c r="BR651" s="357" t="str">
        <f t="shared" si="49"/>
        <v/>
      </c>
      <c r="BS651" s="357" t="str">
        <f t="shared" si="50"/>
        <v/>
      </c>
      <c r="BT651" s="357" t="str">
        <f t="shared" si="51"/>
        <v/>
      </c>
      <c r="BU651" s="357" t="str">
        <f t="shared" si="52"/>
        <v/>
      </c>
      <c r="BV651" s="357" t="str">
        <f t="shared" si="53"/>
        <v/>
      </c>
      <c r="BW651" s="357" t="str">
        <f t="shared" si="54"/>
        <v/>
      </c>
      <c r="BX651" s="357" t="str">
        <f t="shared" si="55"/>
        <v/>
      </c>
      <c r="BY651" s="357" t="str">
        <f t="shared" si="56"/>
        <v/>
      </c>
      <c r="BZ651" s="357" t="str">
        <f t="shared" si="57"/>
        <v/>
      </c>
      <c r="CA651" s="357" t="str">
        <f t="shared" si="58"/>
        <v/>
      </c>
      <c r="CB651" s="357" t="str">
        <f t="shared" si="59"/>
        <v/>
      </c>
      <c r="CC651" s="357" t="str">
        <f t="shared" si="60"/>
        <v/>
      </c>
      <c r="CD651" s="357" t="str">
        <f t="shared" si="61"/>
        <v/>
      </c>
      <c r="CE651" s="357" t="str">
        <f t="shared" si="62"/>
        <v/>
      </c>
      <c r="CF651" s="357" t="str">
        <f t="shared" si="63"/>
        <v/>
      </c>
      <c r="CG651" s="357" t="str">
        <f t="shared" si="64"/>
        <v/>
      </c>
      <c r="CH651" s="357" t="str">
        <f t="shared" si="65"/>
        <v/>
      </c>
      <c r="CI651" s="357" t="str">
        <f t="shared" si="66"/>
        <v/>
      </c>
      <c r="CJ651" s="357" t="str">
        <f t="shared" si="67"/>
        <v/>
      </c>
      <c r="CK651" s="357" t="str">
        <f t="shared" si="68"/>
        <v/>
      </c>
      <c r="CL651" s="357" t="str">
        <f t="shared" si="69"/>
        <v/>
      </c>
      <c r="CM651" s="357" t="str">
        <f t="shared" si="70"/>
        <v/>
      </c>
      <c r="CN651" s="357" t="str">
        <f t="shared" si="71"/>
        <v/>
      </c>
      <c r="CO651" s="357" t="str">
        <f t="shared" si="72"/>
        <v/>
      </c>
      <c r="CP651" s="357" t="str">
        <f t="shared" si="73"/>
        <v/>
      </c>
      <c r="CQ651" s="357" t="str">
        <f t="shared" si="74"/>
        <v/>
      </c>
      <c r="CR651" s="357" t="str">
        <f t="shared" si="75"/>
        <v/>
      </c>
      <c r="CS651" s="357" t="str">
        <f t="shared" si="76"/>
        <v/>
      </c>
      <c r="CT651" s="357" t="str">
        <f t="shared" si="77"/>
        <v/>
      </c>
      <c r="CU651" s="357" t="str">
        <f t="shared" si="78"/>
        <v/>
      </c>
      <c r="CV651" s="357" t="str">
        <f t="shared" si="79"/>
        <v/>
      </c>
      <c r="CW651" s="357" t="str">
        <f t="shared" si="80"/>
        <v/>
      </c>
      <c r="CX651" s="357" t="str">
        <f t="shared" si="81"/>
        <v/>
      </c>
      <c r="CY651" s="357" t="str">
        <f t="shared" si="82"/>
        <v/>
      </c>
      <c r="CZ651" s="357" t="str">
        <f t="shared" si="83"/>
        <v/>
      </c>
      <c r="DA651" s="357" t="str">
        <f t="shared" si="84"/>
        <v/>
      </c>
      <c r="DB651" s="357" t="str">
        <f t="shared" si="85"/>
        <v/>
      </c>
      <c r="DC651" s="357" t="str">
        <f t="shared" si="86"/>
        <v/>
      </c>
      <c r="DD651" s="357" t="str">
        <f t="shared" si="87"/>
        <v/>
      </c>
      <c r="DE651" s="357" t="str">
        <f t="shared" si="88"/>
        <v/>
      </c>
      <c r="DF651" s="357" t="str">
        <f t="shared" si="89"/>
        <v/>
      </c>
      <c r="DG651" s="357" t="str">
        <f t="shared" si="90"/>
        <v/>
      </c>
      <c r="DH651" s="357" t="str">
        <f t="shared" si="91"/>
        <v/>
      </c>
      <c r="DI651" s="357" t="str">
        <f t="shared" si="92"/>
        <v/>
      </c>
      <c r="DJ651" s="357" t="str">
        <f t="shared" si="93"/>
        <v/>
      </c>
      <c r="DK651" s="357" t="str">
        <f t="shared" si="94"/>
        <v/>
      </c>
      <c r="DL651" s="357" t="str">
        <f t="shared" si="95"/>
        <v/>
      </c>
      <c r="DM651" s="357" t="str">
        <f t="shared" si="96"/>
        <v/>
      </c>
      <c r="DN651" s="357" t="str">
        <f t="shared" si="97"/>
        <v/>
      </c>
      <c r="DO651" s="357" t="str">
        <f t="shared" si="98"/>
        <v/>
      </c>
      <c r="DP651" s="357" t="str">
        <f t="shared" si="99"/>
        <v/>
      </c>
      <c r="DQ651" s="357" t="str">
        <f t="shared" si="100"/>
        <v/>
      </c>
      <c r="DR651" s="357" t="str">
        <f t="shared" si="101"/>
        <v/>
      </c>
      <c r="DS651" s="357" t="str">
        <f t="shared" si="102"/>
        <v/>
      </c>
      <c r="DT651" s="357" t="str">
        <f t="shared" si="103"/>
        <v/>
      </c>
      <c r="DU651" s="357" t="str">
        <f t="shared" si="104"/>
        <v/>
      </c>
      <c r="DV651" s="357" t="str">
        <f t="shared" si="105"/>
        <v/>
      </c>
      <c r="DW651" s="357" t="str">
        <f t="shared" si="106"/>
        <v/>
      </c>
      <c r="DX651" s="357" t="str">
        <f t="shared" si="107"/>
        <v/>
      </c>
      <c r="DY651" s="357" t="str">
        <f t="shared" si="108"/>
        <v/>
      </c>
      <c r="DZ651" s="357" t="str">
        <f t="shared" si="109"/>
        <v/>
      </c>
      <c r="EA651" s="357" t="str">
        <f t="shared" si="110"/>
        <v/>
      </c>
      <c r="EB651" s="357" t="str">
        <f t="shared" si="111"/>
        <v/>
      </c>
      <c r="EC651" s="357" t="str">
        <f t="shared" si="112"/>
        <v/>
      </c>
      <c r="ED651" s="357" t="str">
        <f t="shared" si="113"/>
        <v/>
      </c>
      <c r="EE651" s="357" t="str">
        <f t="shared" si="114"/>
        <v/>
      </c>
      <c r="EF651" s="357" t="str">
        <f t="shared" si="115"/>
        <v/>
      </c>
      <c r="EG651" s="357" t="str">
        <f t="shared" si="116"/>
        <v/>
      </c>
      <c r="EH651" s="357" t="str">
        <f t="shared" si="117"/>
        <v/>
      </c>
      <c r="EI651" s="357" t="str">
        <f t="shared" si="118"/>
        <v/>
      </c>
      <c r="EJ651" s="357" t="str">
        <f t="shared" si="119"/>
        <v/>
      </c>
      <c r="EK651" s="357" t="str">
        <f t="shared" si="120"/>
        <v/>
      </c>
      <c r="EL651" s="357" t="str">
        <f t="shared" si="121"/>
        <v/>
      </c>
      <c r="EM651" s="357" t="str">
        <f t="shared" si="122"/>
        <v/>
      </c>
      <c r="EN651" s="357" t="str">
        <f t="shared" si="123"/>
        <v/>
      </c>
      <c r="EO651" s="357" t="str">
        <f t="shared" si="124"/>
        <v/>
      </c>
      <c r="EP651" s="357" t="str">
        <f t="shared" si="125"/>
        <v/>
      </c>
      <c r="EQ651" s="357" t="str">
        <f t="shared" si="126"/>
        <v/>
      </c>
      <c r="ER651" s="357" t="str">
        <f t="shared" si="127"/>
        <v/>
      </c>
      <c r="ES651" s="357" t="str">
        <f t="shared" si="128"/>
        <v/>
      </c>
      <c r="ET651" s="357" t="str">
        <f t="shared" si="129"/>
        <v/>
      </c>
      <c r="EU651" s="357" t="str">
        <f t="shared" si="130"/>
        <v/>
      </c>
      <c r="EV651" s="357" t="str">
        <f t="shared" si="131"/>
        <v/>
      </c>
      <c r="EW651" s="357" t="str">
        <f t="shared" si="132"/>
        <v/>
      </c>
      <c r="EX651" s="357" t="str">
        <f t="shared" si="133"/>
        <v/>
      </c>
      <c r="EY651" s="357" t="str">
        <f t="shared" si="134"/>
        <v/>
      </c>
      <c r="EZ651" s="357" t="str">
        <f t="shared" si="135"/>
        <v/>
      </c>
      <c r="FA651" s="357" t="str">
        <f t="shared" si="136"/>
        <v/>
      </c>
      <c r="FB651" s="357" t="str">
        <f t="shared" si="137"/>
        <v/>
      </c>
      <c r="FC651" s="357" t="str">
        <f t="shared" si="138"/>
        <v/>
      </c>
      <c r="FD651" s="357" t="str">
        <f t="shared" si="139"/>
        <v/>
      </c>
      <c r="FE651" s="357" t="str">
        <f t="shared" si="140"/>
        <v/>
      </c>
      <c r="FF651" s="357" t="str">
        <f t="shared" si="141"/>
        <v/>
      </c>
      <c r="FG651" s="357" t="str">
        <f t="shared" si="142"/>
        <v/>
      </c>
      <c r="FH651" s="357" t="str">
        <f t="shared" si="143"/>
        <v/>
      </c>
      <c r="FI651" s="357" t="str">
        <f t="shared" si="144"/>
        <v/>
      </c>
      <c r="FJ651" s="357" t="str">
        <f t="shared" si="145"/>
        <v/>
      </c>
      <c r="FK651" s="357" t="str">
        <f t="shared" si="146"/>
        <v/>
      </c>
      <c r="FL651" s="357" t="str">
        <f t="shared" si="147"/>
        <v/>
      </c>
      <c r="FM651" s="357" t="str">
        <f t="shared" si="148"/>
        <v/>
      </c>
      <c r="FN651" s="357" t="str">
        <f t="shared" si="149"/>
        <v/>
      </c>
      <c r="FO651" s="357" t="str">
        <f t="shared" si="150"/>
        <v/>
      </c>
      <c r="FP651" s="357" t="str">
        <f t="shared" si="151"/>
        <v/>
      </c>
      <c r="FQ651" s="357" t="str">
        <f t="shared" si="152"/>
        <v/>
      </c>
      <c r="FR651" s="357" t="str">
        <f t="shared" si="153"/>
        <v/>
      </c>
      <c r="FS651" s="357" t="str">
        <f t="shared" si="154"/>
        <v/>
      </c>
      <c r="FT651" s="357" t="str">
        <f t="shared" si="155"/>
        <v/>
      </c>
      <c r="FU651" s="357" t="str">
        <f t="shared" si="156"/>
        <v/>
      </c>
      <c r="FV651" s="357" t="str">
        <f t="shared" si="157"/>
        <v/>
      </c>
      <c r="FW651" s="357" t="str">
        <f t="shared" si="158"/>
        <v/>
      </c>
      <c r="FX651" s="357" t="str">
        <f t="shared" si="159"/>
        <v/>
      </c>
      <c r="FY651" s="357" t="str">
        <f t="shared" si="160"/>
        <v/>
      </c>
      <c r="FZ651" s="357" t="str">
        <f t="shared" si="161"/>
        <v/>
      </c>
      <c r="GA651" s="357" t="str">
        <f t="shared" si="162"/>
        <v/>
      </c>
      <c r="GB651" s="357" t="str">
        <f t="shared" si="163"/>
        <v/>
      </c>
      <c r="GC651" s="357" t="str">
        <f t="shared" si="164"/>
        <v/>
      </c>
      <c r="GD651" s="357" t="str">
        <f t="shared" si="165"/>
        <v/>
      </c>
      <c r="GE651" s="357" t="str">
        <f t="shared" si="166"/>
        <v/>
      </c>
      <c r="GF651" s="357" t="str">
        <f t="shared" si="167"/>
        <v/>
      </c>
      <c r="GG651" s="357" t="str">
        <f t="shared" si="168"/>
        <v/>
      </c>
      <c r="GH651" s="357" t="str">
        <f t="shared" si="169"/>
        <v/>
      </c>
      <c r="GI651" s="357" t="str">
        <f t="shared" si="170"/>
        <v/>
      </c>
      <c r="GJ651" s="357" t="str">
        <f t="shared" si="171"/>
        <v/>
      </c>
      <c r="GK651" s="357" t="str">
        <f t="shared" si="172"/>
        <v/>
      </c>
      <c r="GL651" s="357" t="str">
        <f t="shared" si="173"/>
        <v/>
      </c>
      <c r="GM651" s="357" t="str">
        <f t="shared" si="174"/>
        <v/>
      </c>
      <c r="GN651" s="357" t="str">
        <f t="shared" si="175"/>
        <v/>
      </c>
      <c r="GO651" s="357" t="str">
        <f t="shared" si="176"/>
        <v/>
      </c>
      <c r="GP651" s="357" t="str">
        <f t="shared" si="177"/>
        <v/>
      </c>
      <c r="GQ651" s="357" t="str">
        <f t="shared" si="178"/>
        <v/>
      </c>
      <c r="GR651" s="357" t="str">
        <f t="shared" si="179"/>
        <v/>
      </c>
      <c r="GS651" s="357" t="str">
        <f t="shared" si="180"/>
        <v/>
      </c>
      <c r="GT651" s="357" t="str">
        <f t="shared" si="181"/>
        <v/>
      </c>
      <c r="GU651" s="357" t="str">
        <f t="shared" si="182"/>
        <v/>
      </c>
      <c r="GV651" s="357" t="str">
        <f t="shared" si="183"/>
        <v/>
      </c>
      <c r="GW651" s="357" t="str">
        <f t="shared" si="184"/>
        <v/>
      </c>
      <c r="GX651" s="357" t="str">
        <f t="shared" si="185"/>
        <v/>
      </c>
      <c r="GY651" s="357" t="str">
        <f t="shared" si="186"/>
        <v/>
      </c>
      <c r="GZ651" s="357" t="str">
        <f t="shared" si="187"/>
        <v/>
      </c>
      <c r="HA651" s="357" t="str">
        <f t="shared" si="188"/>
        <v/>
      </c>
      <c r="HB651" s="357" t="str">
        <f t="shared" si="189"/>
        <v/>
      </c>
      <c r="HC651" s="357" t="str">
        <f t="shared" si="190"/>
        <v/>
      </c>
      <c r="HD651" s="357" t="str">
        <f t="shared" si="191"/>
        <v/>
      </c>
      <c r="HE651" s="357" t="str">
        <f t="shared" si="192"/>
        <v/>
      </c>
      <c r="HF651" s="357" t="str">
        <f t="shared" si="193"/>
        <v/>
      </c>
      <c r="HG651" s="357" t="str">
        <f t="shared" si="194"/>
        <v/>
      </c>
      <c r="HH651" s="357" t="str">
        <f t="shared" si="195"/>
        <v/>
      </c>
      <c r="HI651" s="357" t="str">
        <f t="shared" si="196"/>
        <v/>
      </c>
      <c r="HJ651" s="357" t="str">
        <f t="shared" si="197"/>
        <v/>
      </c>
      <c r="HK651" s="357" t="str">
        <f t="shared" si="198"/>
        <v/>
      </c>
      <c r="HL651" s="357" t="str">
        <f t="shared" si="199"/>
        <v/>
      </c>
      <c r="HM651" s="357" t="str">
        <f t="shared" si="200"/>
        <v/>
      </c>
      <c r="HN651" s="357" t="str">
        <f t="shared" si="201"/>
        <v/>
      </c>
      <c r="HO651" s="357" t="str">
        <f t="shared" si="202"/>
        <v/>
      </c>
      <c r="HP651" s="357" t="str">
        <f t="shared" si="203"/>
        <v/>
      </c>
      <c r="HQ651" s="357" t="str">
        <f t="shared" si="204"/>
        <v/>
      </c>
      <c r="HR651" s="357" t="str">
        <f t="shared" si="205"/>
        <v/>
      </c>
      <c r="HS651" s="357" t="str">
        <f t="shared" si="206"/>
        <v/>
      </c>
      <c r="HT651" s="357" t="str">
        <f t="shared" si="207"/>
        <v/>
      </c>
      <c r="HU651" s="357" t="str">
        <f t="shared" si="208"/>
        <v/>
      </c>
      <c r="HV651" s="357" t="str">
        <f t="shared" si="209"/>
        <v/>
      </c>
      <c r="HW651" s="357" t="str">
        <f t="shared" si="210"/>
        <v/>
      </c>
      <c r="HX651" s="357" t="str">
        <f t="shared" si="211"/>
        <v/>
      </c>
      <c r="HY651" s="357" t="str">
        <f t="shared" si="212"/>
        <v/>
      </c>
      <c r="HZ651" s="1903" t="str">
        <f t="shared" si="213"/>
        <v/>
      </c>
      <c r="IA651" s="1903" t="str">
        <f t="shared" si="214"/>
        <v/>
      </c>
      <c r="IB651" s="1903" t="str">
        <f t="shared" si="215"/>
        <v/>
      </c>
      <c r="IC651" s="1903" t="str">
        <f t="shared" si="216"/>
        <v/>
      </c>
      <c r="ID651" s="1903" t="str">
        <f t="shared" si="217"/>
        <v/>
      </c>
      <c r="IE651" s="1903" t="str">
        <f t="shared" si="218"/>
        <v/>
      </c>
      <c r="IF651" s="1903" t="str">
        <f t="shared" si="219"/>
        <v/>
      </c>
      <c r="IG651" s="1903" t="str">
        <f t="shared" si="220"/>
        <v/>
      </c>
      <c r="IH651" s="1903" t="str">
        <f t="shared" si="221"/>
        <v/>
      </c>
      <c r="II651" s="1903" t="str">
        <f t="shared" si="222"/>
        <v/>
      </c>
      <c r="IJ651" s="1903" t="str">
        <f t="shared" si="223"/>
        <v/>
      </c>
      <c r="IK651" s="1903" t="str">
        <f t="shared" si="224"/>
        <v/>
      </c>
      <c r="IL651" s="1903" t="str">
        <f t="shared" si="225"/>
        <v/>
      </c>
      <c r="IM651" s="1903" t="str">
        <f t="shared" si="226"/>
        <v/>
      </c>
      <c r="IN651" s="1903" t="str">
        <f t="shared" si="227"/>
        <v/>
      </c>
      <c r="IO651" s="1903" t="str">
        <f t="shared" si="228"/>
        <v/>
      </c>
      <c r="IP651" s="1903" t="str">
        <f t="shared" si="229"/>
        <v/>
      </c>
      <c r="IQ651" s="1903" t="str">
        <f t="shared" si="230"/>
        <v/>
      </c>
      <c r="IR651" s="1903" t="str">
        <f t="shared" si="231"/>
        <v/>
      </c>
      <c r="IS651" s="1903" t="str">
        <f t="shared" si="232"/>
        <v/>
      </c>
      <c r="IT651" s="1903" t="str">
        <f t="shared" si="233"/>
        <v/>
      </c>
      <c r="IU651" s="1903" t="str">
        <f t="shared" si="234"/>
        <v/>
      </c>
      <c r="IV651" s="1903" t="str">
        <f t="shared" si="235"/>
        <v/>
      </c>
      <c r="IW651" s="1903" t="str">
        <f t="shared" si="236"/>
        <v/>
      </c>
      <c r="IX651" s="1903" t="str">
        <f t="shared" si="237"/>
        <v/>
      </c>
      <c r="IY651" s="1903" t="str">
        <f t="shared" si="238"/>
        <v/>
      </c>
      <c r="IZ651" s="1903" t="str">
        <f t="shared" si="239"/>
        <v/>
      </c>
      <c r="JA651" s="1903" t="str">
        <f t="shared" si="240"/>
        <v/>
      </c>
      <c r="JB651" s="1903" t="str">
        <f t="shared" si="241"/>
        <v/>
      </c>
      <c r="JC651" s="1903" t="str">
        <f t="shared" si="242"/>
        <v/>
      </c>
      <c r="JD651" s="1903" t="str">
        <f t="shared" si="243"/>
        <v/>
      </c>
      <c r="JE651" s="1903" t="str">
        <f t="shared" si="244"/>
        <v/>
      </c>
      <c r="JF651" s="1903" t="str">
        <f t="shared" si="245"/>
        <v/>
      </c>
      <c r="JG651" s="1903" t="str">
        <f t="shared" si="246"/>
        <v/>
      </c>
      <c r="JH651" s="1903" t="str">
        <f t="shared" si="247"/>
        <v/>
      </c>
      <c r="JI651" s="1903" t="str">
        <f t="shared" si="248"/>
        <v/>
      </c>
      <c r="JJ651" s="1903" t="str">
        <f t="shared" si="249"/>
        <v/>
      </c>
      <c r="JK651" s="1903" t="str">
        <f t="shared" si="250"/>
        <v/>
      </c>
      <c r="JL651" s="1903" t="str">
        <f t="shared" si="251"/>
        <v/>
      </c>
      <c r="JM651" s="1903" t="str">
        <f t="shared" si="252"/>
        <v/>
      </c>
      <c r="JN651" s="1903" t="str">
        <f t="shared" si="253"/>
        <v/>
      </c>
      <c r="JO651" s="1903" t="str">
        <f t="shared" si="254"/>
        <v/>
      </c>
      <c r="JP651" s="1903" t="str">
        <f t="shared" si="255"/>
        <v/>
      </c>
      <c r="JQ651" s="1903" t="str">
        <f t="shared" si="256"/>
        <v/>
      </c>
      <c r="JR651" s="1903" t="str">
        <f t="shared" si="257"/>
        <v/>
      </c>
      <c r="JS651" s="1903" t="str">
        <f t="shared" si="258"/>
        <v/>
      </c>
      <c r="JT651" s="1903" t="str">
        <f t="shared" si="259"/>
        <v/>
      </c>
      <c r="JU651" s="1903" t="str">
        <f t="shared" si="260"/>
        <v/>
      </c>
      <c r="JV651" s="1903" t="str">
        <f t="shared" si="261"/>
        <v/>
      </c>
      <c r="JW651" s="1903" t="str">
        <f t="shared" si="262"/>
        <v/>
      </c>
      <c r="JX651" s="1903" t="str">
        <f t="shared" si="263"/>
        <v/>
      </c>
      <c r="JY651" s="1903" t="str">
        <f t="shared" si="264"/>
        <v/>
      </c>
      <c r="JZ651" s="1903" t="str">
        <f t="shared" si="265"/>
        <v/>
      </c>
      <c r="KA651" s="1903" t="str">
        <f t="shared" si="266"/>
        <v/>
      </c>
      <c r="KB651" s="1903" t="str">
        <f t="shared" si="267"/>
        <v/>
      </c>
      <c r="KC651" s="1903" t="str">
        <f t="shared" si="268"/>
        <v/>
      </c>
      <c r="KD651" s="1903" t="str">
        <f t="shared" si="269"/>
        <v/>
      </c>
      <c r="KE651" s="1903" t="str">
        <f t="shared" si="270"/>
        <v/>
      </c>
      <c r="KF651" s="1903" t="str">
        <f t="shared" si="271"/>
        <v/>
      </c>
      <c r="KG651" s="1903" t="str">
        <f t="shared" si="272"/>
        <v/>
      </c>
      <c r="KH651" s="1903" t="str">
        <f t="shared" si="273"/>
        <v/>
      </c>
      <c r="KI651" s="1903" t="str">
        <f t="shared" si="274"/>
        <v/>
      </c>
      <c r="KJ651" s="1903" t="str">
        <f t="shared" si="275"/>
        <v/>
      </c>
      <c r="KK651" s="1903" t="str">
        <f t="shared" si="276"/>
        <v/>
      </c>
      <c r="KL651" s="1903" t="str">
        <f t="shared" si="277"/>
        <v/>
      </c>
      <c r="KM651" s="1903" t="str">
        <f t="shared" si="278"/>
        <v/>
      </c>
      <c r="KN651" s="1903" t="str">
        <f t="shared" si="279"/>
        <v/>
      </c>
      <c r="KO651" s="1903" t="str">
        <f t="shared" si="280"/>
        <v/>
      </c>
      <c r="KP651" s="1903" t="str">
        <f t="shared" si="281"/>
        <v/>
      </c>
      <c r="KQ651" s="1903" t="str">
        <f t="shared" si="282"/>
        <v/>
      </c>
      <c r="KR651" s="1903" t="str">
        <f t="shared" si="283"/>
        <v/>
      </c>
      <c r="KS651" s="1903" t="str">
        <f t="shared" si="284"/>
        <v/>
      </c>
      <c r="KT651" s="1903" t="str">
        <f t="shared" si="285"/>
        <v/>
      </c>
      <c r="KU651" s="1903" t="str">
        <f t="shared" si="286"/>
        <v/>
      </c>
      <c r="KV651" s="1903" t="str">
        <f t="shared" si="287"/>
        <v/>
      </c>
      <c r="KW651" s="1903" t="str">
        <f t="shared" si="288"/>
        <v/>
      </c>
      <c r="KX651" s="1903" t="str">
        <f t="shared" si="289"/>
        <v/>
      </c>
      <c r="KY651" s="1903" t="str">
        <f t="shared" si="290"/>
        <v/>
      </c>
      <c r="KZ651" s="1903" t="str">
        <f t="shared" si="291"/>
        <v/>
      </c>
      <c r="LA651" s="1903" t="str">
        <f t="shared" si="292"/>
        <v/>
      </c>
      <c r="LB651" s="1903" t="str">
        <f t="shared" si="293"/>
        <v/>
      </c>
      <c r="LC651" s="1903" t="str">
        <f t="shared" si="294"/>
        <v/>
      </c>
      <c r="LD651" s="1903" t="str">
        <f t="shared" si="295"/>
        <v/>
      </c>
      <c r="LE651" s="1903" t="str">
        <f t="shared" si="296"/>
        <v/>
      </c>
      <c r="LF651" s="1903" t="str">
        <f t="shared" si="297"/>
        <v/>
      </c>
      <c r="LG651" s="1750" t="str">
        <f t="shared" si="298"/>
        <v/>
      </c>
      <c r="LH651" s="1750" t="str">
        <f t="shared" si="299"/>
        <v/>
      </c>
      <c r="LI651" s="1750" t="str">
        <f t="shared" si="300"/>
        <v/>
      </c>
      <c r="LJ651" s="1750" t="str">
        <f t="shared" si="301"/>
        <v/>
      </c>
      <c r="LK651" s="1750" t="str">
        <f t="shared" si="302"/>
        <v/>
      </c>
      <c r="LL651" s="357" t="str">
        <f t="shared" si="303"/>
        <v/>
      </c>
      <c r="LM651" s="357" t="str">
        <f t="shared" si="304"/>
        <v/>
      </c>
      <c r="LN651" s="357" t="str">
        <f t="shared" si="305"/>
        <v/>
      </c>
      <c r="LO651" s="357" t="str">
        <f t="shared" si="306"/>
        <v/>
      </c>
      <c r="LP651" s="357" t="str">
        <f t="shared" si="307"/>
        <v/>
      </c>
      <c r="LQ651" s="357" t="str">
        <f t="shared" si="308"/>
        <v/>
      </c>
      <c r="LR651" s="357" t="str">
        <f t="shared" si="309"/>
        <v/>
      </c>
      <c r="LS651" s="357" t="str">
        <f t="shared" si="310"/>
        <v/>
      </c>
      <c r="LT651" s="357" t="str">
        <f t="shared" si="311"/>
        <v/>
      </c>
      <c r="LU651" s="357" t="str">
        <f t="shared" si="312"/>
        <v/>
      </c>
      <c r="LV651" s="357" t="str">
        <f t="shared" si="313"/>
        <v/>
      </c>
      <c r="LW651" s="357" t="str">
        <f t="shared" si="314"/>
        <v/>
      </c>
      <c r="LX651" s="357" t="str">
        <f t="shared" si="315"/>
        <v/>
      </c>
      <c r="LY651" s="357" t="str">
        <f t="shared" si="316"/>
        <v/>
      </c>
      <c r="LZ651" s="357" t="str">
        <f t="shared" si="317"/>
        <v/>
      </c>
      <c r="MA651" s="357" t="str">
        <f t="shared" si="318"/>
        <v/>
      </c>
      <c r="MB651" s="357" t="str">
        <f t="shared" si="319"/>
        <v/>
      </c>
      <c r="MC651" s="357" t="str">
        <f t="shared" si="320"/>
        <v/>
      </c>
      <c r="MD651" s="357" t="str">
        <f t="shared" si="321"/>
        <v/>
      </c>
      <c r="ME651" s="357" t="str">
        <f t="shared" si="322"/>
        <v/>
      </c>
      <c r="MF651" s="1750">
        <f t="shared" si="323"/>
        <v>0</v>
      </c>
      <c r="MG651" s="1750">
        <f t="shared" si="324"/>
        <v>0</v>
      </c>
      <c r="MH651" s="1750">
        <f t="shared" si="325"/>
        <v>0</v>
      </c>
      <c r="MI651" s="1750">
        <f t="shared" si="326"/>
        <v>0</v>
      </c>
      <c r="MJ651" s="1750">
        <f t="shared" si="327"/>
        <v>0</v>
      </c>
      <c r="MK651" s="1750">
        <f t="shared" si="333"/>
        <v>0</v>
      </c>
      <c r="ML651" s="1750">
        <f t="shared" si="334"/>
        <v>0</v>
      </c>
      <c r="MM651" s="1750">
        <f t="shared" si="335"/>
        <v>0</v>
      </c>
      <c r="MN651" s="1750">
        <f t="shared" si="336"/>
        <v>0</v>
      </c>
      <c r="MO651" s="1750">
        <f t="shared" si="337"/>
        <v>0</v>
      </c>
      <c r="MP651" s="1750">
        <f t="shared" si="328"/>
        <v>0</v>
      </c>
      <c r="MQ651" s="1750">
        <f t="shared" si="329"/>
        <v>0</v>
      </c>
      <c r="MR651" s="1750">
        <f t="shared" si="330"/>
        <v>0</v>
      </c>
      <c r="MS651" s="1750">
        <f t="shared" si="331"/>
        <v>0</v>
      </c>
      <c r="MT651" s="1750">
        <f t="shared" si="332"/>
        <v>0</v>
      </c>
      <c r="NP651" s="357" t="s">
        <v>6416</v>
      </c>
    </row>
    <row r="652" spans="1:380" ht="13.9" customHeight="1">
      <c r="A652" s="1901" t="str">
        <f t="shared" si="0"/>
        <v/>
      </c>
      <c r="B652" s="2228" t="str">
        <f>'Part V-Revenues &amp; Expenses'!B14</f>
        <v>Unrestricted</v>
      </c>
      <c r="C652" s="2229">
        <f>'Part V-Revenues &amp; Expenses'!C14</f>
        <v>0</v>
      </c>
      <c r="D652" s="2230">
        <f>'Part V-Revenues &amp; Expenses'!D14</f>
        <v>0</v>
      </c>
      <c r="E652" s="2231">
        <f>'Part V-Revenues &amp; Expenses'!E14</f>
        <v>0</v>
      </c>
      <c r="F652" s="2231">
        <f>'Part V-Revenues &amp; Expenses'!F14</f>
        <v>0</v>
      </c>
      <c r="G652" s="2231">
        <f>'Part V-Revenues &amp; Expenses'!G14</f>
        <v>0</v>
      </c>
      <c r="H652" s="2231">
        <f>'Part V-Revenues &amp; Expenses'!H14</f>
        <v>0</v>
      </c>
      <c r="I652" s="2231">
        <f>'Part V-Revenues &amp; Expenses'!I14</f>
        <v>0</v>
      </c>
      <c r="J652" s="2231">
        <f>'Part V-Revenues &amp; Expenses'!J14</f>
        <v>0</v>
      </c>
      <c r="K652" s="2232">
        <f>'Part V-Revenues &amp; Expenses'!K14</f>
        <v>0</v>
      </c>
      <c r="L652" s="2233">
        <f t="shared" si="1"/>
        <v>0</v>
      </c>
      <c r="M652" s="2233">
        <f t="shared" si="2"/>
        <v>0</v>
      </c>
      <c r="N652" s="2094">
        <f>'Part V-Revenues &amp; Expenses'!N14</f>
        <v>0</v>
      </c>
      <c r="O652" s="2234">
        <f>'Part V-Revenues &amp; Expenses'!O14</f>
        <v>0</v>
      </c>
      <c r="P652" s="2094">
        <f>'Part V-Revenues &amp; Expenses'!P14</f>
        <v>0</v>
      </c>
      <c r="Q652" s="2235">
        <f>'Part V-Revenues &amp; Expenses'!Q14</f>
        <v>0</v>
      </c>
      <c r="R652" s="2236"/>
      <c r="S652" s="2237"/>
      <c r="T652" s="2160"/>
      <c r="U652" s="2160"/>
      <c r="V652" s="2160"/>
      <c r="W652" s="2160"/>
      <c r="X652" s="357" t="str">
        <f t="shared" si="3"/>
        <v/>
      </c>
      <c r="Y652" s="357" t="str">
        <f t="shared" si="4"/>
        <v/>
      </c>
      <c r="Z652" s="357" t="str">
        <f t="shared" si="5"/>
        <v/>
      </c>
      <c r="AA652" s="357" t="str">
        <f t="shared" si="6"/>
        <v/>
      </c>
      <c r="AB652" s="357" t="str">
        <f t="shared" si="7"/>
        <v/>
      </c>
      <c r="AC652" s="357" t="str">
        <f t="shared" si="8"/>
        <v/>
      </c>
      <c r="AD652" s="357" t="str">
        <f t="shared" si="9"/>
        <v/>
      </c>
      <c r="AE652" s="357" t="str">
        <f t="shared" si="10"/>
        <v/>
      </c>
      <c r="AF652" s="357" t="str">
        <f t="shared" si="11"/>
        <v/>
      </c>
      <c r="AG652" s="357" t="str">
        <f t="shared" si="12"/>
        <v/>
      </c>
      <c r="AH652" s="357" t="str">
        <f t="shared" si="13"/>
        <v/>
      </c>
      <c r="AI652" s="357" t="str">
        <f t="shared" si="14"/>
        <v/>
      </c>
      <c r="AJ652" s="357" t="str">
        <f t="shared" si="15"/>
        <v/>
      </c>
      <c r="AK652" s="357" t="str">
        <f t="shared" si="16"/>
        <v/>
      </c>
      <c r="AL652" s="357" t="str">
        <f t="shared" si="17"/>
        <v/>
      </c>
      <c r="AM652" s="357" t="str">
        <f t="shared" si="18"/>
        <v/>
      </c>
      <c r="AN652" s="357" t="str">
        <f t="shared" si="19"/>
        <v/>
      </c>
      <c r="AO652" s="357" t="str">
        <f t="shared" si="20"/>
        <v/>
      </c>
      <c r="AP652" s="357" t="str">
        <f t="shared" si="21"/>
        <v/>
      </c>
      <c r="AQ652" s="357" t="str">
        <f t="shared" si="22"/>
        <v/>
      </c>
      <c r="AR652" s="357" t="str">
        <f t="shared" si="23"/>
        <v/>
      </c>
      <c r="AS652" s="357" t="str">
        <f t="shared" si="24"/>
        <v/>
      </c>
      <c r="AT652" s="357" t="str">
        <f t="shared" si="25"/>
        <v/>
      </c>
      <c r="AU652" s="357" t="str">
        <f t="shared" si="26"/>
        <v/>
      </c>
      <c r="AV652" s="357" t="str">
        <f t="shared" si="27"/>
        <v/>
      </c>
      <c r="AW652" s="357" t="str">
        <f t="shared" si="28"/>
        <v/>
      </c>
      <c r="AX652" s="357" t="str">
        <f t="shared" si="29"/>
        <v/>
      </c>
      <c r="AY652" s="357" t="str">
        <f t="shared" si="30"/>
        <v/>
      </c>
      <c r="AZ652" s="357" t="str">
        <f t="shared" si="31"/>
        <v/>
      </c>
      <c r="BA652" s="357" t="str">
        <f t="shared" si="32"/>
        <v/>
      </c>
      <c r="BB652" s="357" t="str">
        <f t="shared" si="33"/>
        <v/>
      </c>
      <c r="BC652" s="357" t="str">
        <f t="shared" si="34"/>
        <v/>
      </c>
      <c r="BD652" s="357" t="str">
        <f t="shared" si="35"/>
        <v/>
      </c>
      <c r="BE652" s="357" t="str">
        <f t="shared" si="36"/>
        <v/>
      </c>
      <c r="BF652" s="357" t="str">
        <f t="shared" si="37"/>
        <v/>
      </c>
      <c r="BG652" s="357" t="str">
        <f t="shared" si="38"/>
        <v/>
      </c>
      <c r="BH652" s="357" t="str">
        <f t="shared" si="39"/>
        <v/>
      </c>
      <c r="BI652" s="357" t="str">
        <f t="shared" si="40"/>
        <v/>
      </c>
      <c r="BJ652" s="357" t="str">
        <f t="shared" si="41"/>
        <v/>
      </c>
      <c r="BK652" s="357" t="str">
        <f t="shared" si="42"/>
        <v/>
      </c>
      <c r="BL652" s="357" t="str">
        <f t="shared" si="43"/>
        <v/>
      </c>
      <c r="BM652" s="357" t="str">
        <f t="shared" si="44"/>
        <v/>
      </c>
      <c r="BN652" s="357" t="str">
        <f t="shared" si="45"/>
        <v/>
      </c>
      <c r="BO652" s="357" t="str">
        <f t="shared" si="46"/>
        <v/>
      </c>
      <c r="BP652" s="357" t="str">
        <f t="shared" si="47"/>
        <v/>
      </c>
      <c r="BQ652" s="357" t="str">
        <f t="shared" si="48"/>
        <v/>
      </c>
      <c r="BR652" s="357" t="str">
        <f t="shared" si="49"/>
        <v/>
      </c>
      <c r="BS652" s="357" t="str">
        <f t="shared" si="50"/>
        <v/>
      </c>
      <c r="BT652" s="357" t="str">
        <f t="shared" si="51"/>
        <v/>
      </c>
      <c r="BU652" s="357" t="str">
        <f t="shared" si="52"/>
        <v/>
      </c>
      <c r="BV652" s="357" t="str">
        <f t="shared" si="53"/>
        <v/>
      </c>
      <c r="BW652" s="357" t="str">
        <f t="shared" si="54"/>
        <v/>
      </c>
      <c r="BX652" s="357" t="str">
        <f t="shared" si="55"/>
        <v/>
      </c>
      <c r="BY652" s="357" t="str">
        <f t="shared" si="56"/>
        <v/>
      </c>
      <c r="BZ652" s="357" t="str">
        <f t="shared" si="57"/>
        <v/>
      </c>
      <c r="CA652" s="357" t="str">
        <f t="shared" si="58"/>
        <v/>
      </c>
      <c r="CB652" s="357" t="str">
        <f t="shared" si="59"/>
        <v/>
      </c>
      <c r="CC652" s="357" t="str">
        <f t="shared" si="60"/>
        <v/>
      </c>
      <c r="CD652" s="357" t="str">
        <f t="shared" si="61"/>
        <v/>
      </c>
      <c r="CE652" s="357" t="str">
        <f t="shared" si="62"/>
        <v/>
      </c>
      <c r="CF652" s="357" t="str">
        <f t="shared" si="63"/>
        <v/>
      </c>
      <c r="CG652" s="357" t="str">
        <f t="shared" si="64"/>
        <v/>
      </c>
      <c r="CH652" s="357" t="str">
        <f t="shared" si="65"/>
        <v/>
      </c>
      <c r="CI652" s="357" t="str">
        <f t="shared" si="66"/>
        <v/>
      </c>
      <c r="CJ652" s="357" t="str">
        <f t="shared" si="67"/>
        <v/>
      </c>
      <c r="CK652" s="357" t="str">
        <f t="shared" si="68"/>
        <v/>
      </c>
      <c r="CL652" s="357" t="str">
        <f t="shared" si="69"/>
        <v/>
      </c>
      <c r="CM652" s="357" t="str">
        <f t="shared" si="70"/>
        <v/>
      </c>
      <c r="CN652" s="357" t="str">
        <f t="shared" si="71"/>
        <v/>
      </c>
      <c r="CO652" s="357" t="str">
        <f t="shared" si="72"/>
        <v/>
      </c>
      <c r="CP652" s="357" t="str">
        <f t="shared" si="73"/>
        <v/>
      </c>
      <c r="CQ652" s="357" t="str">
        <f t="shared" si="74"/>
        <v/>
      </c>
      <c r="CR652" s="357" t="str">
        <f t="shared" si="75"/>
        <v/>
      </c>
      <c r="CS652" s="357" t="str">
        <f t="shared" si="76"/>
        <v/>
      </c>
      <c r="CT652" s="357" t="str">
        <f t="shared" si="77"/>
        <v/>
      </c>
      <c r="CU652" s="357" t="str">
        <f t="shared" si="78"/>
        <v/>
      </c>
      <c r="CV652" s="357" t="str">
        <f t="shared" si="79"/>
        <v/>
      </c>
      <c r="CW652" s="357" t="str">
        <f t="shared" si="80"/>
        <v/>
      </c>
      <c r="CX652" s="357" t="str">
        <f t="shared" si="81"/>
        <v/>
      </c>
      <c r="CY652" s="357" t="str">
        <f t="shared" si="82"/>
        <v/>
      </c>
      <c r="CZ652" s="357" t="str">
        <f t="shared" si="83"/>
        <v/>
      </c>
      <c r="DA652" s="357" t="str">
        <f t="shared" si="84"/>
        <v/>
      </c>
      <c r="DB652" s="357" t="str">
        <f t="shared" si="85"/>
        <v/>
      </c>
      <c r="DC652" s="357" t="str">
        <f t="shared" si="86"/>
        <v/>
      </c>
      <c r="DD652" s="357" t="str">
        <f t="shared" si="87"/>
        <v/>
      </c>
      <c r="DE652" s="357" t="str">
        <f t="shared" si="88"/>
        <v/>
      </c>
      <c r="DF652" s="357" t="str">
        <f t="shared" si="89"/>
        <v/>
      </c>
      <c r="DG652" s="357" t="str">
        <f t="shared" si="90"/>
        <v/>
      </c>
      <c r="DH652" s="357" t="str">
        <f t="shared" si="91"/>
        <v/>
      </c>
      <c r="DI652" s="357" t="str">
        <f t="shared" si="92"/>
        <v/>
      </c>
      <c r="DJ652" s="357" t="str">
        <f t="shared" si="93"/>
        <v/>
      </c>
      <c r="DK652" s="357" t="str">
        <f t="shared" si="94"/>
        <v/>
      </c>
      <c r="DL652" s="357" t="str">
        <f t="shared" si="95"/>
        <v/>
      </c>
      <c r="DM652" s="357" t="str">
        <f t="shared" si="96"/>
        <v/>
      </c>
      <c r="DN652" s="357" t="str">
        <f t="shared" si="97"/>
        <v/>
      </c>
      <c r="DO652" s="357" t="str">
        <f t="shared" si="98"/>
        <v/>
      </c>
      <c r="DP652" s="357" t="str">
        <f t="shared" si="99"/>
        <v/>
      </c>
      <c r="DQ652" s="357" t="str">
        <f t="shared" si="100"/>
        <v/>
      </c>
      <c r="DR652" s="357" t="str">
        <f t="shared" si="101"/>
        <v/>
      </c>
      <c r="DS652" s="357" t="str">
        <f t="shared" si="102"/>
        <v/>
      </c>
      <c r="DT652" s="357" t="str">
        <f t="shared" si="103"/>
        <v/>
      </c>
      <c r="DU652" s="357" t="str">
        <f t="shared" si="104"/>
        <v/>
      </c>
      <c r="DV652" s="357" t="str">
        <f t="shared" si="105"/>
        <v/>
      </c>
      <c r="DW652" s="357" t="str">
        <f t="shared" si="106"/>
        <v/>
      </c>
      <c r="DX652" s="357" t="str">
        <f t="shared" si="107"/>
        <v/>
      </c>
      <c r="DY652" s="357" t="str">
        <f t="shared" si="108"/>
        <v/>
      </c>
      <c r="DZ652" s="357" t="str">
        <f t="shared" si="109"/>
        <v/>
      </c>
      <c r="EA652" s="357" t="str">
        <f t="shared" si="110"/>
        <v/>
      </c>
      <c r="EB652" s="357" t="str">
        <f t="shared" si="111"/>
        <v/>
      </c>
      <c r="EC652" s="357" t="str">
        <f t="shared" si="112"/>
        <v/>
      </c>
      <c r="ED652" s="357" t="str">
        <f t="shared" si="113"/>
        <v/>
      </c>
      <c r="EE652" s="357" t="str">
        <f t="shared" si="114"/>
        <v/>
      </c>
      <c r="EF652" s="357" t="str">
        <f t="shared" si="115"/>
        <v/>
      </c>
      <c r="EG652" s="357" t="str">
        <f t="shared" si="116"/>
        <v/>
      </c>
      <c r="EH652" s="357" t="str">
        <f t="shared" si="117"/>
        <v/>
      </c>
      <c r="EI652" s="357" t="str">
        <f t="shared" si="118"/>
        <v/>
      </c>
      <c r="EJ652" s="357" t="str">
        <f t="shared" si="119"/>
        <v/>
      </c>
      <c r="EK652" s="357" t="str">
        <f t="shared" si="120"/>
        <v/>
      </c>
      <c r="EL652" s="357" t="str">
        <f t="shared" si="121"/>
        <v/>
      </c>
      <c r="EM652" s="357" t="str">
        <f t="shared" si="122"/>
        <v/>
      </c>
      <c r="EN652" s="357" t="str">
        <f t="shared" si="123"/>
        <v/>
      </c>
      <c r="EO652" s="357" t="str">
        <f t="shared" si="124"/>
        <v/>
      </c>
      <c r="EP652" s="357" t="str">
        <f t="shared" si="125"/>
        <v/>
      </c>
      <c r="EQ652" s="357" t="str">
        <f t="shared" si="126"/>
        <v/>
      </c>
      <c r="ER652" s="357" t="str">
        <f t="shared" si="127"/>
        <v/>
      </c>
      <c r="ES652" s="357" t="str">
        <f t="shared" si="128"/>
        <v/>
      </c>
      <c r="ET652" s="357" t="str">
        <f t="shared" si="129"/>
        <v/>
      </c>
      <c r="EU652" s="357" t="str">
        <f t="shared" si="130"/>
        <v/>
      </c>
      <c r="EV652" s="357" t="str">
        <f t="shared" si="131"/>
        <v/>
      </c>
      <c r="EW652" s="357" t="str">
        <f t="shared" si="132"/>
        <v/>
      </c>
      <c r="EX652" s="357" t="str">
        <f t="shared" si="133"/>
        <v/>
      </c>
      <c r="EY652" s="357" t="str">
        <f t="shared" si="134"/>
        <v/>
      </c>
      <c r="EZ652" s="357" t="str">
        <f t="shared" si="135"/>
        <v/>
      </c>
      <c r="FA652" s="357" t="str">
        <f t="shared" si="136"/>
        <v/>
      </c>
      <c r="FB652" s="357" t="str">
        <f t="shared" si="137"/>
        <v/>
      </c>
      <c r="FC652" s="357" t="str">
        <f t="shared" si="138"/>
        <v/>
      </c>
      <c r="FD652" s="357" t="str">
        <f t="shared" si="139"/>
        <v/>
      </c>
      <c r="FE652" s="357" t="str">
        <f t="shared" si="140"/>
        <v/>
      </c>
      <c r="FF652" s="357" t="str">
        <f t="shared" si="141"/>
        <v/>
      </c>
      <c r="FG652" s="357" t="str">
        <f t="shared" si="142"/>
        <v/>
      </c>
      <c r="FH652" s="357" t="str">
        <f t="shared" si="143"/>
        <v/>
      </c>
      <c r="FI652" s="357" t="str">
        <f t="shared" si="144"/>
        <v/>
      </c>
      <c r="FJ652" s="357" t="str">
        <f t="shared" si="145"/>
        <v/>
      </c>
      <c r="FK652" s="357" t="str">
        <f t="shared" si="146"/>
        <v/>
      </c>
      <c r="FL652" s="357" t="str">
        <f t="shared" si="147"/>
        <v/>
      </c>
      <c r="FM652" s="357" t="str">
        <f t="shared" si="148"/>
        <v/>
      </c>
      <c r="FN652" s="357" t="str">
        <f t="shared" si="149"/>
        <v/>
      </c>
      <c r="FO652" s="357" t="str">
        <f t="shared" si="150"/>
        <v/>
      </c>
      <c r="FP652" s="357" t="str">
        <f t="shared" si="151"/>
        <v/>
      </c>
      <c r="FQ652" s="357" t="str">
        <f t="shared" si="152"/>
        <v/>
      </c>
      <c r="FR652" s="357" t="str">
        <f t="shared" si="153"/>
        <v/>
      </c>
      <c r="FS652" s="357" t="str">
        <f t="shared" si="154"/>
        <v/>
      </c>
      <c r="FT652" s="357" t="str">
        <f t="shared" si="155"/>
        <v/>
      </c>
      <c r="FU652" s="357" t="str">
        <f t="shared" si="156"/>
        <v/>
      </c>
      <c r="FV652" s="357" t="str">
        <f t="shared" si="157"/>
        <v/>
      </c>
      <c r="FW652" s="357" t="str">
        <f t="shared" si="158"/>
        <v/>
      </c>
      <c r="FX652" s="357" t="str">
        <f t="shared" si="159"/>
        <v/>
      </c>
      <c r="FY652" s="357" t="str">
        <f t="shared" si="160"/>
        <v/>
      </c>
      <c r="FZ652" s="357" t="str">
        <f t="shared" si="161"/>
        <v/>
      </c>
      <c r="GA652" s="357" t="str">
        <f t="shared" si="162"/>
        <v/>
      </c>
      <c r="GB652" s="357" t="str">
        <f t="shared" si="163"/>
        <v/>
      </c>
      <c r="GC652" s="357" t="str">
        <f t="shared" si="164"/>
        <v/>
      </c>
      <c r="GD652" s="357" t="str">
        <f t="shared" si="165"/>
        <v/>
      </c>
      <c r="GE652" s="357" t="str">
        <f t="shared" si="166"/>
        <v/>
      </c>
      <c r="GF652" s="357" t="str">
        <f t="shared" si="167"/>
        <v/>
      </c>
      <c r="GG652" s="357" t="str">
        <f t="shared" si="168"/>
        <v/>
      </c>
      <c r="GH652" s="357" t="str">
        <f t="shared" si="169"/>
        <v/>
      </c>
      <c r="GI652" s="357" t="str">
        <f t="shared" si="170"/>
        <v/>
      </c>
      <c r="GJ652" s="357" t="str">
        <f t="shared" si="171"/>
        <v/>
      </c>
      <c r="GK652" s="357" t="str">
        <f t="shared" si="172"/>
        <v/>
      </c>
      <c r="GL652" s="357" t="str">
        <f t="shared" si="173"/>
        <v/>
      </c>
      <c r="GM652" s="357" t="str">
        <f t="shared" si="174"/>
        <v/>
      </c>
      <c r="GN652" s="357" t="str">
        <f t="shared" si="175"/>
        <v/>
      </c>
      <c r="GO652" s="357" t="str">
        <f t="shared" si="176"/>
        <v/>
      </c>
      <c r="GP652" s="357" t="str">
        <f t="shared" si="177"/>
        <v/>
      </c>
      <c r="GQ652" s="357" t="str">
        <f t="shared" si="178"/>
        <v/>
      </c>
      <c r="GR652" s="357" t="str">
        <f t="shared" si="179"/>
        <v/>
      </c>
      <c r="GS652" s="357" t="str">
        <f t="shared" si="180"/>
        <v/>
      </c>
      <c r="GT652" s="357" t="str">
        <f t="shared" si="181"/>
        <v/>
      </c>
      <c r="GU652" s="357" t="str">
        <f t="shared" si="182"/>
        <v/>
      </c>
      <c r="GV652" s="357" t="str">
        <f t="shared" si="183"/>
        <v/>
      </c>
      <c r="GW652" s="357" t="str">
        <f t="shared" si="184"/>
        <v/>
      </c>
      <c r="GX652" s="357" t="str">
        <f t="shared" si="185"/>
        <v/>
      </c>
      <c r="GY652" s="357" t="str">
        <f t="shared" si="186"/>
        <v/>
      </c>
      <c r="GZ652" s="357" t="str">
        <f t="shared" si="187"/>
        <v/>
      </c>
      <c r="HA652" s="357" t="str">
        <f t="shared" si="188"/>
        <v/>
      </c>
      <c r="HB652" s="357" t="str">
        <f t="shared" si="189"/>
        <v/>
      </c>
      <c r="HC652" s="357" t="str">
        <f t="shared" si="190"/>
        <v/>
      </c>
      <c r="HD652" s="357" t="str">
        <f t="shared" si="191"/>
        <v/>
      </c>
      <c r="HE652" s="357" t="str">
        <f t="shared" si="192"/>
        <v/>
      </c>
      <c r="HF652" s="357" t="str">
        <f t="shared" si="193"/>
        <v/>
      </c>
      <c r="HG652" s="357" t="str">
        <f t="shared" si="194"/>
        <v/>
      </c>
      <c r="HH652" s="357" t="str">
        <f t="shared" si="195"/>
        <v/>
      </c>
      <c r="HI652" s="357" t="str">
        <f t="shared" si="196"/>
        <v/>
      </c>
      <c r="HJ652" s="357" t="str">
        <f t="shared" si="197"/>
        <v/>
      </c>
      <c r="HK652" s="357" t="str">
        <f t="shared" si="198"/>
        <v/>
      </c>
      <c r="HL652" s="357" t="str">
        <f t="shared" si="199"/>
        <v/>
      </c>
      <c r="HM652" s="357" t="str">
        <f t="shared" si="200"/>
        <v/>
      </c>
      <c r="HN652" s="357" t="str">
        <f t="shared" si="201"/>
        <v/>
      </c>
      <c r="HO652" s="357" t="str">
        <f t="shared" si="202"/>
        <v/>
      </c>
      <c r="HP652" s="357" t="str">
        <f t="shared" si="203"/>
        <v/>
      </c>
      <c r="HQ652" s="357" t="str">
        <f t="shared" si="204"/>
        <v/>
      </c>
      <c r="HR652" s="357" t="str">
        <f t="shared" si="205"/>
        <v/>
      </c>
      <c r="HS652" s="357" t="str">
        <f t="shared" si="206"/>
        <v/>
      </c>
      <c r="HT652" s="357" t="str">
        <f t="shared" si="207"/>
        <v/>
      </c>
      <c r="HU652" s="357" t="str">
        <f t="shared" si="208"/>
        <v/>
      </c>
      <c r="HV652" s="357" t="str">
        <f t="shared" si="209"/>
        <v/>
      </c>
      <c r="HW652" s="357" t="str">
        <f t="shared" si="210"/>
        <v/>
      </c>
      <c r="HX652" s="357" t="str">
        <f t="shared" si="211"/>
        <v/>
      </c>
      <c r="HY652" s="357" t="str">
        <f t="shared" si="212"/>
        <v/>
      </c>
      <c r="HZ652" s="1903" t="str">
        <f t="shared" si="213"/>
        <v/>
      </c>
      <c r="IA652" s="1903" t="str">
        <f t="shared" si="214"/>
        <v/>
      </c>
      <c r="IB652" s="1903" t="str">
        <f t="shared" si="215"/>
        <v/>
      </c>
      <c r="IC652" s="1903" t="str">
        <f t="shared" si="216"/>
        <v/>
      </c>
      <c r="ID652" s="1903" t="str">
        <f t="shared" si="217"/>
        <v/>
      </c>
      <c r="IE652" s="1903" t="str">
        <f t="shared" si="218"/>
        <v/>
      </c>
      <c r="IF652" s="1903" t="str">
        <f t="shared" si="219"/>
        <v/>
      </c>
      <c r="IG652" s="1903" t="str">
        <f t="shared" si="220"/>
        <v/>
      </c>
      <c r="IH652" s="1903" t="str">
        <f t="shared" si="221"/>
        <v/>
      </c>
      <c r="II652" s="1903" t="str">
        <f t="shared" si="222"/>
        <v/>
      </c>
      <c r="IJ652" s="1903" t="str">
        <f t="shared" si="223"/>
        <v/>
      </c>
      <c r="IK652" s="1903" t="str">
        <f t="shared" si="224"/>
        <v/>
      </c>
      <c r="IL652" s="1903" t="str">
        <f t="shared" si="225"/>
        <v/>
      </c>
      <c r="IM652" s="1903" t="str">
        <f t="shared" si="226"/>
        <v/>
      </c>
      <c r="IN652" s="1903" t="str">
        <f t="shared" si="227"/>
        <v/>
      </c>
      <c r="IO652" s="1903" t="str">
        <f t="shared" si="228"/>
        <v/>
      </c>
      <c r="IP652" s="1903" t="str">
        <f t="shared" si="229"/>
        <v/>
      </c>
      <c r="IQ652" s="1903" t="str">
        <f t="shared" si="230"/>
        <v/>
      </c>
      <c r="IR652" s="1903" t="str">
        <f t="shared" si="231"/>
        <v/>
      </c>
      <c r="IS652" s="1903" t="str">
        <f t="shared" si="232"/>
        <v/>
      </c>
      <c r="IT652" s="1903" t="str">
        <f t="shared" si="233"/>
        <v/>
      </c>
      <c r="IU652" s="1903" t="str">
        <f t="shared" si="234"/>
        <v/>
      </c>
      <c r="IV652" s="1903" t="str">
        <f t="shared" si="235"/>
        <v/>
      </c>
      <c r="IW652" s="1903" t="str">
        <f t="shared" si="236"/>
        <v/>
      </c>
      <c r="IX652" s="1903" t="str">
        <f t="shared" si="237"/>
        <v/>
      </c>
      <c r="IY652" s="1903" t="str">
        <f t="shared" si="238"/>
        <v/>
      </c>
      <c r="IZ652" s="1903" t="str">
        <f t="shared" si="239"/>
        <v/>
      </c>
      <c r="JA652" s="1903" t="str">
        <f t="shared" si="240"/>
        <v/>
      </c>
      <c r="JB652" s="1903" t="str">
        <f t="shared" si="241"/>
        <v/>
      </c>
      <c r="JC652" s="1903" t="str">
        <f t="shared" si="242"/>
        <v/>
      </c>
      <c r="JD652" s="1903" t="str">
        <f t="shared" si="243"/>
        <v/>
      </c>
      <c r="JE652" s="1903" t="str">
        <f t="shared" si="244"/>
        <v/>
      </c>
      <c r="JF652" s="1903" t="str">
        <f t="shared" si="245"/>
        <v/>
      </c>
      <c r="JG652" s="1903" t="str">
        <f t="shared" si="246"/>
        <v/>
      </c>
      <c r="JH652" s="1903" t="str">
        <f t="shared" si="247"/>
        <v/>
      </c>
      <c r="JI652" s="1903" t="str">
        <f t="shared" si="248"/>
        <v/>
      </c>
      <c r="JJ652" s="1903" t="str">
        <f t="shared" si="249"/>
        <v/>
      </c>
      <c r="JK652" s="1903" t="str">
        <f t="shared" si="250"/>
        <v/>
      </c>
      <c r="JL652" s="1903" t="str">
        <f t="shared" si="251"/>
        <v/>
      </c>
      <c r="JM652" s="1903" t="str">
        <f t="shared" si="252"/>
        <v/>
      </c>
      <c r="JN652" s="1903" t="str">
        <f t="shared" si="253"/>
        <v/>
      </c>
      <c r="JO652" s="1903" t="str">
        <f t="shared" si="254"/>
        <v/>
      </c>
      <c r="JP652" s="1903" t="str">
        <f t="shared" si="255"/>
        <v/>
      </c>
      <c r="JQ652" s="1903" t="str">
        <f t="shared" si="256"/>
        <v/>
      </c>
      <c r="JR652" s="1903" t="str">
        <f t="shared" si="257"/>
        <v/>
      </c>
      <c r="JS652" s="1903" t="str">
        <f t="shared" si="258"/>
        <v/>
      </c>
      <c r="JT652" s="1903" t="str">
        <f t="shared" si="259"/>
        <v/>
      </c>
      <c r="JU652" s="1903" t="str">
        <f t="shared" si="260"/>
        <v/>
      </c>
      <c r="JV652" s="1903" t="str">
        <f t="shared" si="261"/>
        <v/>
      </c>
      <c r="JW652" s="1903" t="str">
        <f t="shared" si="262"/>
        <v/>
      </c>
      <c r="JX652" s="1903" t="str">
        <f t="shared" si="263"/>
        <v/>
      </c>
      <c r="JY652" s="1903" t="str">
        <f t="shared" si="264"/>
        <v/>
      </c>
      <c r="JZ652" s="1903" t="str">
        <f t="shared" si="265"/>
        <v/>
      </c>
      <c r="KA652" s="1903" t="str">
        <f t="shared" si="266"/>
        <v/>
      </c>
      <c r="KB652" s="1903" t="str">
        <f t="shared" si="267"/>
        <v/>
      </c>
      <c r="KC652" s="1903" t="str">
        <f t="shared" si="268"/>
        <v/>
      </c>
      <c r="KD652" s="1903" t="str">
        <f t="shared" si="269"/>
        <v/>
      </c>
      <c r="KE652" s="1903" t="str">
        <f t="shared" si="270"/>
        <v/>
      </c>
      <c r="KF652" s="1903" t="str">
        <f t="shared" si="271"/>
        <v/>
      </c>
      <c r="KG652" s="1903" t="str">
        <f t="shared" si="272"/>
        <v/>
      </c>
      <c r="KH652" s="1903" t="str">
        <f t="shared" si="273"/>
        <v/>
      </c>
      <c r="KI652" s="1903" t="str">
        <f t="shared" si="274"/>
        <v/>
      </c>
      <c r="KJ652" s="1903" t="str">
        <f t="shared" si="275"/>
        <v/>
      </c>
      <c r="KK652" s="1903" t="str">
        <f t="shared" si="276"/>
        <v/>
      </c>
      <c r="KL652" s="1903" t="str">
        <f t="shared" si="277"/>
        <v/>
      </c>
      <c r="KM652" s="1903" t="str">
        <f t="shared" si="278"/>
        <v/>
      </c>
      <c r="KN652" s="1903" t="str">
        <f t="shared" si="279"/>
        <v/>
      </c>
      <c r="KO652" s="1903" t="str">
        <f t="shared" si="280"/>
        <v/>
      </c>
      <c r="KP652" s="1903" t="str">
        <f t="shared" si="281"/>
        <v/>
      </c>
      <c r="KQ652" s="1903" t="str">
        <f t="shared" si="282"/>
        <v/>
      </c>
      <c r="KR652" s="1903" t="str">
        <f t="shared" si="283"/>
        <v/>
      </c>
      <c r="KS652" s="1903" t="str">
        <f t="shared" si="284"/>
        <v/>
      </c>
      <c r="KT652" s="1903" t="str">
        <f t="shared" si="285"/>
        <v/>
      </c>
      <c r="KU652" s="1903" t="str">
        <f t="shared" si="286"/>
        <v/>
      </c>
      <c r="KV652" s="1903" t="str">
        <f t="shared" si="287"/>
        <v/>
      </c>
      <c r="KW652" s="1903" t="str">
        <f t="shared" si="288"/>
        <v/>
      </c>
      <c r="KX652" s="1903" t="str">
        <f t="shared" si="289"/>
        <v/>
      </c>
      <c r="KY652" s="1903" t="str">
        <f t="shared" si="290"/>
        <v/>
      </c>
      <c r="KZ652" s="1903" t="str">
        <f t="shared" si="291"/>
        <v/>
      </c>
      <c r="LA652" s="1903" t="str">
        <f t="shared" si="292"/>
        <v/>
      </c>
      <c r="LB652" s="1903" t="str">
        <f t="shared" si="293"/>
        <v/>
      </c>
      <c r="LC652" s="1903" t="str">
        <f t="shared" si="294"/>
        <v/>
      </c>
      <c r="LD652" s="1903" t="str">
        <f t="shared" si="295"/>
        <v/>
      </c>
      <c r="LE652" s="1903" t="str">
        <f t="shared" si="296"/>
        <v/>
      </c>
      <c r="LF652" s="1903" t="str">
        <f t="shared" si="297"/>
        <v/>
      </c>
      <c r="LG652" s="1750" t="str">
        <f t="shared" si="298"/>
        <v/>
      </c>
      <c r="LH652" s="1750" t="str">
        <f t="shared" si="299"/>
        <v/>
      </c>
      <c r="LI652" s="1750" t="str">
        <f t="shared" si="300"/>
        <v/>
      </c>
      <c r="LJ652" s="1750" t="str">
        <f t="shared" si="301"/>
        <v/>
      </c>
      <c r="LK652" s="1750" t="str">
        <f t="shared" si="302"/>
        <v/>
      </c>
      <c r="LL652" s="357" t="str">
        <f t="shared" si="303"/>
        <v/>
      </c>
      <c r="LM652" s="357" t="str">
        <f t="shared" si="304"/>
        <v/>
      </c>
      <c r="LN652" s="357" t="str">
        <f t="shared" si="305"/>
        <v/>
      </c>
      <c r="LO652" s="357" t="str">
        <f t="shared" si="306"/>
        <v/>
      </c>
      <c r="LP652" s="357" t="str">
        <f t="shared" si="307"/>
        <v/>
      </c>
      <c r="LQ652" s="357" t="str">
        <f t="shared" si="308"/>
        <v/>
      </c>
      <c r="LR652" s="357" t="str">
        <f t="shared" si="309"/>
        <v/>
      </c>
      <c r="LS652" s="357" t="str">
        <f t="shared" si="310"/>
        <v/>
      </c>
      <c r="LT652" s="357" t="str">
        <f t="shared" si="311"/>
        <v/>
      </c>
      <c r="LU652" s="357" t="str">
        <f t="shared" si="312"/>
        <v/>
      </c>
      <c r="LV652" s="357" t="str">
        <f t="shared" si="313"/>
        <v/>
      </c>
      <c r="LW652" s="357" t="str">
        <f t="shared" si="314"/>
        <v/>
      </c>
      <c r="LX652" s="357" t="str">
        <f t="shared" si="315"/>
        <v/>
      </c>
      <c r="LY652" s="357" t="str">
        <f t="shared" si="316"/>
        <v/>
      </c>
      <c r="LZ652" s="357" t="str">
        <f t="shared" si="317"/>
        <v/>
      </c>
      <c r="MA652" s="357" t="str">
        <f t="shared" si="318"/>
        <v/>
      </c>
      <c r="MB652" s="357" t="str">
        <f t="shared" si="319"/>
        <v/>
      </c>
      <c r="MC652" s="357" t="str">
        <f t="shared" si="320"/>
        <v/>
      </c>
      <c r="MD652" s="357" t="str">
        <f t="shared" si="321"/>
        <v/>
      </c>
      <c r="ME652" s="357" t="str">
        <f t="shared" si="322"/>
        <v/>
      </c>
      <c r="MF652" s="1750">
        <f t="shared" si="323"/>
        <v>0</v>
      </c>
      <c r="MG652" s="1750">
        <f t="shared" si="324"/>
        <v>0</v>
      </c>
      <c r="MH652" s="1750">
        <f t="shared" si="325"/>
        <v>0</v>
      </c>
      <c r="MI652" s="1750">
        <f t="shared" si="326"/>
        <v>0</v>
      </c>
      <c r="MJ652" s="1750">
        <f t="shared" si="327"/>
        <v>0</v>
      </c>
      <c r="MK652" s="1750">
        <f t="shared" si="333"/>
        <v>0</v>
      </c>
      <c r="ML652" s="1750">
        <f t="shared" si="334"/>
        <v>0</v>
      </c>
      <c r="MM652" s="1750">
        <f t="shared" si="335"/>
        <v>0</v>
      </c>
      <c r="MN652" s="1750">
        <f t="shared" si="336"/>
        <v>0</v>
      </c>
      <c r="MO652" s="1750">
        <f t="shared" si="337"/>
        <v>0</v>
      </c>
      <c r="MP652" s="1750">
        <f t="shared" si="328"/>
        <v>0</v>
      </c>
      <c r="MQ652" s="1750">
        <f t="shared" si="329"/>
        <v>0</v>
      </c>
      <c r="MR652" s="1750">
        <f t="shared" si="330"/>
        <v>0</v>
      </c>
      <c r="MS652" s="1750">
        <f t="shared" si="331"/>
        <v>0</v>
      </c>
      <c r="MT652" s="1750">
        <f t="shared" si="332"/>
        <v>0</v>
      </c>
      <c r="NP652" s="357" t="s">
        <v>6417</v>
      </c>
    </row>
    <row r="653" spans="1:380" ht="13.9" customHeight="1">
      <c r="A653" s="1901" t="str">
        <f t="shared" si="0"/>
        <v/>
      </c>
      <c r="B653" s="2228" t="str">
        <f>'Part V-Revenues &amp; Expenses'!B15</f>
        <v>Unrestricted</v>
      </c>
      <c r="C653" s="2229">
        <f>'Part V-Revenues &amp; Expenses'!C15</f>
        <v>0</v>
      </c>
      <c r="D653" s="2230">
        <f>'Part V-Revenues &amp; Expenses'!D15</f>
        <v>0</v>
      </c>
      <c r="E653" s="2231">
        <f>'Part V-Revenues &amp; Expenses'!E15</f>
        <v>0</v>
      </c>
      <c r="F653" s="2231">
        <f>'Part V-Revenues &amp; Expenses'!F15</f>
        <v>0</v>
      </c>
      <c r="G653" s="2231">
        <f>'Part V-Revenues &amp; Expenses'!G15</f>
        <v>0</v>
      </c>
      <c r="H653" s="2231">
        <f>'Part V-Revenues &amp; Expenses'!H15</f>
        <v>0</v>
      </c>
      <c r="I653" s="2231">
        <f>'Part V-Revenues &amp; Expenses'!I15</f>
        <v>0</v>
      </c>
      <c r="J653" s="2231">
        <f>'Part V-Revenues &amp; Expenses'!J15</f>
        <v>0</v>
      </c>
      <c r="K653" s="2232">
        <f>'Part V-Revenues &amp; Expenses'!K15</f>
        <v>0</v>
      </c>
      <c r="L653" s="2233">
        <f t="shared" si="1"/>
        <v>0</v>
      </c>
      <c r="M653" s="2233">
        <f t="shared" si="2"/>
        <v>0</v>
      </c>
      <c r="N653" s="2094">
        <f>'Part V-Revenues &amp; Expenses'!N15</f>
        <v>0</v>
      </c>
      <c r="O653" s="2234">
        <f>'Part V-Revenues &amp; Expenses'!O15</f>
        <v>0</v>
      </c>
      <c r="P653" s="2094">
        <f>'Part V-Revenues &amp; Expenses'!P15</f>
        <v>0</v>
      </c>
      <c r="Q653" s="2235">
        <f>'Part V-Revenues &amp; Expenses'!Q15</f>
        <v>0</v>
      </c>
      <c r="R653" s="2236"/>
      <c r="S653" s="2237"/>
      <c r="T653" s="2160"/>
      <c r="U653" s="2160"/>
      <c r="V653" s="2160"/>
      <c r="W653" s="2160"/>
      <c r="X653" s="357" t="str">
        <f t="shared" si="3"/>
        <v/>
      </c>
      <c r="Y653" s="357" t="str">
        <f t="shared" si="4"/>
        <v/>
      </c>
      <c r="Z653" s="357" t="str">
        <f t="shared" si="5"/>
        <v/>
      </c>
      <c r="AA653" s="357" t="str">
        <f t="shared" si="6"/>
        <v/>
      </c>
      <c r="AB653" s="357" t="str">
        <f t="shared" si="7"/>
        <v/>
      </c>
      <c r="AC653" s="357" t="str">
        <f t="shared" si="8"/>
        <v/>
      </c>
      <c r="AD653" s="357" t="str">
        <f t="shared" si="9"/>
        <v/>
      </c>
      <c r="AE653" s="357" t="str">
        <f t="shared" si="10"/>
        <v/>
      </c>
      <c r="AF653" s="357" t="str">
        <f t="shared" si="11"/>
        <v/>
      </c>
      <c r="AG653" s="357" t="str">
        <f t="shared" si="12"/>
        <v/>
      </c>
      <c r="AH653" s="357" t="str">
        <f t="shared" si="13"/>
        <v/>
      </c>
      <c r="AI653" s="357" t="str">
        <f t="shared" si="14"/>
        <v/>
      </c>
      <c r="AJ653" s="357" t="str">
        <f t="shared" si="15"/>
        <v/>
      </c>
      <c r="AK653" s="357" t="str">
        <f t="shared" si="16"/>
        <v/>
      </c>
      <c r="AL653" s="357" t="str">
        <f t="shared" si="17"/>
        <v/>
      </c>
      <c r="AM653" s="357" t="str">
        <f t="shared" si="18"/>
        <v/>
      </c>
      <c r="AN653" s="357" t="str">
        <f t="shared" si="19"/>
        <v/>
      </c>
      <c r="AO653" s="357" t="str">
        <f t="shared" si="20"/>
        <v/>
      </c>
      <c r="AP653" s="357" t="str">
        <f t="shared" si="21"/>
        <v/>
      </c>
      <c r="AQ653" s="357" t="str">
        <f t="shared" si="22"/>
        <v/>
      </c>
      <c r="AR653" s="357" t="str">
        <f t="shared" si="23"/>
        <v/>
      </c>
      <c r="AS653" s="357" t="str">
        <f t="shared" si="24"/>
        <v/>
      </c>
      <c r="AT653" s="357" t="str">
        <f t="shared" si="25"/>
        <v/>
      </c>
      <c r="AU653" s="357" t="str">
        <f t="shared" si="26"/>
        <v/>
      </c>
      <c r="AV653" s="357" t="str">
        <f t="shared" si="27"/>
        <v/>
      </c>
      <c r="AW653" s="357" t="str">
        <f t="shared" si="28"/>
        <v/>
      </c>
      <c r="AX653" s="357" t="str">
        <f t="shared" si="29"/>
        <v/>
      </c>
      <c r="AY653" s="357" t="str">
        <f t="shared" si="30"/>
        <v/>
      </c>
      <c r="AZ653" s="357" t="str">
        <f t="shared" si="31"/>
        <v/>
      </c>
      <c r="BA653" s="357" t="str">
        <f t="shared" si="32"/>
        <v/>
      </c>
      <c r="BB653" s="357" t="str">
        <f t="shared" si="33"/>
        <v/>
      </c>
      <c r="BC653" s="357" t="str">
        <f t="shared" si="34"/>
        <v/>
      </c>
      <c r="BD653" s="357" t="str">
        <f t="shared" si="35"/>
        <v/>
      </c>
      <c r="BE653" s="357" t="str">
        <f t="shared" si="36"/>
        <v/>
      </c>
      <c r="BF653" s="357" t="str">
        <f t="shared" si="37"/>
        <v/>
      </c>
      <c r="BG653" s="357" t="str">
        <f t="shared" si="38"/>
        <v/>
      </c>
      <c r="BH653" s="357" t="str">
        <f t="shared" si="39"/>
        <v/>
      </c>
      <c r="BI653" s="357" t="str">
        <f t="shared" si="40"/>
        <v/>
      </c>
      <c r="BJ653" s="357" t="str">
        <f t="shared" si="41"/>
        <v/>
      </c>
      <c r="BK653" s="357" t="str">
        <f t="shared" si="42"/>
        <v/>
      </c>
      <c r="BL653" s="357" t="str">
        <f t="shared" si="43"/>
        <v/>
      </c>
      <c r="BM653" s="357" t="str">
        <f t="shared" si="44"/>
        <v/>
      </c>
      <c r="BN653" s="357" t="str">
        <f t="shared" si="45"/>
        <v/>
      </c>
      <c r="BO653" s="357" t="str">
        <f t="shared" si="46"/>
        <v/>
      </c>
      <c r="BP653" s="357" t="str">
        <f t="shared" si="47"/>
        <v/>
      </c>
      <c r="BQ653" s="357" t="str">
        <f t="shared" si="48"/>
        <v/>
      </c>
      <c r="BR653" s="357" t="str">
        <f t="shared" si="49"/>
        <v/>
      </c>
      <c r="BS653" s="357" t="str">
        <f t="shared" si="50"/>
        <v/>
      </c>
      <c r="BT653" s="357" t="str">
        <f t="shared" si="51"/>
        <v/>
      </c>
      <c r="BU653" s="357" t="str">
        <f t="shared" si="52"/>
        <v/>
      </c>
      <c r="BV653" s="357" t="str">
        <f t="shared" si="53"/>
        <v/>
      </c>
      <c r="BW653" s="357" t="str">
        <f t="shared" si="54"/>
        <v/>
      </c>
      <c r="BX653" s="357" t="str">
        <f t="shared" si="55"/>
        <v/>
      </c>
      <c r="BY653" s="357" t="str">
        <f t="shared" si="56"/>
        <v/>
      </c>
      <c r="BZ653" s="357" t="str">
        <f t="shared" si="57"/>
        <v/>
      </c>
      <c r="CA653" s="357" t="str">
        <f t="shared" si="58"/>
        <v/>
      </c>
      <c r="CB653" s="357" t="str">
        <f t="shared" si="59"/>
        <v/>
      </c>
      <c r="CC653" s="357" t="str">
        <f t="shared" si="60"/>
        <v/>
      </c>
      <c r="CD653" s="357" t="str">
        <f t="shared" si="61"/>
        <v/>
      </c>
      <c r="CE653" s="357" t="str">
        <f t="shared" si="62"/>
        <v/>
      </c>
      <c r="CF653" s="357" t="str">
        <f t="shared" si="63"/>
        <v/>
      </c>
      <c r="CG653" s="357" t="str">
        <f t="shared" si="64"/>
        <v/>
      </c>
      <c r="CH653" s="357" t="str">
        <f t="shared" si="65"/>
        <v/>
      </c>
      <c r="CI653" s="357" t="str">
        <f t="shared" si="66"/>
        <v/>
      </c>
      <c r="CJ653" s="357" t="str">
        <f t="shared" si="67"/>
        <v/>
      </c>
      <c r="CK653" s="357" t="str">
        <f t="shared" si="68"/>
        <v/>
      </c>
      <c r="CL653" s="357" t="str">
        <f t="shared" si="69"/>
        <v/>
      </c>
      <c r="CM653" s="357" t="str">
        <f t="shared" si="70"/>
        <v/>
      </c>
      <c r="CN653" s="357" t="str">
        <f t="shared" si="71"/>
        <v/>
      </c>
      <c r="CO653" s="357" t="str">
        <f t="shared" si="72"/>
        <v/>
      </c>
      <c r="CP653" s="357" t="str">
        <f t="shared" si="73"/>
        <v/>
      </c>
      <c r="CQ653" s="357" t="str">
        <f t="shared" si="74"/>
        <v/>
      </c>
      <c r="CR653" s="357" t="str">
        <f t="shared" si="75"/>
        <v/>
      </c>
      <c r="CS653" s="357" t="str">
        <f t="shared" si="76"/>
        <v/>
      </c>
      <c r="CT653" s="357" t="str">
        <f t="shared" si="77"/>
        <v/>
      </c>
      <c r="CU653" s="357" t="str">
        <f t="shared" si="78"/>
        <v/>
      </c>
      <c r="CV653" s="357" t="str">
        <f t="shared" si="79"/>
        <v/>
      </c>
      <c r="CW653" s="357" t="str">
        <f t="shared" si="80"/>
        <v/>
      </c>
      <c r="CX653" s="357" t="str">
        <f t="shared" si="81"/>
        <v/>
      </c>
      <c r="CY653" s="357" t="str">
        <f t="shared" si="82"/>
        <v/>
      </c>
      <c r="CZ653" s="357" t="str">
        <f t="shared" si="83"/>
        <v/>
      </c>
      <c r="DA653" s="357" t="str">
        <f t="shared" si="84"/>
        <v/>
      </c>
      <c r="DB653" s="357" t="str">
        <f t="shared" si="85"/>
        <v/>
      </c>
      <c r="DC653" s="357" t="str">
        <f t="shared" si="86"/>
        <v/>
      </c>
      <c r="DD653" s="357" t="str">
        <f t="shared" si="87"/>
        <v/>
      </c>
      <c r="DE653" s="357" t="str">
        <f t="shared" si="88"/>
        <v/>
      </c>
      <c r="DF653" s="357" t="str">
        <f t="shared" si="89"/>
        <v/>
      </c>
      <c r="DG653" s="357" t="str">
        <f t="shared" si="90"/>
        <v/>
      </c>
      <c r="DH653" s="357" t="str">
        <f t="shared" si="91"/>
        <v/>
      </c>
      <c r="DI653" s="357" t="str">
        <f t="shared" si="92"/>
        <v/>
      </c>
      <c r="DJ653" s="357" t="str">
        <f t="shared" si="93"/>
        <v/>
      </c>
      <c r="DK653" s="357" t="str">
        <f t="shared" si="94"/>
        <v/>
      </c>
      <c r="DL653" s="357" t="str">
        <f t="shared" si="95"/>
        <v/>
      </c>
      <c r="DM653" s="357" t="str">
        <f t="shared" si="96"/>
        <v/>
      </c>
      <c r="DN653" s="357" t="str">
        <f t="shared" si="97"/>
        <v/>
      </c>
      <c r="DO653" s="357" t="str">
        <f t="shared" si="98"/>
        <v/>
      </c>
      <c r="DP653" s="357" t="str">
        <f t="shared" si="99"/>
        <v/>
      </c>
      <c r="DQ653" s="357" t="str">
        <f t="shared" si="100"/>
        <v/>
      </c>
      <c r="DR653" s="357" t="str">
        <f t="shared" si="101"/>
        <v/>
      </c>
      <c r="DS653" s="357" t="str">
        <f t="shared" si="102"/>
        <v/>
      </c>
      <c r="DT653" s="357" t="str">
        <f t="shared" si="103"/>
        <v/>
      </c>
      <c r="DU653" s="357" t="str">
        <f t="shared" si="104"/>
        <v/>
      </c>
      <c r="DV653" s="357" t="str">
        <f t="shared" si="105"/>
        <v/>
      </c>
      <c r="DW653" s="357" t="str">
        <f t="shared" si="106"/>
        <v/>
      </c>
      <c r="DX653" s="357" t="str">
        <f t="shared" si="107"/>
        <v/>
      </c>
      <c r="DY653" s="357" t="str">
        <f t="shared" si="108"/>
        <v/>
      </c>
      <c r="DZ653" s="357" t="str">
        <f t="shared" si="109"/>
        <v/>
      </c>
      <c r="EA653" s="357" t="str">
        <f t="shared" si="110"/>
        <v/>
      </c>
      <c r="EB653" s="357" t="str">
        <f t="shared" si="111"/>
        <v/>
      </c>
      <c r="EC653" s="357" t="str">
        <f t="shared" si="112"/>
        <v/>
      </c>
      <c r="ED653" s="357" t="str">
        <f t="shared" si="113"/>
        <v/>
      </c>
      <c r="EE653" s="357" t="str">
        <f t="shared" si="114"/>
        <v/>
      </c>
      <c r="EF653" s="357" t="str">
        <f t="shared" si="115"/>
        <v/>
      </c>
      <c r="EG653" s="357" t="str">
        <f t="shared" si="116"/>
        <v/>
      </c>
      <c r="EH653" s="357" t="str">
        <f t="shared" si="117"/>
        <v/>
      </c>
      <c r="EI653" s="357" t="str">
        <f t="shared" si="118"/>
        <v/>
      </c>
      <c r="EJ653" s="357" t="str">
        <f t="shared" si="119"/>
        <v/>
      </c>
      <c r="EK653" s="357" t="str">
        <f t="shared" si="120"/>
        <v/>
      </c>
      <c r="EL653" s="357" t="str">
        <f t="shared" si="121"/>
        <v/>
      </c>
      <c r="EM653" s="357" t="str">
        <f t="shared" si="122"/>
        <v/>
      </c>
      <c r="EN653" s="357" t="str">
        <f t="shared" si="123"/>
        <v/>
      </c>
      <c r="EO653" s="357" t="str">
        <f t="shared" si="124"/>
        <v/>
      </c>
      <c r="EP653" s="357" t="str">
        <f t="shared" si="125"/>
        <v/>
      </c>
      <c r="EQ653" s="357" t="str">
        <f t="shared" si="126"/>
        <v/>
      </c>
      <c r="ER653" s="357" t="str">
        <f t="shared" si="127"/>
        <v/>
      </c>
      <c r="ES653" s="357" t="str">
        <f t="shared" si="128"/>
        <v/>
      </c>
      <c r="ET653" s="357" t="str">
        <f t="shared" si="129"/>
        <v/>
      </c>
      <c r="EU653" s="357" t="str">
        <f t="shared" si="130"/>
        <v/>
      </c>
      <c r="EV653" s="357" t="str">
        <f t="shared" si="131"/>
        <v/>
      </c>
      <c r="EW653" s="357" t="str">
        <f t="shared" si="132"/>
        <v/>
      </c>
      <c r="EX653" s="357" t="str">
        <f t="shared" si="133"/>
        <v/>
      </c>
      <c r="EY653" s="357" t="str">
        <f t="shared" si="134"/>
        <v/>
      </c>
      <c r="EZ653" s="357" t="str">
        <f t="shared" si="135"/>
        <v/>
      </c>
      <c r="FA653" s="357" t="str">
        <f t="shared" si="136"/>
        <v/>
      </c>
      <c r="FB653" s="357" t="str">
        <f t="shared" si="137"/>
        <v/>
      </c>
      <c r="FC653" s="357" t="str">
        <f t="shared" si="138"/>
        <v/>
      </c>
      <c r="FD653" s="357" t="str">
        <f t="shared" si="139"/>
        <v/>
      </c>
      <c r="FE653" s="357" t="str">
        <f t="shared" si="140"/>
        <v/>
      </c>
      <c r="FF653" s="357" t="str">
        <f t="shared" si="141"/>
        <v/>
      </c>
      <c r="FG653" s="357" t="str">
        <f t="shared" si="142"/>
        <v/>
      </c>
      <c r="FH653" s="357" t="str">
        <f t="shared" si="143"/>
        <v/>
      </c>
      <c r="FI653" s="357" t="str">
        <f t="shared" si="144"/>
        <v/>
      </c>
      <c r="FJ653" s="357" t="str">
        <f t="shared" si="145"/>
        <v/>
      </c>
      <c r="FK653" s="357" t="str">
        <f t="shared" si="146"/>
        <v/>
      </c>
      <c r="FL653" s="357" t="str">
        <f t="shared" si="147"/>
        <v/>
      </c>
      <c r="FM653" s="357" t="str">
        <f t="shared" si="148"/>
        <v/>
      </c>
      <c r="FN653" s="357" t="str">
        <f t="shared" si="149"/>
        <v/>
      </c>
      <c r="FO653" s="357" t="str">
        <f t="shared" si="150"/>
        <v/>
      </c>
      <c r="FP653" s="357" t="str">
        <f t="shared" si="151"/>
        <v/>
      </c>
      <c r="FQ653" s="357" t="str">
        <f t="shared" si="152"/>
        <v/>
      </c>
      <c r="FR653" s="357" t="str">
        <f t="shared" si="153"/>
        <v/>
      </c>
      <c r="FS653" s="357" t="str">
        <f t="shared" si="154"/>
        <v/>
      </c>
      <c r="FT653" s="357" t="str">
        <f t="shared" si="155"/>
        <v/>
      </c>
      <c r="FU653" s="357" t="str">
        <f t="shared" si="156"/>
        <v/>
      </c>
      <c r="FV653" s="357" t="str">
        <f t="shared" si="157"/>
        <v/>
      </c>
      <c r="FW653" s="357" t="str">
        <f t="shared" si="158"/>
        <v/>
      </c>
      <c r="FX653" s="357" t="str">
        <f t="shared" si="159"/>
        <v/>
      </c>
      <c r="FY653" s="357" t="str">
        <f t="shared" si="160"/>
        <v/>
      </c>
      <c r="FZ653" s="357" t="str">
        <f t="shared" si="161"/>
        <v/>
      </c>
      <c r="GA653" s="357" t="str">
        <f t="shared" si="162"/>
        <v/>
      </c>
      <c r="GB653" s="357" t="str">
        <f t="shared" si="163"/>
        <v/>
      </c>
      <c r="GC653" s="357" t="str">
        <f t="shared" si="164"/>
        <v/>
      </c>
      <c r="GD653" s="357" t="str">
        <f t="shared" si="165"/>
        <v/>
      </c>
      <c r="GE653" s="357" t="str">
        <f t="shared" si="166"/>
        <v/>
      </c>
      <c r="GF653" s="357" t="str">
        <f t="shared" si="167"/>
        <v/>
      </c>
      <c r="GG653" s="357" t="str">
        <f t="shared" si="168"/>
        <v/>
      </c>
      <c r="GH653" s="357" t="str">
        <f t="shared" si="169"/>
        <v/>
      </c>
      <c r="GI653" s="357" t="str">
        <f t="shared" si="170"/>
        <v/>
      </c>
      <c r="GJ653" s="357" t="str">
        <f t="shared" si="171"/>
        <v/>
      </c>
      <c r="GK653" s="357" t="str">
        <f t="shared" si="172"/>
        <v/>
      </c>
      <c r="GL653" s="357" t="str">
        <f t="shared" si="173"/>
        <v/>
      </c>
      <c r="GM653" s="357" t="str">
        <f t="shared" si="174"/>
        <v/>
      </c>
      <c r="GN653" s="357" t="str">
        <f t="shared" si="175"/>
        <v/>
      </c>
      <c r="GO653" s="357" t="str">
        <f t="shared" si="176"/>
        <v/>
      </c>
      <c r="GP653" s="357" t="str">
        <f t="shared" si="177"/>
        <v/>
      </c>
      <c r="GQ653" s="357" t="str">
        <f t="shared" si="178"/>
        <v/>
      </c>
      <c r="GR653" s="357" t="str">
        <f t="shared" si="179"/>
        <v/>
      </c>
      <c r="GS653" s="357" t="str">
        <f t="shared" si="180"/>
        <v/>
      </c>
      <c r="GT653" s="357" t="str">
        <f t="shared" si="181"/>
        <v/>
      </c>
      <c r="GU653" s="357" t="str">
        <f t="shared" si="182"/>
        <v/>
      </c>
      <c r="GV653" s="357" t="str">
        <f t="shared" si="183"/>
        <v/>
      </c>
      <c r="GW653" s="357" t="str">
        <f t="shared" si="184"/>
        <v/>
      </c>
      <c r="GX653" s="357" t="str">
        <f t="shared" si="185"/>
        <v/>
      </c>
      <c r="GY653" s="357" t="str">
        <f t="shared" si="186"/>
        <v/>
      </c>
      <c r="GZ653" s="357" t="str">
        <f t="shared" si="187"/>
        <v/>
      </c>
      <c r="HA653" s="357" t="str">
        <f t="shared" si="188"/>
        <v/>
      </c>
      <c r="HB653" s="357" t="str">
        <f t="shared" si="189"/>
        <v/>
      </c>
      <c r="HC653" s="357" t="str">
        <f t="shared" si="190"/>
        <v/>
      </c>
      <c r="HD653" s="357" t="str">
        <f t="shared" si="191"/>
        <v/>
      </c>
      <c r="HE653" s="357" t="str">
        <f t="shared" si="192"/>
        <v/>
      </c>
      <c r="HF653" s="357" t="str">
        <f t="shared" si="193"/>
        <v/>
      </c>
      <c r="HG653" s="357" t="str">
        <f t="shared" si="194"/>
        <v/>
      </c>
      <c r="HH653" s="357" t="str">
        <f t="shared" si="195"/>
        <v/>
      </c>
      <c r="HI653" s="357" t="str">
        <f t="shared" si="196"/>
        <v/>
      </c>
      <c r="HJ653" s="357" t="str">
        <f t="shared" si="197"/>
        <v/>
      </c>
      <c r="HK653" s="357" t="str">
        <f t="shared" si="198"/>
        <v/>
      </c>
      <c r="HL653" s="357" t="str">
        <f t="shared" si="199"/>
        <v/>
      </c>
      <c r="HM653" s="357" t="str">
        <f t="shared" si="200"/>
        <v/>
      </c>
      <c r="HN653" s="357" t="str">
        <f t="shared" si="201"/>
        <v/>
      </c>
      <c r="HO653" s="357" t="str">
        <f t="shared" si="202"/>
        <v/>
      </c>
      <c r="HP653" s="357" t="str">
        <f t="shared" si="203"/>
        <v/>
      </c>
      <c r="HQ653" s="357" t="str">
        <f t="shared" si="204"/>
        <v/>
      </c>
      <c r="HR653" s="357" t="str">
        <f t="shared" si="205"/>
        <v/>
      </c>
      <c r="HS653" s="357" t="str">
        <f t="shared" si="206"/>
        <v/>
      </c>
      <c r="HT653" s="357" t="str">
        <f t="shared" si="207"/>
        <v/>
      </c>
      <c r="HU653" s="357" t="str">
        <f t="shared" si="208"/>
        <v/>
      </c>
      <c r="HV653" s="357" t="str">
        <f t="shared" si="209"/>
        <v/>
      </c>
      <c r="HW653" s="357" t="str">
        <f t="shared" si="210"/>
        <v/>
      </c>
      <c r="HX653" s="357" t="str">
        <f t="shared" si="211"/>
        <v/>
      </c>
      <c r="HY653" s="357" t="str">
        <f t="shared" si="212"/>
        <v/>
      </c>
      <c r="HZ653" s="1903" t="str">
        <f t="shared" si="213"/>
        <v/>
      </c>
      <c r="IA653" s="1903" t="str">
        <f t="shared" si="214"/>
        <v/>
      </c>
      <c r="IB653" s="1903" t="str">
        <f t="shared" si="215"/>
        <v/>
      </c>
      <c r="IC653" s="1903" t="str">
        <f t="shared" si="216"/>
        <v/>
      </c>
      <c r="ID653" s="1903" t="str">
        <f t="shared" si="217"/>
        <v/>
      </c>
      <c r="IE653" s="1903" t="str">
        <f t="shared" si="218"/>
        <v/>
      </c>
      <c r="IF653" s="1903" t="str">
        <f t="shared" si="219"/>
        <v/>
      </c>
      <c r="IG653" s="1903" t="str">
        <f t="shared" si="220"/>
        <v/>
      </c>
      <c r="IH653" s="1903" t="str">
        <f t="shared" si="221"/>
        <v/>
      </c>
      <c r="II653" s="1903" t="str">
        <f t="shared" si="222"/>
        <v/>
      </c>
      <c r="IJ653" s="1903" t="str">
        <f t="shared" si="223"/>
        <v/>
      </c>
      <c r="IK653" s="1903" t="str">
        <f t="shared" si="224"/>
        <v/>
      </c>
      <c r="IL653" s="1903" t="str">
        <f t="shared" si="225"/>
        <v/>
      </c>
      <c r="IM653" s="1903" t="str">
        <f t="shared" si="226"/>
        <v/>
      </c>
      <c r="IN653" s="1903" t="str">
        <f t="shared" si="227"/>
        <v/>
      </c>
      <c r="IO653" s="1903" t="str">
        <f t="shared" si="228"/>
        <v/>
      </c>
      <c r="IP653" s="1903" t="str">
        <f t="shared" si="229"/>
        <v/>
      </c>
      <c r="IQ653" s="1903" t="str">
        <f t="shared" si="230"/>
        <v/>
      </c>
      <c r="IR653" s="1903" t="str">
        <f t="shared" si="231"/>
        <v/>
      </c>
      <c r="IS653" s="1903" t="str">
        <f t="shared" si="232"/>
        <v/>
      </c>
      <c r="IT653" s="1903" t="str">
        <f t="shared" si="233"/>
        <v/>
      </c>
      <c r="IU653" s="1903" t="str">
        <f t="shared" si="234"/>
        <v/>
      </c>
      <c r="IV653" s="1903" t="str">
        <f t="shared" si="235"/>
        <v/>
      </c>
      <c r="IW653" s="1903" t="str">
        <f t="shared" si="236"/>
        <v/>
      </c>
      <c r="IX653" s="1903" t="str">
        <f t="shared" si="237"/>
        <v/>
      </c>
      <c r="IY653" s="1903" t="str">
        <f t="shared" si="238"/>
        <v/>
      </c>
      <c r="IZ653" s="1903" t="str">
        <f t="shared" si="239"/>
        <v/>
      </c>
      <c r="JA653" s="1903" t="str">
        <f t="shared" si="240"/>
        <v/>
      </c>
      <c r="JB653" s="1903" t="str">
        <f t="shared" si="241"/>
        <v/>
      </c>
      <c r="JC653" s="1903" t="str">
        <f t="shared" si="242"/>
        <v/>
      </c>
      <c r="JD653" s="1903" t="str">
        <f t="shared" si="243"/>
        <v/>
      </c>
      <c r="JE653" s="1903" t="str">
        <f t="shared" si="244"/>
        <v/>
      </c>
      <c r="JF653" s="1903" t="str">
        <f t="shared" si="245"/>
        <v/>
      </c>
      <c r="JG653" s="1903" t="str">
        <f t="shared" si="246"/>
        <v/>
      </c>
      <c r="JH653" s="1903" t="str">
        <f t="shared" si="247"/>
        <v/>
      </c>
      <c r="JI653" s="1903" t="str">
        <f t="shared" si="248"/>
        <v/>
      </c>
      <c r="JJ653" s="1903" t="str">
        <f t="shared" si="249"/>
        <v/>
      </c>
      <c r="JK653" s="1903" t="str">
        <f t="shared" si="250"/>
        <v/>
      </c>
      <c r="JL653" s="1903" t="str">
        <f t="shared" si="251"/>
        <v/>
      </c>
      <c r="JM653" s="1903" t="str">
        <f t="shared" si="252"/>
        <v/>
      </c>
      <c r="JN653" s="1903" t="str">
        <f t="shared" si="253"/>
        <v/>
      </c>
      <c r="JO653" s="1903" t="str">
        <f t="shared" si="254"/>
        <v/>
      </c>
      <c r="JP653" s="1903" t="str">
        <f t="shared" si="255"/>
        <v/>
      </c>
      <c r="JQ653" s="1903" t="str">
        <f t="shared" si="256"/>
        <v/>
      </c>
      <c r="JR653" s="1903" t="str">
        <f t="shared" si="257"/>
        <v/>
      </c>
      <c r="JS653" s="1903" t="str">
        <f t="shared" si="258"/>
        <v/>
      </c>
      <c r="JT653" s="1903" t="str">
        <f t="shared" si="259"/>
        <v/>
      </c>
      <c r="JU653" s="1903" t="str">
        <f t="shared" si="260"/>
        <v/>
      </c>
      <c r="JV653" s="1903" t="str">
        <f t="shared" si="261"/>
        <v/>
      </c>
      <c r="JW653" s="1903" t="str">
        <f t="shared" si="262"/>
        <v/>
      </c>
      <c r="JX653" s="1903" t="str">
        <f t="shared" si="263"/>
        <v/>
      </c>
      <c r="JY653" s="1903" t="str">
        <f t="shared" si="264"/>
        <v/>
      </c>
      <c r="JZ653" s="1903" t="str">
        <f t="shared" si="265"/>
        <v/>
      </c>
      <c r="KA653" s="1903" t="str">
        <f t="shared" si="266"/>
        <v/>
      </c>
      <c r="KB653" s="1903" t="str">
        <f t="shared" si="267"/>
        <v/>
      </c>
      <c r="KC653" s="1903" t="str">
        <f t="shared" si="268"/>
        <v/>
      </c>
      <c r="KD653" s="1903" t="str">
        <f t="shared" si="269"/>
        <v/>
      </c>
      <c r="KE653" s="1903" t="str">
        <f t="shared" si="270"/>
        <v/>
      </c>
      <c r="KF653" s="1903" t="str">
        <f t="shared" si="271"/>
        <v/>
      </c>
      <c r="KG653" s="1903" t="str">
        <f t="shared" si="272"/>
        <v/>
      </c>
      <c r="KH653" s="1903" t="str">
        <f t="shared" si="273"/>
        <v/>
      </c>
      <c r="KI653" s="1903" t="str">
        <f t="shared" si="274"/>
        <v/>
      </c>
      <c r="KJ653" s="1903" t="str">
        <f t="shared" si="275"/>
        <v/>
      </c>
      <c r="KK653" s="1903" t="str">
        <f t="shared" si="276"/>
        <v/>
      </c>
      <c r="KL653" s="1903" t="str">
        <f t="shared" si="277"/>
        <v/>
      </c>
      <c r="KM653" s="1903" t="str">
        <f t="shared" si="278"/>
        <v/>
      </c>
      <c r="KN653" s="1903" t="str">
        <f t="shared" si="279"/>
        <v/>
      </c>
      <c r="KO653" s="1903" t="str">
        <f t="shared" si="280"/>
        <v/>
      </c>
      <c r="KP653" s="1903" t="str">
        <f t="shared" si="281"/>
        <v/>
      </c>
      <c r="KQ653" s="1903" t="str">
        <f t="shared" si="282"/>
        <v/>
      </c>
      <c r="KR653" s="1903" t="str">
        <f t="shared" si="283"/>
        <v/>
      </c>
      <c r="KS653" s="1903" t="str">
        <f t="shared" si="284"/>
        <v/>
      </c>
      <c r="KT653" s="1903" t="str">
        <f t="shared" si="285"/>
        <v/>
      </c>
      <c r="KU653" s="1903" t="str">
        <f t="shared" si="286"/>
        <v/>
      </c>
      <c r="KV653" s="1903" t="str">
        <f t="shared" si="287"/>
        <v/>
      </c>
      <c r="KW653" s="1903" t="str">
        <f t="shared" si="288"/>
        <v/>
      </c>
      <c r="KX653" s="1903" t="str">
        <f t="shared" si="289"/>
        <v/>
      </c>
      <c r="KY653" s="1903" t="str">
        <f t="shared" si="290"/>
        <v/>
      </c>
      <c r="KZ653" s="1903" t="str">
        <f t="shared" si="291"/>
        <v/>
      </c>
      <c r="LA653" s="1903" t="str">
        <f t="shared" si="292"/>
        <v/>
      </c>
      <c r="LB653" s="1903" t="str">
        <f t="shared" si="293"/>
        <v/>
      </c>
      <c r="LC653" s="1903" t="str">
        <f t="shared" si="294"/>
        <v/>
      </c>
      <c r="LD653" s="1903" t="str">
        <f t="shared" si="295"/>
        <v/>
      </c>
      <c r="LE653" s="1903" t="str">
        <f t="shared" si="296"/>
        <v/>
      </c>
      <c r="LF653" s="1903" t="str">
        <f t="shared" si="297"/>
        <v/>
      </c>
      <c r="LG653" s="1750" t="str">
        <f t="shared" si="298"/>
        <v/>
      </c>
      <c r="LH653" s="1750" t="str">
        <f t="shared" si="299"/>
        <v/>
      </c>
      <c r="LI653" s="1750" t="str">
        <f t="shared" si="300"/>
        <v/>
      </c>
      <c r="LJ653" s="1750" t="str">
        <f t="shared" si="301"/>
        <v/>
      </c>
      <c r="LK653" s="1750" t="str">
        <f t="shared" si="302"/>
        <v/>
      </c>
      <c r="LL653" s="357" t="str">
        <f t="shared" si="303"/>
        <v/>
      </c>
      <c r="LM653" s="357" t="str">
        <f t="shared" si="304"/>
        <v/>
      </c>
      <c r="LN653" s="357" t="str">
        <f t="shared" si="305"/>
        <v/>
      </c>
      <c r="LO653" s="357" t="str">
        <f t="shared" si="306"/>
        <v/>
      </c>
      <c r="LP653" s="357" t="str">
        <f t="shared" si="307"/>
        <v/>
      </c>
      <c r="LQ653" s="357" t="str">
        <f t="shared" si="308"/>
        <v/>
      </c>
      <c r="LR653" s="357" t="str">
        <f t="shared" si="309"/>
        <v/>
      </c>
      <c r="LS653" s="357" t="str">
        <f t="shared" si="310"/>
        <v/>
      </c>
      <c r="LT653" s="357" t="str">
        <f t="shared" si="311"/>
        <v/>
      </c>
      <c r="LU653" s="357" t="str">
        <f t="shared" si="312"/>
        <v/>
      </c>
      <c r="LV653" s="357" t="str">
        <f t="shared" si="313"/>
        <v/>
      </c>
      <c r="LW653" s="357" t="str">
        <f t="shared" si="314"/>
        <v/>
      </c>
      <c r="LX653" s="357" t="str">
        <f t="shared" si="315"/>
        <v/>
      </c>
      <c r="LY653" s="357" t="str">
        <f t="shared" si="316"/>
        <v/>
      </c>
      <c r="LZ653" s="357" t="str">
        <f t="shared" si="317"/>
        <v/>
      </c>
      <c r="MA653" s="357" t="str">
        <f t="shared" si="318"/>
        <v/>
      </c>
      <c r="MB653" s="357" t="str">
        <f t="shared" si="319"/>
        <v/>
      </c>
      <c r="MC653" s="357" t="str">
        <f t="shared" si="320"/>
        <v/>
      </c>
      <c r="MD653" s="357" t="str">
        <f t="shared" si="321"/>
        <v/>
      </c>
      <c r="ME653" s="357" t="str">
        <f t="shared" si="322"/>
        <v/>
      </c>
      <c r="MF653" s="1750">
        <f t="shared" si="323"/>
        <v>0</v>
      </c>
      <c r="MG653" s="1750">
        <f t="shared" si="324"/>
        <v>0</v>
      </c>
      <c r="MH653" s="1750">
        <f t="shared" si="325"/>
        <v>0</v>
      </c>
      <c r="MI653" s="1750">
        <f t="shared" si="326"/>
        <v>0</v>
      </c>
      <c r="MJ653" s="1750">
        <f t="shared" si="327"/>
        <v>0</v>
      </c>
      <c r="MK653" s="1750">
        <f t="shared" si="333"/>
        <v>0</v>
      </c>
      <c r="ML653" s="1750">
        <f t="shared" si="334"/>
        <v>0</v>
      </c>
      <c r="MM653" s="1750">
        <f t="shared" si="335"/>
        <v>0</v>
      </c>
      <c r="MN653" s="1750">
        <f t="shared" si="336"/>
        <v>0</v>
      </c>
      <c r="MO653" s="1750">
        <f t="shared" si="337"/>
        <v>0</v>
      </c>
      <c r="MP653" s="1750">
        <f t="shared" si="328"/>
        <v>0</v>
      </c>
      <c r="MQ653" s="1750">
        <f t="shared" si="329"/>
        <v>0</v>
      </c>
      <c r="MR653" s="1750">
        <f t="shared" si="330"/>
        <v>0</v>
      </c>
      <c r="MS653" s="1750">
        <f t="shared" si="331"/>
        <v>0</v>
      </c>
      <c r="MT653" s="1750">
        <f t="shared" si="332"/>
        <v>0</v>
      </c>
      <c r="NP653" s="357" t="s">
        <v>6418</v>
      </c>
    </row>
    <row r="654" spans="1:380" ht="13.9" customHeight="1">
      <c r="A654" s="1901" t="str">
        <f t="shared" si="0"/>
        <v/>
      </c>
      <c r="B654" s="2228" t="str">
        <f>'Part V-Revenues &amp; Expenses'!B16</f>
        <v>Unrestricted</v>
      </c>
      <c r="C654" s="2229">
        <f>'Part V-Revenues &amp; Expenses'!C16</f>
        <v>0</v>
      </c>
      <c r="D654" s="2230">
        <f>'Part V-Revenues &amp; Expenses'!D16</f>
        <v>0</v>
      </c>
      <c r="E654" s="2231">
        <f>'Part V-Revenues &amp; Expenses'!E16</f>
        <v>0</v>
      </c>
      <c r="F654" s="2231">
        <f>'Part V-Revenues &amp; Expenses'!F16</f>
        <v>0</v>
      </c>
      <c r="G654" s="2231">
        <f>'Part V-Revenues &amp; Expenses'!G16</f>
        <v>0</v>
      </c>
      <c r="H654" s="2231">
        <f>'Part V-Revenues &amp; Expenses'!H16</f>
        <v>0</v>
      </c>
      <c r="I654" s="2231">
        <f>'Part V-Revenues &amp; Expenses'!I16</f>
        <v>0</v>
      </c>
      <c r="J654" s="2231">
        <f>'Part V-Revenues &amp; Expenses'!J16</f>
        <v>0</v>
      </c>
      <c r="K654" s="2232">
        <f>'Part V-Revenues &amp; Expenses'!K16</f>
        <v>0</v>
      </c>
      <c r="L654" s="2233">
        <f t="shared" si="1"/>
        <v>0</v>
      </c>
      <c r="M654" s="2233">
        <f t="shared" si="2"/>
        <v>0</v>
      </c>
      <c r="N654" s="2094">
        <f>'Part V-Revenues &amp; Expenses'!N16</f>
        <v>0</v>
      </c>
      <c r="O654" s="2234">
        <f>'Part V-Revenues &amp; Expenses'!O16</f>
        <v>0</v>
      </c>
      <c r="P654" s="2094">
        <f>'Part V-Revenues &amp; Expenses'!P16</f>
        <v>0</v>
      </c>
      <c r="Q654" s="2235">
        <f>'Part V-Revenues &amp; Expenses'!Q16</f>
        <v>0</v>
      </c>
      <c r="R654" s="2236"/>
      <c r="S654" s="2237"/>
      <c r="T654" s="2160"/>
      <c r="U654" s="2160"/>
      <c r="V654" s="2160"/>
      <c r="W654" s="2160"/>
      <c r="X654" s="357" t="str">
        <f t="shared" si="3"/>
        <v/>
      </c>
      <c r="Y654" s="357" t="str">
        <f t="shared" si="4"/>
        <v/>
      </c>
      <c r="Z654" s="357" t="str">
        <f t="shared" si="5"/>
        <v/>
      </c>
      <c r="AA654" s="357" t="str">
        <f t="shared" si="6"/>
        <v/>
      </c>
      <c r="AB654" s="357" t="str">
        <f t="shared" si="7"/>
        <v/>
      </c>
      <c r="AC654" s="357" t="str">
        <f t="shared" si="8"/>
        <v/>
      </c>
      <c r="AD654" s="357" t="str">
        <f t="shared" si="9"/>
        <v/>
      </c>
      <c r="AE654" s="357" t="str">
        <f t="shared" si="10"/>
        <v/>
      </c>
      <c r="AF654" s="357" t="str">
        <f t="shared" si="11"/>
        <v/>
      </c>
      <c r="AG654" s="357" t="str">
        <f t="shared" si="12"/>
        <v/>
      </c>
      <c r="AH654" s="357" t="str">
        <f t="shared" si="13"/>
        <v/>
      </c>
      <c r="AI654" s="357" t="str">
        <f t="shared" si="14"/>
        <v/>
      </c>
      <c r="AJ654" s="357" t="str">
        <f t="shared" si="15"/>
        <v/>
      </c>
      <c r="AK654" s="357" t="str">
        <f t="shared" si="16"/>
        <v/>
      </c>
      <c r="AL654" s="357" t="str">
        <f t="shared" si="17"/>
        <v/>
      </c>
      <c r="AM654" s="357" t="str">
        <f t="shared" si="18"/>
        <v/>
      </c>
      <c r="AN654" s="357" t="str">
        <f t="shared" si="19"/>
        <v/>
      </c>
      <c r="AO654" s="357" t="str">
        <f t="shared" si="20"/>
        <v/>
      </c>
      <c r="AP654" s="357" t="str">
        <f t="shared" si="21"/>
        <v/>
      </c>
      <c r="AQ654" s="357" t="str">
        <f t="shared" si="22"/>
        <v/>
      </c>
      <c r="AR654" s="357" t="str">
        <f t="shared" si="23"/>
        <v/>
      </c>
      <c r="AS654" s="357" t="str">
        <f t="shared" si="24"/>
        <v/>
      </c>
      <c r="AT654" s="357" t="str">
        <f t="shared" si="25"/>
        <v/>
      </c>
      <c r="AU654" s="357" t="str">
        <f t="shared" si="26"/>
        <v/>
      </c>
      <c r="AV654" s="357" t="str">
        <f t="shared" si="27"/>
        <v/>
      </c>
      <c r="AW654" s="357" t="str">
        <f t="shared" si="28"/>
        <v/>
      </c>
      <c r="AX654" s="357" t="str">
        <f t="shared" si="29"/>
        <v/>
      </c>
      <c r="AY654" s="357" t="str">
        <f t="shared" si="30"/>
        <v/>
      </c>
      <c r="AZ654" s="357" t="str">
        <f t="shared" si="31"/>
        <v/>
      </c>
      <c r="BA654" s="357" t="str">
        <f t="shared" si="32"/>
        <v/>
      </c>
      <c r="BB654" s="357" t="str">
        <f t="shared" si="33"/>
        <v/>
      </c>
      <c r="BC654" s="357" t="str">
        <f t="shared" si="34"/>
        <v/>
      </c>
      <c r="BD654" s="357" t="str">
        <f t="shared" si="35"/>
        <v/>
      </c>
      <c r="BE654" s="357" t="str">
        <f t="shared" si="36"/>
        <v/>
      </c>
      <c r="BF654" s="357" t="str">
        <f t="shared" si="37"/>
        <v/>
      </c>
      <c r="BG654" s="357" t="str">
        <f t="shared" si="38"/>
        <v/>
      </c>
      <c r="BH654" s="357" t="str">
        <f t="shared" si="39"/>
        <v/>
      </c>
      <c r="BI654" s="357" t="str">
        <f t="shared" si="40"/>
        <v/>
      </c>
      <c r="BJ654" s="357" t="str">
        <f t="shared" si="41"/>
        <v/>
      </c>
      <c r="BK654" s="357" t="str">
        <f t="shared" si="42"/>
        <v/>
      </c>
      <c r="BL654" s="357" t="str">
        <f t="shared" si="43"/>
        <v/>
      </c>
      <c r="BM654" s="357" t="str">
        <f t="shared" si="44"/>
        <v/>
      </c>
      <c r="BN654" s="357" t="str">
        <f t="shared" si="45"/>
        <v/>
      </c>
      <c r="BO654" s="357" t="str">
        <f t="shared" si="46"/>
        <v/>
      </c>
      <c r="BP654" s="357" t="str">
        <f t="shared" si="47"/>
        <v/>
      </c>
      <c r="BQ654" s="357" t="str">
        <f t="shared" si="48"/>
        <v/>
      </c>
      <c r="BR654" s="357" t="str">
        <f t="shared" si="49"/>
        <v/>
      </c>
      <c r="BS654" s="357" t="str">
        <f t="shared" si="50"/>
        <v/>
      </c>
      <c r="BT654" s="357" t="str">
        <f t="shared" si="51"/>
        <v/>
      </c>
      <c r="BU654" s="357" t="str">
        <f t="shared" si="52"/>
        <v/>
      </c>
      <c r="BV654" s="357" t="str">
        <f t="shared" si="53"/>
        <v/>
      </c>
      <c r="BW654" s="357" t="str">
        <f t="shared" si="54"/>
        <v/>
      </c>
      <c r="BX654" s="357" t="str">
        <f t="shared" si="55"/>
        <v/>
      </c>
      <c r="BY654" s="357" t="str">
        <f t="shared" si="56"/>
        <v/>
      </c>
      <c r="BZ654" s="357" t="str">
        <f t="shared" si="57"/>
        <v/>
      </c>
      <c r="CA654" s="357" t="str">
        <f t="shared" si="58"/>
        <v/>
      </c>
      <c r="CB654" s="357" t="str">
        <f t="shared" si="59"/>
        <v/>
      </c>
      <c r="CC654" s="357" t="str">
        <f t="shared" si="60"/>
        <v/>
      </c>
      <c r="CD654" s="357" t="str">
        <f t="shared" si="61"/>
        <v/>
      </c>
      <c r="CE654" s="357" t="str">
        <f t="shared" si="62"/>
        <v/>
      </c>
      <c r="CF654" s="357" t="str">
        <f t="shared" si="63"/>
        <v/>
      </c>
      <c r="CG654" s="357" t="str">
        <f t="shared" si="64"/>
        <v/>
      </c>
      <c r="CH654" s="357" t="str">
        <f t="shared" si="65"/>
        <v/>
      </c>
      <c r="CI654" s="357" t="str">
        <f t="shared" si="66"/>
        <v/>
      </c>
      <c r="CJ654" s="357" t="str">
        <f t="shared" si="67"/>
        <v/>
      </c>
      <c r="CK654" s="357" t="str">
        <f t="shared" si="68"/>
        <v/>
      </c>
      <c r="CL654" s="357" t="str">
        <f t="shared" si="69"/>
        <v/>
      </c>
      <c r="CM654" s="357" t="str">
        <f t="shared" si="70"/>
        <v/>
      </c>
      <c r="CN654" s="357" t="str">
        <f t="shared" si="71"/>
        <v/>
      </c>
      <c r="CO654" s="357" t="str">
        <f t="shared" si="72"/>
        <v/>
      </c>
      <c r="CP654" s="357" t="str">
        <f t="shared" si="73"/>
        <v/>
      </c>
      <c r="CQ654" s="357" t="str">
        <f t="shared" si="74"/>
        <v/>
      </c>
      <c r="CR654" s="357" t="str">
        <f t="shared" si="75"/>
        <v/>
      </c>
      <c r="CS654" s="357" t="str">
        <f t="shared" si="76"/>
        <v/>
      </c>
      <c r="CT654" s="357" t="str">
        <f t="shared" si="77"/>
        <v/>
      </c>
      <c r="CU654" s="357" t="str">
        <f t="shared" si="78"/>
        <v/>
      </c>
      <c r="CV654" s="357" t="str">
        <f t="shared" si="79"/>
        <v/>
      </c>
      <c r="CW654" s="357" t="str">
        <f t="shared" si="80"/>
        <v/>
      </c>
      <c r="CX654" s="357" t="str">
        <f t="shared" si="81"/>
        <v/>
      </c>
      <c r="CY654" s="357" t="str">
        <f t="shared" si="82"/>
        <v/>
      </c>
      <c r="CZ654" s="357" t="str">
        <f t="shared" si="83"/>
        <v/>
      </c>
      <c r="DA654" s="357" t="str">
        <f t="shared" si="84"/>
        <v/>
      </c>
      <c r="DB654" s="357" t="str">
        <f t="shared" si="85"/>
        <v/>
      </c>
      <c r="DC654" s="357" t="str">
        <f t="shared" si="86"/>
        <v/>
      </c>
      <c r="DD654" s="357" t="str">
        <f t="shared" si="87"/>
        <v/>
      </c>
      <c r="DE654" s="357" t="str">
        <f t="shared" si="88"/>
        <v/>
      </c>
      <c r="DF654" s="357" t="str">
        <f t="shared" si="89"/>
        <v/>
      </c>
      <c r="DG654" s="357" t="str">
        <f t="shared" si="90"/>
        <v/>
      </c>
      <c r="DH654" s="357" t="str">
        <f t="shared" si="91"/>
        <v/>
      </c>
      <c r="DI654" s="357" t="str">
        <f t="shared" si="92"/>
        <v/>
      </c>
      <c r="DJ654" s="357" t="str">
        <f t="shared" si="93"/>
        <v/>
      </c>
      <c r="DK654" s="357" t="str">
        <f t="shared" si="94"/>
        <v/>
      </c>
      <c r="DL654" s="357" t="str">
        <f t="shared" si="95"/>
        <v/>
      </c>
      <c r="DM654" s="357" t="str">
        <f t="shared" si="96"/>
        <v/>
      </c>
      <c r="DN654" s="357" t="str">
        <f t="shared" si="97"/>
        <v/>
      </c>
      <c r="DO654" s="357" t="str">
        <f t="shared" si="98"/>
        <v/>
      </c>
      <c r="DP654" s="357" t="str">
        <f t="shared" si="99"/>
        <v/>
      </c>
      <c r="DQ654" s="357" t="str">
        <f t="shared" si="100"/>
        <v/>
      </c>
      <c r="DR654" s="357" t="str">
        <f t="shared" si="101"/>
        <v/>
      </c>
      <c r="DS654" s="357" t="str">
        <f t="shared" si="102"/>
        <v/>
      </c>
      <c r="DT654" s="357" t="str">
        <f t="shared" si="103"/>
        <v/>
      </c>
      <c r="DU654" s="357" t="str">
        <f t="shared" si="104"/>
        <v/>
      </c>
      <c r="DV654" s="357" t="str">
        <f t="shared" si="105"/>
        <v/>
      </c>
      <c r="DW654" s="357" t="str">
        <f t="shared" si="106"/>
        <v/>
      </c>
      <c r="DX654" s="357" t="str">
        <f t="shared" si="107"/>
        <v/>
      </c>
      <c r="DY654" s="357" t="str">
        <f t="shared" si="108"/>
        <v/>
      </c>
      <c r="DZ654" s="357" t="str">
        <f t="shared" si="109"/>
        <v/>
      </c>
      <c r="EA654" s="357" t="str">
        <f t="shared" si="110"/>
        <v/>
      </c>
      <c r="EB654" s="357" t="str">
        <f t="shared" si="111"/>
        <v/>
      </c>
      <c r="EC654" s="357" t="str">
        <f t="shared" si="112"/>
        <v/>
      </c>
      <c r="ED654" s="357" t="str">
        <f t="shared" si="113"/>
        <v/>
      </c>
      <c r="EE654" s="357" t="str">
        <f t="shared" si="114"/>
        <v/>
      </c>
      <c r="EF654" s="357" t="str">
        <f t="shared" si="115"/>
        <v/>
      </c>
      <c r="EG654" s="357" t="str">
        <f t="shared" si="116"/>
        <v/>
      </c>
      <c r="EH654" s="357" t="str">
        <f t="shared" si="117"/>
        <v/>
      </c>
      <c r="EI654" s="357" t="str">
        <f t="shared" si="118"/>
        <v/>
      </c>
      <c r="EJ654" s="357" t="str">
        <f t="shared" si="119"/>
        <v/>
      </c>
      <c r="EK654" s="357" t="str">
        <f t="shared" si="120"/>
        <v/>
      </c>
      <c r="EL654" s="357" t="str">
        <f t="shared" si="121"/>
        <v/>
      </c>
      <c r="EM654" s="357" t="str">
        <f t="shared" si="122"/>
        <v/>
      </c>
      <c r="EN654" s="357" t="str">
        <f t="shared" si="123"/>
        <v/>
      </c>
      <c r="EO654" s="357" t="str">
        <f t="shared" si="124"/>
        <v/>
      </c>
      <c r="EP654" s="357" t="str">
        <f t="shared" si="125"/>
        <v/>
      </c>
      <c r="EQ654" s="357" t="str">
        <f t="shared" si="126"/>
        <v/>
      </c>
      <c r="ER654" s="357" t="str">
        <f t="shared" si="127"/>
        <v/>
      </c>
      <c r="ES654" s="357" t="str">
        <f t="shared" si="128"/>
        <v/>
      </c>
      <c r="ET654" s="357" t="str">
        <f t="shared" si="129"/>
        <v/>
      </c>
      <c r="EU654" s="357" t="str">
        <f t="shared" si="130"/>
        <v/>
      </c>
      <c r="EV654" s="357" t="str">
        <f t="shared" si="131"/>
        <v/>
      </c>
      <c r="EW654" s="357" t="str">
        <f t="shared" si="132"/>
        <v/>
      </c>
      <c r="EX654" s="357" t="str">
        <f t="shared" si="133"/>
        <v/>
      </c>
      <c r="EY654" s="357" t="str">
        <f t="shared" si="134"/>
        <v/>
      </c>
      <c r="EZ654" s="357" t="str">
        <f t="shared" si="135"/>
        <v/>
      </c>
      <c r="FA654" s="357" t="str">
        <f t="shared" si="136"/>
        <v/>
      </c>
      <c r="FB654" s="357" t="str">
        <f t="shared" si="137"/>
        <v/>
      </c>
      <c r="FC654" s="357" t="str">
        <f t="shared" si="138"/>
        <v/>
      </c>
      <c r="FD654" s="357" t="str">
        <f t="shared" si="139"/>
        <v/>
      </c>
      <c r="FE654" s="357" t="str">
        <f t="shared" si="140"/>
        <v/>
      </c>
      <c r="FF654" s="357" t="str">
        <f t="shared" si="141"/>
        <v/>
      </c>
      <c r="FG654" s="357" t="str">
        <f t="shared" si="142"/>
        <v/>
      </c>
      <c r="FH654" s="357" t="str">
        <f t="shared" si="143"/>
        <v/>
      </c>
      <c r="FI654" s="357" t="str">
        <f t="shared" si="144"/>
        <v/>
      </c>
      <c r="FJ654" s="357" t="str">
        <f t="shared" si="145"/>
        <v/>
      </c>
      <c r="FK654" s="357" t="str">
        <f t="shared" si="146"/>
        <v/>
      </c>
      <c r="FL654" s="357" t="str">
        <f t="shared" si="147"/>
        <v/>
      </c>
      <c r="FM654" s="357" t="str">
        <f t="shared" si="148"/>
        <v/>
      </c>
      <c r="FN654" s="357" t="str">
        <f t="shared" si="149"/>
        <v/>
      </c>
      <c r="FO654" s="357" t="str">
        <f t="shared" si="150"/>
        <v/>
      </c>
      <c r="FP654" s="357" t="str">
        <f t="shared" si="151"/>
        <v/>
      </c>
      <c r="FQ654" s="357" t="str">
        <f t="shared" si="152"/>
        <v/>
      </c>
      <c r="FR654" s="357" t="str">
        <f t="shared" si="153"/>
        <v/>
      </c>
      <c r="FS654" s="357" t="str">
        <f t="shared" si="154"/>
        <v/>
      </c>
      <c r="FT654" s="357" t="str">
        <f t="shared" si="155"/>
        <v/>
      </c>
      <c r="FU654" s="357" t="str">
        <f t="shared" si="156"/>
        <v/>
      </c>
      <c r="FV654" s="357" t="str">
        <f t="shared" si="157"/>
        <v/>
      </c>
      <c r="FW654" s="357" t="str">
        <f t="shared" si="158"/>
        <v/>
      </c>
      <c r="FX654" s="357" t="str">
        <f t="shared" si="159"/>
        <v/>
      </c>
      <c r="FY654" s="357" t="str">
        <f t="shared" si="160"/>
        <v/>
      </c>
      <c r="FZ654" s="357" t="str">
        <f t="shared" si="161"/>
        <v/>
      </c>
      <c r="GA654" s="357" t="str">
        <f t="shared" si="162"/>
        <v/>
      </c>
      <c r="GB654" s="357" t="str">
        <f t="shared" si="163"/>
        <v/>
      </c>
      <c r="GC654" s="357" t="str">
        <f t="shared" si="164"/>
        <v/>
      </c>
      <c r="GD654" s="357" t="str">
        <f t="shared" si="165"/>
        <v/>
      </c>
      <c r="GE654" s="357" t="str">
        <f t="shared" si="166"/>
        <v/>
      </c>
      <c r="GF654" s="357" t="str">
        <f t="shared" si="167"/>
        <v/>
      </c>
      <c r="GG654" s="357" t="str">
        <f t="shared" si="168"/>
        <v/>
      </c>
      <c r="GH654" s="357" t="str">
        <f t="shared" si="169"/>
        <v/>
      </c>
      <c r="GI654" s="357" t="str">
        <f t="shared" si="170"/>
        <v/>
      </c>
      <c r="GJ654" s="357" t="str">
        <f t="shared" si="171"/>
        <v/>
      </c>
      <c r="GK654" s="357" t="str">
        <f t="shared" si="172"/>
        <v/>
      </c>
      <c r="GL654" s="357" t="str">
        <f t="shared" si="173"/>
        <v/>
      </c>
      <c r="GM654" s="357" t="str">
        <f t="shared" si="174"/>
        <v/>
      </c>
      <c r="GN654" s="357" t="str">
        <f t="shared" si="175"/>
        <v/>
      </c>
      <c r="GO654" s="357" t="str">
        <f t="shared" si="176"/>
        <v/>
      </c>
      <c r="GP654" s="357" t="str">
        <f t="shared" si="177"/>
        <v/>
      </c>
      <c r="GQ654" s="357" t="str">
        <f t="shared" si="178"/>
        <v/>
      </c>
      <c r="GR654" s="357" t="str">
        <f t="shared" si="179"/>
        <v/>
      </c>
      <c r="GS654" s="357" t="str">
        <f t="shared" si="180"/>
        <v/>
      </c>
      <c r="GT654" s="357" t="str">
        <f t="shared" si="181"/>
        <v/>
      </c>
      <c r="GU654" s="357" t="str">
        <f t="shared" si="182"/>
        <v/>
      </c>
      <c r="GV654" s="357" t="str">
        <f t="shared" si="183"/>
        <v/>
      </c>
      <c r="GW654" s="357" t="str">
        <f t="shared" si="184"/>
        <v/>
      </c>
      <c r="GX654" s="357" t="str">
        <f t="shared" si="185"/>
        <v/>
      </c>
      <c r="GY654" s="357" t="str">
        <f t="shared" si="186"/>
        <v/>
      </c>
      <c r="GZ654" s="357" t="str">
        <f t="shared" si="187"/>
        <v/>
      </c>
      <c r="HA654" s="357" t="str">
        <f t="shared" si="188"/>
        <v/>
      </c>
      <c r="HB654" s="357" t="str">
        <f t="shared" si="189"/>
        <v/>
      </c>
      <c r="HC654" s="357" t="str">
        <f t="shared" si="190"/>
        <v/>
      </c>
      <c r="HD654" s="357" t="str">
        <f t="shared" si="191"/>
        <v/>
      </c>
      <c r="HE654" s="357" t="str">
        <f t="shared" si="192"/>
        <v/>
      </c>
      <c r="HF654" s="357" t="str">
        <f t="shared" si="193"/>
        <v/>
      </c>
      <c r="HG654" s="357" t="str">
        <f t="shared" si="194"/>
        <v/>
      </c>
      <c r="HH654" s="357" t="str">
        <f t="shared" si="195"/>
        <v/>
      </c>
      <c r="HI654" s="357" t="str">
        <f t="shared" si="196"/>
        <v/>
      </c>
      <c r="HJ654" s="357" t="str">
        <f t="shared" si="197"/>
        <v/>
      </c>
      <c r="HK654" s="357" t="str">
        <f t="shared" si="198"/>
        <v/>
      </c>
      <c r="HL654" s="357" t="str">
        <f t="shared" si="199"/>
        <v/>
      </c>
      <c r="HM654" s="357" t="str">
        <f t="shared" si="200"/>
        <v/>
      </c>
      <c r="HN654" s="357" t="str">
        <f t="shared" si="201"/>
        <v/>
      </c>
      <c r="HO654" s="357" t="str">
        <f t="shared" si="202"/>
        <v/>
      </c>
      <c r="HP654" s="357" t="str">
        <f t="shared" si="203"/>
        <v/>
      </c>
      <c r="HQ654" s="357" t="str">
        <f t="shared" si="204"/>
        <v/>
      </c>
      <c r="HR654" s="357" t="str">
        <f t="shared" si="205"/>
        <v/>
      </c>
      <c r="HS654" s="357" t="str">
        <f t="shared" si="206"/>
        <v/>
      </c>
      <c r="HT654" s="357" t="str">
        <f t="shared" si="207"/>
        <v/>
      </c>
      <c r="HU654" s="357" t="str">
        <f t="shared" si="208"/>
        <v/>
      </c>
      <c r="HV654" s="357" t="str">
        <f t="shared" si="209"/>
        <v/>
      </c>
      <c r="HW654" s="357" t="str">
        <f t="shared" si="210"/>
        <v/>
      </c>
      <c r="HX654" s="357" t="str">
        <f t="shared" si="211"/>
        <v/>
      </c>
      <c r="HY654" s="357" t="str">
        <f t="shared" si="212"/>
        <v/>
      </c>
      <c r="HZ654" s="1903" t="str">
        <f t="shared" si="213"/>
        <v/>
      </c>
      <c r="IA654" s="1903" t="str">
        <f t="shared" si="214"/>
        <v/>
      </c>
      <c r="IB654" s="1903" t="str">
        <f t="shared" si="215"/>
        <v/>
      </c>
      <c r="IC654" s="1903" t="str">
        <f t="shared" si="216"/>
        <v/>
      </c>
      <c r="ID654" s="1903" t="str">
        <f t="shared" si="217"/>
        <v/>
      </c>
      <c r="IE654" s="1903" t="str">
        <f t="shared" si="218"/>
        <v/>
      </c>
      <c r="IF654" s="1903" t="str">
        <f t="shared" si="219"/>
        <v/>
      </c>
      <c r="IG654" s="1903" t="str">
        <f t="shared" si="220"/>
        <v/>
      </c>
      <c r="IH654" s="1903" t="str">
        <f t="shared" si="221"/>
        <v/>
      </c>
      <c r="II654" s="1903" t="str">
        <f t="shared" si="222"/>
        <v/>
      </c>
      <c r="IJ654" s="1903" t="str">
        <f t="shared" si="223"/>
        <v/>
      </c>
      <c r="IK654" s="1903" t="str">
        <f t="shared" si="224"/>
        <v/>
      </c>
      <c r="IL654" s="1903" t="str">
        <f t="shared" si="225"/>
        <v/>
      </c>
      <c r="IM654" s="1903" t="str">
        <f t="shared" si="226"/>
        <v/>
      </c>
      <c r="IN654" s="1903" t="str">
        <f t="shared" si="227"/>
        <v/>
      </c>
      <c r="IO654" s="1903" t="str">
        <f t="shared" si="228"/>
        <v/>
      </c>
      <c r="IP654" s="1903" t="str">
        <f t="shared" si="229"/>
        <v/>
      </c>
      <c r="IQ654" s="1903" t="str">
        <f t="shared" si="230"/>
        <v/>
      </c>
      <c r="IR654" s="1903" t="str">
        <f t="shared" si="231"/>
        <v/>
      </c>
      <c r="IS654" s="1903" t="str">
        <f t="shared" si="232"/>
        <v/>
      </c>
      <c r="IT654" s="1903" t="str">
        <f t="shared" si="233"/>
        <v/>
      </c>
      <c r="IU654" s="1903" t="str">
        <f t="shared" si="234"/>
        <v/>
      </c>
      <c r="IV654" s="1903" t="str">
        <f t="shared" si="235"/>
        <v/>
      </c>
      <c r="IW654" s="1903" t="str">
        <f t="shared" si="236"/>
        <v/>
      </c>
      <c r="IX654" s="1903" t="str">
        <f t="shared" si="237"/>
        <v/>
      </c>
      <c r="IY654" s="1903" t="str">
        <f t="shared" si="238"/>
        <v/>
      </c>
      <c r="IZ654" s="1903" t="str">
        <f t="shared" si="239"/>
        <v/>
      </c>
      <c r="JA654" s="1903" t="str">
        <f t="shared" si="240"/>
        <v/>
      </c>
      <c r="JB654" s="1903" t="str">
        <f t="shared" si="241"/>
        <v/>
      </c>
      <c r="JC654" s="1903" t="str">
        <f t="shared" si="242"/>
        <v/>
      </c>
      <c r="JD654" s="1903" t="str">
        <f t="shared" si="243"/>
        <v/>
      </c>
      <c r="JE654" s="1903" t="str">
        <f t="shared" si="244"/>
        <v/>
      </c>
      <c r="JF654" s="1903" t="str">
        <f t="shared" si="245"/>
        <v/>
      </c>
      <c r="JG654" s="1903" t="str">
        <f t="shared" si="246"/>
        <v/>
      </c>
      <c r="JH654" s="1903" t="str">
        <f t="shared" si="247"/>
        <v/>
      </c>
      <c r="JI654" s="1903" t="str">
        <f t="shared" si="248"/>
        <v/>
      </c>
      <c r="JJ654" s="1903" t="str">
        <f t="shared" si="249"/>
        <v/>
      </c>
      <c r="JK654" s="1903" t="str">
        <f t="shared" si="250"/>
        <v/>
      </c>
      <c r="JL654" s="1903" t="str">
        <f t="shared" si="251"/>
        <v/>
      </c>
      <c r="JM654" s="1903" t="str">
        <f t="shared" si="252"/>
        <v/>
      </c>
      <c r="JN654" s="1903" t="str">
        <f t="shared" si="253"/>
        <v/>
      </c>
      <c r="JO654" s="1903" t="str">
        <f t="shared" si="254"/>
        <v/>
      </c>
      <c r="JP654" s="1903" t="str">
        <f t="shared" si="255"/>
        <v/>
      </c>
      <c r="JQ654" s="1903" t="str">
        <f t="shared" si="256"/>
        <v/>
      </c>
      <c r="JR654" s="1903" t="str">
        <f t="shared" si="257"/>
        <v/>
      </c>
      <c r="JS654" s="1903" t="str">
        <f t="shared" si="258"/>
        <v/>
      </c>
      <c r="JT654" s="1903" t="str">
        <f t="shared" si="259"/>
        <v/>
      </c>
      <c r="JU654" s="1903" t="str">
        <f t="shared" si="260"/>
        <v/>
      </c>
      <c r="JV654" s="1903" t="str">
        <f t="shared" si="261"/>
        <v/>
      </c>
      <c r="JW654" s="1903" t="str">
        <f t="shared" si="262"/>
        <v/>
      </c>
      <c r="JX654" s="1903" t="str">
        <f t="shared" si="263"/>
        <v/>
      </c>
      <c r="JY654" s="1903" t="str">
        <f t="shared" si="264"/>
        <v/>
      </c>
      <c r="JZ654" s="1903" t="str">
        <f t="shared" si="265"/>
        <v/>
      </c>
      <c r="KA654" s="1903" t="str">
        <f t="shared" si="266"/>
        <v/>
      </c>
      <c r="KB654" s="1903" t="str">
        <f t="shared" si="267"/>
        <v/>
      </c>
      <c r="KC654" s="1903" t="str">
        <f t="shared" si="268"/>
        <v/>
      </c>
      <c r="KD654" s="1903" t="str">
        <f t="shared" si="269"/>
        <v/>
      </c>
      <c r="KE654" s="1903" t="str">
        <f t="shared" si="270"/>
        <v/>
      </c>
      <c r="KF654" s="1903" t="str">
        <f t="shared" si="271"/>
        <v/>
      </c>
      <c r="KG654" s="1903" t="str">
        <f t="shared" si="272"/>
        <v/>
      </c>
      <c r="KH654" s="1903" t="str">
        <f t="shared" si="273"/>
        <v/>
      </c>
      <c r="KI654" s="1903" t="str">
        <f t="shared" si="274"/>
        <v/>
      </c>
      <c r="KJ654" s="1903" t="str">
        <f t="shared" si="275"/>
        <v/>
      </c>
      <c r="KK654" s="1903" t="str">
        <f t="shared" si="276"/>
        <v/>
      </c>
      <c r="KL654" s="1903" t="str">
        <f t="shared" si="277"/>
        <v/>
      </c>
      <c r="KM654" s="1903" t="str">
        <f t="shared" si="278"/>
        <v/>
      </c>
      <c r="KN654" s="1903" t="str">
        <f t="shared" si="279"/>
        <v/>
      </c>
      <c r="KO654" s="1903" t="str">
        <f t="shared" si="280"/>
        <v/>
      </c>
      <c r="KP654" s="1903" t="str">
        <f t="shared" si="281"/>
        <v/>
      </c>
      <c r="KQ654" s="1903" t="str">
        <f t="shared" si="282"/>
        <v/>
      </c>
      <c r="KR654" s="1903" t="str">
        <f t="shared" si="283"/>
        <v/>
      </c>
      <c r="KS654" s="1903" t="str">
        <f t="shared" si="284"/>
        <v/>
      </c>
      <c r="KT654" s="1903" t="str">
        <f t="shared" si="285"/>
        <v/>
      </c>
      <c r="KU654" s="1903" t="str">
        <f t="shared" si="286"/>
        <v/>
      </c>
      <c r="KV654" s="1903" t="str">
        <f t="shared" si="287"/>
        <v/>
      </c>
      <c r="KW654" s="1903" t="str">
        <f t="shared" si="288"/>
        <v/>
      </c>
      <c r="KX654" s="1903" t="str">
        <f t="shared" si="289"/>
        <v/>
      </c>
      <c r="KY654" s="1903" t="str">
        <f t="shared" si="290"/>
        <v/>
      </c>
      <c r="KZ654" s="1903" t="str">
        <f t="shared" si="291"/>
        <v/>
      </c>
      <c r="LA654" s="1903" t="str">
        <f t="shared" si="292"/>
        <v/>
      </c>
      <c r="LB654" s="1903" t="str">
        <f t="shared" si="293"/>
        <v/>
      </c>
      <c r="LC654" s="1903" t="str">
        <f t="shared" si="294"/>
        <v/>
      </c>
      <c r="LD654" s="1903" t="str">
        <f t="shared" si="295"/>
        <v/>
      </c>
      <c r="LE654" s="1903" t="str">
        <f t="shared" si="296"/>
        <v/>
      </c>
      <c r="LF654" s="1903" t="str">
        <f t="shared" si="297"/>
        <v/>
      </c>
      <c r="LG654" s="1750" t="str">
        <f t="shared" si="298"/>
        <v/>
      </c>
      <c r="LH654" s="1750" t="str">
        <f t="shared" si="299"/>
        <v/>
      </c>
      <c r="LI654" s="1750" t="str">
        <f t="shared" si="300"/>
        <v/>
      </c>
      <c r="LJ654" s="1750" t="str">
        <f t="shared" si="301"/>
        <v/>
      </c>
      <c r="LK654" s="1750" t="str">
        <f t="shared" si="302"/>
        <v/>
      </c>
      <c r="LL654" s="357" t="str">
        <f t="shared" si="303"/>
        <v/>
      </c>
      <c r="LM654" s="357" t="str">
        <f t="shared" si="304"/>
        <v/>
      </c>
      <c r="LN654" s="357" t="str">
        <f t="shared" si="305"/>
        <v/>
      </c>
      <c r="LO654" s="357" t="str">
        <f t="shared" si="306"/>
        <v/>
      </c>
      <c r="LP654" s="357" t="str">
        <f t="shared" si="307"/>
        <v/>
      </c>
      <c r="LQ654" s="357" t="str">
        <f t="shared" si="308"/>
        <v/>
      </c>
      <c r="LR654" s="357" t="str">
        <f t="shared" si="309"/>
        <v/>
      </c>
      <c r="LS654" s="357" t="str">
        <f t="shared" si="310"/>
        <v/>
      </c>
      <c r="LT654" s="357" t="str">
        <f t="shared" si="311"/>
        <v/>
      </c>
      <c r="LU654" s="357" t="str">
        <f t="shared" si="312"/>
        <v/>
      </c>
      <c r="LV654" s="357" t="str">
        <f t="shared" si="313"/>
        <v/>
      </c>
      <c r="LW654" s="357" t="str">
        <f t="shared" si="314"/>
        <v/>
      </c>
      <c r="LX654" s="357" t="str">
        <f t="shared" si="315"/>
        <v/>
      </c>
      <c r="LY654" s="357" t="str">
        <f t="shared" si="316"/>
        <v/>
      </c>
      <c r="LZ654" s="357" t="str">
        <f t="shared" si="317"/>
        <v/>
      </c>
      <c r="MA654" s="357" t="str">
        <f t="shared" si="318"/>
        <v/>
      </c>
      <c r="MB654" s="357" t="str">
        <f t="shared" si="319"/>
        <v/>
      </c>
      <c r="MC654" s="357" t="str">
        <f t="shared" si="320"/>
        <v/>
      </c>
      <c r="MD654" s="357" t="str">
        <f t="shared" si="321"/>
        <v/>
      </c>
      <c r="ME654" s="357" t="str">
        <f t="shared" si="322"/>
        <v/>
      </c>
      <c r="MF654" s="1750">
        <f t="shared" si="323"/>
        <v>0</v>
      </c>
      <c r="MG654" s="1750">
        <f t="shared" si="324"/>
        <v>0</v>
      </c>
      <c r="MH654" s="1750">
        <f t="shared" si="325"/>
        <v>0</v>
      </c>
      <c r="MI654" s="1750">
        <f t="shared" si="326"/>
        <v>0</v>
      </c>
      <c r="MJ654" s="1750">
        <f t="shared" si="327"/>
        <v>0</v>
      </c>
      <c r="MK654" s="1750">
        <f t="shared" si="333"/>
        <v>0</v>
      </c>
      <c r="ML654" s="1750">
        <f t="shared" si="334"/>
        <v>0</v>
      </c>
      <c r="MM654" s="1750">
        <f t="shared" si="335"/>
        <v>0</v>
      </c>
      <c r="MN654" s="1750">
        <f t="shared" si="336"/>
        <v>0</v>
      </c>
      <c r="MO654" s="1750">
        <f t="shared" si="337"/>
        <v>0</v>
      </c>
      <c r="MP654" s="1750">
        <f t="shared" si="328"/>
        <v>0</v>
      </c>
      <c r="MQ654" s="1750">
        <f t="shared" si="329"/>
        <v>0</v>
      </c>
      <c r="MR654" s="1750">
        <f t="shared" si="330"/>
        <v>0</v>
      </c>
      <c r="MS654" s="1750">
        <f t="shared" si="331"/>
        <v>0</v>
      </c>
      <c r="MT654" s="1750">
        <f t="shared" si="332"/>
        <v>0</v>
      </c>
      <c r="NP654" s="357" t="s">
        <v>6419</v>
      </c>
    </row>
    <row r="655" spans="1:380" ht="13.9" customHeight="1">
      <c r="A655" s="1901" t="str">
        <f t="shared" si="0"/>
        <v/>
      </c>
      <c r="B655" s="2228" t="str">
        <f>'Part V-Revenues &amp; Expenses'!B17</f>
        <v>Unrestricted</v>
      </c>
      <c r="C655" s="2229">
        <f>'Part V-Revenues &amp; Expenses'!C17</f>
        <v>0</v>
      </c>
      <c r="D655" s="2230">
        <f>'Part V-Revenues &amp; Expenses'!D17</f>
        <v>0</v>
      </c>
      <c r="E655" s="2231">
        <f>'Part V-Revenues &amp; Expenses'!E17</f>
        <v>0</v>
      </c>
      <c r="F655" s="2231">
        <f>'Part V-Revenues &amp; Expenses'!F17</f>
        <v>0</v>
      </c>
      <c r="G655" s="2231">
        <f>'Part V-Revenues &amp; Expenses'!G17</f>
        <v>0</v>
      </c>
      <c r="H655" s="2231">
        <f>'Part V-Revenues &amp; Expenses'!H17</f>
        <v>0</v>
      </c>
      <c r="I655" s="2231">
        <f>'Part V-Revenues &amp; Expenses'!I17</f>
        <v>0</v>
      </c>
      <c r="J655" s="2231">
        <f>'Part V-Revenues &amp; Expenses'!J17</f>
        <v>0</v>
      </c>
      <c r="K655" s="2232">
        <f>'Part V-Revenues &amp; Expenses'!K17</f>
        <v>0</v>
      </c>
      <c r="L655" s="2233">
        <f t="shared" ref="L655:L662" si="338">MAX(0,H655-I655-J655)</f>
        <v>0</v>
      </c>
      <c r="M655" s="2233">
        <f t="shared" ref="M655:M662" si="339">MAX(0,E655*L655)</f>
        <v>0</v>
      </c>
      <c r="N655" s="2094">
        <f>'Part V-Revenues &amp; Expenses'!N17</f>
        <v>0</v>
      </c>
      <c r="O655" s="2234">
        <f>'Part V-Revenues &amp; Expenses'!O17</f>
        <v>0</v>
      </c>
      <c r="P655" s="2094">
        <f>'Part V-Revenues &amp; Expenses'!P17</f>
        <v>0</v>
      </c>
      <c r="Q655" s="2235">
        <f>'Part V-Revenues &amp; Expenses'!Q17</f>
        <v>0</v>
      </c>
      <c r="R655" s="2236"/>
      <c r="S655" s="2237"/>
      <c r="T655" s="2160"/>
      <c r="U655" s="2160"/>
      <c r="V655" s="2160"/>
      <c r="W655" s="2160"/>
      <c r="X655" s="357" t="str">
        <f t="shared" si="3"/>
        <v/>
      </c>
      <c r="Y655" s="357" t="str">
        <f t="shared" si="4"/>
        <v/>
      </c>
      <c r="Z655" s="357" t="str">
        <f t="shared" si="5"/>
        <v/>
      </c>
      <c r="AA655" s="357" t="str">
        <f t="shared" si="6"/>
        <v/>
      </c>
      <c r="AB655" s="357" t="str">
        <f t="shared" si="7"/>
        <v/>
      </c>
      <c r="AC655" s="357" t="str">
        <f t="shared" si="8"/>
        <v/>
      </c>
      <c r="AD655" s="357" t="str">
        <f t="shared" si="9"/>
        <v/>
      </c>
      <c r="AE655" s="357" t="str">
        <f t="shared" si="10"/>
        <v/>
      </c>
      <c r="AF655" s="357" t="str">
        <f t="shared" si="11"/>
        <v/>
      </c>
      <c r="AG655" s="357" t="str">
        <f t="shared" si="12"/>
        <v/>
      </c>
      <c r="AH655" s="357" t="str">
        <f t="shared" si="13"/>
        <v/>
      </c>
      <c r="AI655" s="357" t="str">
        <f t="shared" si="14"/>
        <v/>
      </c>
      <c r="AJ655" s="357" t="str">
        <f t="shared" si="15"/>
        <v/>
      </c>
      <c r="AK655" s="357" t="str">
        <f t="shared" si="16"/>
        <v/>
      </c>
      <c r="AL655" s="357" t="str">
        <f t="shared" si="17"/>
        <v/>
      </c>
      <c r="AM655" s="357" t="str">
        <f t="shared" si="18"/>
        <v/>
      </c>
      <c r="AN655" s="357" t="str">
        <f t="shared" si="19"/>
        <v/>
      </c>
      <c r="AO655" s="357" t="str">
        <f t="shared" si="20"/>
        <v/>
      </c>
      <c r="AP655" s="357" t="str">
        <f t="shared" si="21"/>
        <v/>
      </c>
      <c r="AQ655" s="357" t="str">
        <f t="shared" si="22"/>
        <v/>
      </c>
      <c r="AR655" s="357" t="str">
        <f t="shared" si="23"/>
        <v/>
      </c>
      <c r="AS655" s="357" t="str">
        <f t="shared" si="24"/>
        <v/>
      </c>
      <c r="AT655" s="357" t="str">
        <f t="shared" si="25"/>
        <v/>
      </c>
      <c r="AU655" s="357" t="str">
        <f t="shared" si="26"/>
        <v/>
      </c>
      <c r="AV655" s="357" t="str">
        <f t="shared" si="27"/>
        <v/>
      </c>
      <c r="AW655" s="357" t="str">
        <f t="shared" si="28"/>
        <v/>
      </c>
      <c r="AX655" s="357" t="str">
        <f t="shared" si="29"/>
        <v/>
      </c>
      <c r="AY655" s="357" t="str">
        <f t="shared" si="30"/>
        <v/>
      </c>
      <c r="AZ655" s="357" t="str">
        <f t="shared" si="31"/>
        <v/>
      </c>
      <c r="BA655" s="357" t="str">
        <f t="shared" si="32"/>
        <v/>
      </c>
      <c r="BB655" s="357" t="str">
        <f t="shared" si="33"/>
        <v/>
      </c>
      <c r="BC655" s="357" t="str">
        <f t="shared" si="34"/>
        <v/>
      </c>
      <c r="BD655" s="357" t="str">
        <f t="shared" si="35"/>
        <v/>
      </c>
      <c r="BE655" s="357" t="str">
        <f t="shared" si="36"/>
        <v/>
      </c>
      <c r="BF655" s="357" t="str">
        <f t="shared" si="37"/>
        <v/>
      </c>
      <c r="BG655" s="357" t="str">
        <f t="shared" si="38"/>
        <v/>
      </c>
      <c r="BH655" s="357" t="str">
        <f t="shared" si="39"/>
        <v/>
      </c>
      <c r="BI655" s="357" t="str">
        <f t="shared" si="40"/>
        <v/>
      </c>
      <c r="BJ655" s="357" t="str">
        <f t="shared" si="41"/>
        <v/>
      </c>
      <c r="BK655" s="357" t="str">
        <f t="shared" si="42"/>
        <v/>
      </c>
      <c r="BL655" s="357" t="str">
        <f t="shared" si="43"/>
        <v/>
      </c>
      <c r="BM655" s="357" t="str">
        <f t="shared" si="44"/>
        <v/>
      </c>
      <c r="BN655" s="357" t="str">
        <f t="shared" si="45"/>
        <v/>
      </c>
      <c r="BO655" s="357" t="str">
        <f t="shared" si="46"/>
        <v/>
      </c>
      <c r="BP655" s="357" t="str">
        <f t="shared" si="47"/>
        <v/>
      </c>
      <c r="BQ655" s="357" t="str">
        <f t="shared" si="48"/>
        <v/>
      </c>
      <c r="BR655" s="357" t="str">
        <f t="shared" si="49"/>
        <v/>
      </c>
      <c r="BS655" s="357" t="str">
        <f t="shared" si="50"/>
        <v/>
      </c>
      <c r="BT655" s="357" t="str">
        <f t="shared" si="51"/>
        <v/>
      </c>
      <c r="BU655" s="357" t="str">
        <f t="shared" si="52"/>
        <v/>
      </c>
      <c r="BV655" s="357" t="str">
        <f t="shared" si="53"/>
        <v/>
      </c>
      <c r="BW655" s="357" t="str">
        <f t="shared" si="54"/>
        <v/>
      </c>
      <c r="BX655" s="357" t="str">
        <f t="shared" si="55"/>
        <v/>
      </c>
      <c r="BY655" s="357" t="str">
        <f t="shared" si="56"/>
        <v/>
      </c>
      <c r="BZ655" s="357" t="str">
        <f t="shared" si="57"/>
        <v/>
      </c>
      <c r="CA655" s="357" t="str">
        <f t="shared" si="58"/>
        <v/>
      </c>
      <c r="CB655" s="357" t="str">
        <f t="shared" si="59"/>
        <v/>
      </c>
      <c r="CC655" s="357" t="str">
        <f t="shared" si="60"/>
        <v/>
      </c>
      <c r="CD655" s="357" t="str">
        <f t="shared" si="61"/>
        <v/>
      </c>
      <c r="CE655" s="357" t="str">
        <f t="shared" si="62"/>
        <v/>
      </c>
      <c r="CF655" s="357" t="str">
        <f t="shared" si="63"/>
        <v/>
      </c>
      <c r="CG655" s="357" t="str">
        <f t="shared" si="64"/>
        <v/>
      </c>
      <c r="CH655" s="357" t="str">
        <f t="shared" si="65"/>
        <v/>
      </c>
      <c r="CI655" s="357" t="str">
        <f t="shared" si="66"/>
        <v/>
      </c>
      <c r="CJ655" s="357" t="str">
        <f t="shared" si="67"/>
        <v/>
      </c>
      <c r="CK655" s="357" t="str">
        <f t="shared" si="68"/>
        <v/>
      </c>
      <c r="CL655" s="357" t="str">
        <f t="shared" si="69"/>
        <v/>
      </c>
      <c r="CM655" s="357" t="str">
        <f t="shared" si="70"/>
        <v/>
      </c>
      <c r="CN655" s="357" t="str">
        <f t="shared" si="71"/>
        <v/>
      </c>
      <c r="CO655" s="357" t="str">
        <f t="shared" si="72"/>
        <v/>
      </c>
      <c r="CP655" s="357" t="str">
        <f t="shared" si="73"/>
        <v/>
      </c>
      <c r="CQ655" s="357" t="str">
        <f t="shared" si="74"/>
        <v/>
      </c>
      <c r="CR655" s="357" t="str">
        <f t="shared" si="75"/>
        <v/>
      </c>
      <c r="CS655" s="357" t="str">
        <f t="shared" si="76"/>
        <v/>
      </c>
      <c r="CT655" s="357" t="str">
        <f t="shared" si="77"/>
        <v/>
      </c>
      <c r="CU655" s="357" t="str">
        <f t="shared" si="78"/>
        <v/>
      </c>
      <c r="CV655" s="357" t="str">
        <f t="shared" si="79"/>
        <v/>
      </c>
      <c r="CW655" s="357" t="str">
        <f t="shared" si="80"/>
        <v/>
      </c>
      <c r="CX655" s="357" t="str">
        <f t="shared" si="81"/>
        <v/>
      </c>
      <c r="CY655" s="357" t="str">
        <f t="shared" si="82"/>
        <v/>
      </c>
      <c r="CZ655" s="357" t="str">
        <f t="shared" si="83"/>
        <v/>
      </c>
      <c r="DA655" s="357" t="str">
        <f t="shared" si="84"/>
        <v/>
      </c>
      <c r="DB655" s="357" t="str">
        <f t="shared" si="85"/>
        <v/>
      </c>
      <c r="DC655" s="357" t="str">
        <f t="shared" si="86"/>
        <v/>
      </c>
      <c r="DD655" s="357" t="str">
        <f t="shared" si="87"/>
        <v/>
      </c>
      <c r="DE655" s="357" t="str">
        <f t="shared" si="88"/>
        <v/>
      </c>
      <c r="DF655" s="357" t="str">
        <f t="shared" si="89"/>
        <v/>
      </c>
      <c r="DG655" s="357" t="str">
        <f t="shared" si="90"/>
        <v/>
      </c>
      <c r="DH655" s="357" t="str">
        <f t="shared" si="91"/>
        <v/>
      </c>
      <c r="DI655" s="357" t="str">
        <f t="shared" si="92"/>
        <v/>
      </c>
      <c r="DJ655" s="357" t="str">
        <f t="shared" si="93"/>
        <v/>
      </c>
      <c r="DK655" s="357" t="str">
        <f t="shared" si="94"/>
        <v/>
      </c>
      <c r="DL655" s="357" t="str">
        <f t="shared" si="95"/>
        <v/>
      </c>
      <c r="DM655" s="357" t="str">
        <f t="shared" si="96"/>
        <v/>
      </c>
      <c r="DN655" s="357" t="str">
        <f t="shared" si="97"/>
        <v/>
      </c>
      <c r="DO655" s="357" t="str">
        <f t="shared" si="98"/>
        <v/>
      </c>
      <c r="DP655" s="357" t="str">
        <f t="shared" si="99"/>
        <v/>
      </c>
      <c r="DQ655" s="357" t="str">
        <f t="shared" si="100"/>
        <v/>
      </c>
      <c r="DR655" s="357" t="str">
        <f t="shared" si="101"/>
        <v/>
      </c>
      <c r="DS655" s="357" t="str">
        <f t="shared" si="102"/>
        <v/>
      </c>
      <c r="DT655" s="357" t="str">
        <f t="shared" si="103"/>
        <v/>
      </c>
      <c r="DU655" s="357" t="str">
        <f t="shared" si="104"/>
        <v/>
      </c>
      <c r="DV655" s="357" t="str">
        <f t="shared" si="105"/>
        <v/>
      </c>
      <c r="DW655" s="357" t="str">
        <f t="shared" si="106"/>
        <v/>
      </c>
      <c r="DX655" s="357" t="str">
        <f t="shared" si="107"/>
        <v/>
      </c>
      <c r="DY655" s="357" t="str">
        <f t="shared" si="108"/>
        <v/>
      </c>
      <c r="DZ655" s="357" t="str">
        <f t="shared" si="109"/>
        <v/>
      </c>
      <c r="EA655" s="357" t="str">
        <f t="shared" si="110"/>
        <v/>
      </c>
      <c r="EB655" s="357" t="str">
        <f t="shared" si="111"/>
        <v/>
      </c>
      <c r="EC655" s="357" t="str">
        <f t="shared" si="112"/>
        <v/>
      </c>
      <c r="ED655" s="357" t="str">
        <f t="shared" si="113"/>
        <v/>
      </c>
      <c r="EE655" s="357" t="str">
        <f t="shared" si="114"/>
        <v/>
      </c>
      <c r="EF655" s="357" t="str">
        <f t="shared" si="115"/>
        <v/>
      </c>
      <c r="EG655" s="357" t="str">
        <f t="shared" si="116"/>
        <v/>
      </c>
      <c r="EH655" s="357" t="str">
        <f t="shared" si="117"/>
        <v/>
      </c>
      <c r="EI655" s="357" t="str">
        <f t="shared" si="118"/>
        <v/>
      </c>
      <c r="EJ655" s="357" t="str">
        <f t="shared" si="119"/>
        <v/>
      </c>
      <c r="EK655" s="357" t="str">
        <f t="shared" si="120"/>
        <v/>
      </c>
      <c r="EL655" s="357" t="str">
        <f t="shared" si="121"/>
        <v/>
      </c>
      <c r="EM655" s="357" t="str">
        <f t="shared" si="122"/>
        <v/>
      </c>
      <c r="EN655" s="357" t="str">
        <f t="shared" si="123"/>
        <v/>
      </c>
      <c r="EO655" s="357" t="str">
        <f t="shared" si="124"/>
        <v/>
      </c>
      <c r="EP655" s="357" t="str">
        <f t="shared" si="125"/>
        <v/>
      </c>
      <c r="EQ655" s="357" t="str">
        <f t="shared" si="126"/>
        <v/>
      </c>
      <c r="ER655" s="357" t="str">
        <f t="shared" si="127"/>
        <v/>
      </c>
      <c r="ES655" s="357" t="str">
        <f t="shared" si="128"/>
        <v/>
      </c>
      <c r="ET655" s="357" t="str">
        <f t="shared" si="129"/>
        <v/>
      </c>
      <c r="EU655" s="357" t="str">
        <f t="shared" si="130"/>
        <v/>
      </c>
      <c r="EV655" s="357" t="str">
        <f t="shared" si="131"/>
        <v/>
      </c>
      <c r="EW655" s="357" t="str">
        <f t="shared" si="132"/>
        <v/>
      </c>
      <c r="EX655" s="357" t="str">
        <f t="shared" si="133"/>
        <v/>
      </c>
      <c r="EY655" s="357" t="str">
        <f t="shared" si="134"/>
        <v/>
      </c>
      <c r="EZ655" s="357" t="str">
        <f t="shared" si="135"/>
        <v/>
      </c>
      <c r="FA655" s="357" t="str">
        <f t="shared" si="136"/>
        <v/>
      </c>
      <c r="FB655" s="357" t="str">
        <f t="shared" si="137"/>
        <v/>
      </c>
      <c r="FC655" s="357" t="str">
        <f t="shared" si="138"/>
        <v/>
      </c>
      <c r="FD655" s="357" t="str">
        <f t="shared" si="139"/>
        <v/>
      </c>
      <c r="FE655" s="357" t="str">
        <f t="shared" si="140"/>
        <v/>
      </c>
      <c r="FF655" s="357" t="str">
        <f t="shared" si="141"/>
        <v/>
      </c>
      <c r="FG655" s="357" t="str">
        <f t="shared" si="142"/>
        <v/>
      </c>
      <c r="FH655" s="357" t="str">
        <f t="shared" si="143"/>
        <v/>
      </c>
      <c r="FI655" s="357" t="str">
        <f t="shared" si="144"/>
        <v/>
      </c>
      <c r="FJ655" s="357" t="str">
        <f t="shared" si="145"/>
        <v/>
      </c>
      <c r="FK655" s="357" t="str">
        <f t="shared" si="146"/>
        <v/>
      </c>
      <c r="FL655" s="357" t="str">
        <f t="shared" si="147"/>
        <v/>
      </c>
      <c r="FM655" s="357" t="str">
        <f t="shared" si="148"/>
        <v/>
      </c>
      <c r="FN655" s="357" t="str">
        <f t="shared" si="149"/>
        <v/>
      </c>
      <c r="FO655" s="357" t="str">
        <f t="shared" si="150"/>
        <v/>
      </c>
      <c r="FP655" s="357" t="str">
        <f t="shared" si="151"/>
        <v/>
      </c>
      <c r="FQ655" s="357" t="str">
        <f t="shared" si="152"/>
        <v/>
      </c>
      <c r="FR655" s="357" t="str">
        <f t="shared" si="153"/>
        <v/>
      </c>
      <c r="FS655" s="357" t="str">
        <f t="shared" si="154"/>
        <v/>
      </c>
      <c r="FT655" s="357" t="str">
        <f t="shared" si="155"/>
        <v/>
      </c>
      <c r="FU655" s="357" t="str">
        <f t="shared" si="156"/>
        <v/>
      </c>
      <c r="FV655" s="357" t="str">
        <f t="shared" si="157"/>
        <v/>
      </c>
      <c r="FW655" s="357" t="str">
        <f t="shared" si="158"/>
        <v/>
      </c>
      <c r="FX655" s="357" t="str">
        <f t="shared" si="159"/>
        <v/>
      </c>
      <c r="FY655" s="357" t="str">
        <f t="shared" si="160"/>
        <v/>
      </c>
      <c r="FZ655" s="357" t="str">
        <f t="shared" si="161"/>
        <v/>
      </c>
      <c r="GA655" s="357" t="str">
        <f t="shared" si="162"/>
        <v/>
      </c>
      <c r="GB655" s="357" t="str">
        <f t="shared" si="163"/>
        <v/>
      </c>
      <c r="GC655" s="357" t="str">
        <f t="shared" si="164"/>
        <v/>
      </c>
      <c r="GD655" s="357" t="str">
        <f t="shared" si="165"/>
        <v/>
      </c>
      <c r="GE655" s="357" t="str">
        <f t="shared" si="166"/>
        <v/>
      </c>
      <c r="GF655" s="357" t="str">
        <f t="shared" si="167"/>
        <v/>
      </c>
      <c r="GG655" s="357" t="str">
        <f t="shared" si="168"/>
        <v/>
      </c>
      <c r="GH655" s="357" t="str">
        <f t="shared" si="169"/>
        <v/>
      </c>
      <c r="GI655" s="357" t="str">
        <f t="shared" si="170"/>
        <v/>
      </c>
      <c r="GJ655" s="357" t="str">
        <f t="shared" si="171"/>
        <v/>
      </c>
      <c r="GK655" s="357" t="str">
        <f t="shared" si="172"/>
        <v/>
      </c>
      <c r="GL655" s="357" t="str">
        <f t="shared" si="173"/>
        <v/>
      </c>
      <c r="GM655" s="357" t="str">
        <f t="shared" si="174"/>
        <v/>
      </c>
      <c r="GN655" s="357" t="str">
        <f t="shared" si="175"/>
        <v/>
      </c>
      <c r="GO655" s="357" t="str">
        <f t="shared" si="176"/>
        <v/>
      </c>
      <c r="GP655" s="357" t="str">
        <f t="shared" si="177"/>
        <v/>
      </c>
      <c r="GQ655" s="357" t="str">
        <f t="shared" si="178"/>
        <v/>
      </c>
      <c r="GR655" s="357" t="str">
        <f t="shared" si="179"/>
        <v/>
      </c>
      <c r="GS655" s="357" t="str">
        <f t="shared" si="180"/>
        <v/>
      </c>
      <c r="GT655" s="357" t="str">
        <f t="shared" si="181"/>
        <v/>
      </c>
      <c r="GU655" s="357" t="str">
        <f t="shared" si="182"/>
        <v/>
      </c>
      <c r="GV655" s="357" t="str">
        <f t="shared" si="183"/>
        <v/>
      </c>
      <c r="GW655" s="357" t="str">
        <f t="shared" si="184"/>
        <v/>
      </c>
      <c r="GX655" s="357" t="str">
        <f t="shared" si="185"/>
        <v/>
      </c>
      <c r="GY655" s="357" t="str">
        <f t="shared" si="186"/>
        <v/>
      </c>
      <c r="GZ655" s="357" t="str">
        <f t="shared" si="187"/>
        <v/>
      </c>
      <c r="HA655" s="357" t="str">
        <f t="shared" si="188"/>
        <v/>
      </c>
      <c r="HB655" s="357" t="str">
        <f t="shared" si="189"/>
        <v/>
      </c>
      <c r="HC655" s="357" t="str">
        <f t="shared" si="190"/>
        <v/>
      </c>
      <c r="HD655" s="357" t="str">
        <f t="shared" si="191"/>
        <v/>
      </c>
      <c r="HE655" s="357" t="str">
        <f t="shared" si="192"/>
        <v/>
      </c>
      <c r="HF655" s="357" t="str">
        <f t="shared" si="193"/>
        <v/>
      </c>
      <c r="HG655" s="357" t="str">
        <f t="shared" si="194"/>
        <v/>
      </c>
      <c r="HH655" s="357" t="str">
        <f t="shared" si="195"/>
        <v/>
      </c>
      <c r="HI655" s="357" t="str">
        <f t="shared" si="196"/>
        <v/>
      </c>
      <c r="HJ655" s="357" t="str">
        <f t="shared" si="197"/>
        <v/>
      </c>
      <c r="HK655" s="357" t="str">
        <f t="shared" si="198"/>
        <v/>
      </c>
      <c r="HL655" s="357" t="str">
        <f t="shared" si="199"/>
        <v/>
      </c>
      <c r="HM655" s="357" t="str">
        <f t="shared" si="200"/>
        <v/>
      </c>
      <c r="HN655" s="357" t="str">
        <f t="shared" si="201"/>
        <v/>
      </c>
      <c r="HO655" s="357" t="str">
        <f t="shared" si="202"/>
        <v/>
      </c>
      <c r="HP655" s="357" t="str">
        <f t="shared" si="203"/>
        <v/>
      </c>
      <c r="HQ655" s="357" t="str">
        <f t="shared" si="204"/>
        <v/>
      </c>
      <c r="HR655" s="357" t="str">
        <f t="shared" si="205"/>
        <v/>
      </c>
      <c r="HS655" s="357" t="str">
        <f t="shared" si="206"/>
        <v/>
      </c>
      <c r="HT655" s="357" t="str">
        <f t="shared" si="207"/>
        <v/>
      </c>
      <c r="HU655" s="357" t="str">
        <f t="shared" si="208"/>
        <v/>
      </c>
      <c r="HV655" s="357" t="str">
        <f t="shared" si="209"/>
        <v/>
      </c>
      <c r="HW655" s="357" t="str">
        <f t="shared" si="210"/>
        <v/>
      </c>
      <c r="HX655" s="357" t="str">
        <f t="shared" si="211"/>
        <v/>
      </c>
      <c r="HY655" s="357" t="str">
        <f t="shared" si="212"/>
        <v/>
      </c>
      <c r="HZ655" s="1903" t="str">
        <f t="shared" si="213"/>
        <v/>
      </c>
      <c r="IA655" s="1903" t="str">
        <f t="shared" si="214"/>
        <v/>
      </c>
      <c r="IB655" s="1903" t="str">
        <f t="shared" si="215"/>
        <v/>
      </c>
      <c r="IC655" s="1903" t="str">
        <f t="shared" si="216"/>
        <v/>
      </c>
      <c r="ID655" s="1903" t="str">
        <f t="shared" si="217"/>
        <v/>
      </c>
      <c r="IE655" s="1903" t="str">
        <f t="shared" si="218"/>
        <v/>
      </c>
      <c r="IF655" s="1903" t="str">
        <f t="shared" si="219"/>
        <v/>
      </c>
      <c r="IG655" s="1903" t="str">
        <f t="shared" si="220"/>
        <v/>
      </c>
      <c r="IH655" s="1903" t="str">
        <f t="shared" si="221"/>
        <v/>
      </c>
      <c r="II655" s="1903" t="str">
        <f t="shared" si="222"/>
        <v/>
      </c>
      <c r="IJ655" s="1903" t="str">
        <f t="shared" si="223"/>
        <v/>
      </c>
      <c r="IK655" s="1903" t="str">
        <f t="shared" si="224"/>
        <v/>
      </c>
      <c r="IL655" s="1903" t="str">
        <f t="shared" si="225"/>
        <v/>
      </c>
      <c r="IM655" s="1903" t="str">
        <f t="shared" si="226"/>
        <v/>
      </c>
      <c r="IN655" s="1903" t="str">
        <f t="shared" si="227"/>
        <v/>
      </c>
      <c r="IO655" s="1903" t="str">
        <f t="shared" si="228"/>
        <v/>
      </c>
      <c r="IP655" s="1903" t="str">
        <f t="shared" si="229"/>
        <v/>
      </c>
      <c r="IQ655" s="1903" t="str">
        <f t="shared" si="230"/>
        <v/>
      </c>
      <c r="IR655" s="1903" t="str">
        <f t="shared" si="231"/>
        <v/>
      </c>
      <c r="IS655" s="1903" t="str">
        <f t="shared" si="232"/>
        <v/>
      </c>
      <c r="IT655" s="1903" t="str">
        <f t="shared" si="233"/>
        <v/>
      </c>
      <c r="IU655" s="1903" t="str">
        <f t="shared" si="234"/>
        <v/>
      </c>
      <c r="IV655" s="1903" t="str">
        <f t="shared" si="235"/>
        <v/>
      </c>
      <c r="IW655" s="1903" t="str">
        <f t="shared" si="236"/>
        <v/>
      </c>
      <c r="IX655" s="1903" t="str">
        <f t="shared" si="237"/>
        <v/>
      </c>
      <c r="IY655" s="1903" t="str">
        <f t="shared" si="238"/>
        <v/>
      </c>
      <c r="IZ655" s="1903" t="str">
        <f t="shared" si="239"/>
        <v/>
      </c>
      <c r="JA655" s="1903" t="str">
        <f t="shared" si="240"/>
        <v/>
      </c>
      <c r="JB655" s="1903" t="str">
        <f t="shared" si="241"/>
        <v/>
      </c>
      <c r="JC655" s="1903" t="str">
        <f t="shared" si="242"/>
        <v/>
      </c>
      <c r="JD655" s="1903" t="str">
        <f t="shared" si="243"/>
        <v/>
      </c>
      <c r="JE655" s="1903" t="str">
        <f t="shared" si="244"/>
        <v/>
      </c>
      <c r="JF655" s="1903" t="str">
        <f t="shared" si="245"/>
        <v/>
      </c>
      <c r="JG655" s="1903" t="str">
        <f t="shared" si="246"/>
        <v/>
      </c>
      <c r="JH655" s="1903" t="str">
        <f t="shared" si="247"/>
        <v/>
      </c>
      <c r="JI655" s="1903" t="str">
        <f t="shared" si="248"/>
        <v/>
      </c>
      <c r="JJ655" s="1903" t="str">
        <f t="shared" si="249"/>
        <v/>
      </c>
      <c r="JK655" s="1903" t="str">
        <f t="shared" si="250"/>
        <v/>
      </c>
      <c r="JL655" s="1903" t="str">
        <f t="shared" si="251"/>
        <v/>
      </c>
      <c r="JM655" s="1903" t="str">
        <f t="shared" si="252"/>
        <v/>
      </c>
      <c r="JN655" s="1903" t="str">
        <f t="shared" si="253"/>
        <v/>
      </c>
      <c r="JO655" s="1903" t="str">
        <f t="shared" si="254"/>
        <v/>
      </c>
      <c r="JP655" s="1903" t="str">
        <f t="shared" si="255"/>
        <v/>
      </c>
      <c r="JQ655" s="1903" t="str">
        <f t="shared" si="256"/>
        <v/>
      </c>
      <c r="JR655" s="1903" t="str">
        <f t="shared" si="257"/>
        <v/>
      </c>
      <c r="JS655" s="1903" t="str">
        <f t="shared" si="258"/>
        <v/>
      </c>
      <c r="JT655" s="1903" t="str">
        <f t="shared" si="259"/>
        <v/>
      </c>
      <c r="JU655" s="1903" t="str">
        <f t="shared" si="260"/>
        <v/>
      </c>
      <c r="JV655" s="1903" t="str">
        <f t="shared" si="261"/>
        <v/>
      </c>
      <c r="JW655" s="1903" t="str">
        <f t="shared" si="262"/>
        <v/>
      </c>
      <c r="JX655" s="1903" t="str">
        <f t="shared" si="263"/>
        <v/>
      </c>
      <c r="JY655" s="1903" t="str">
        <f t="shared" si="264"/>
        <v/>
      </c>
      <c r="JZ655" s="1903" t="str">
        <f t="shared" si="265"/>
        <v/>
      </c>
      <c r="KA655" s="1903" t="str">
        <f t="shared" si="266"/>
        <v/>
      </c>
      <c r="KB655" s="1903" t="str">
        <f t="shared" si="267"/>
        <v/>
      </c>
      <c r="KC655" s="1903" t="str">
        <f t="shared" si="268"/>
        <v/>
      </c>
      <c r="KD655" s="1903" t="str">
        <f t="shared" si="269"/>
        <v/>
      </c>
      <c r="KE655" s="1903" t="str">
        <f t="shared" si="270"/>
        <v/>
      </c>
      <c r="KF655" s="1903" t="str">
        <f t="shared" si="271"/>
        <v/>
      </c>
      <c r="KG655" s="1903" t="str">
        <f t="shared" si="272"/>
        <v/>
      </c>
      <c r="KH655" s="1903" t="str">
        <f t="shared" si="273"/>
        <v/>
      </c>
      <c r="KI655" s="1903" t="str">
        <f t="shared" si="274"/>
        <v/>
      </c>
      <c r="KJ655" s="1903" t="str">
        <f t="shared" si="275"/>
        <v/>
      </c>
      <c r="KK655" s="1903" t="str">
        <f t="shared" si="276"/>
        <v/>
      </c>
      <c r="KL655" s="1903" t="str">
        <f t="shared" si="277"/>
        <v/>
      </c>
      <c r="KM655" s="1903" t="str">
        <f t="shared" si="278"/>
        <v/>
      </c>
      <c r="KN655" s="1903" t="str">
        <f t="shared" si="279"/>
        <v/>
      </c>
      <c r="KO655" s="1903" t="str">
        <f t="shared" si="280"/>
        <v/>
      </c>
      <c r="KP655" s="1903" t="str">
        <f t="shared" si="281"/>
        <v/>
      </c>
      <c r="KQ655" s="1903" t="str">
        <f t="shared" si="282"/>
        <v/>
      </c>
      <c r="KR655" s="1903" t="str">
        <f t="shared" si="283"/>
        <v/>
      </c>
      <c r="KS655" s="1903" t="str">
        <f t="shared" si="284"/>
        <v/>
      </c>
      <c r="KT655" s="1903" t="str">
        <f t="shared" si="285"/>
        <v/>
      </c>
      <c r="KU655" s="1903" t="str">
        <f t="shared" si="286"/>
        <v/>
      </c>
      <c r="KV655" s="1903" t="str">
        <f t="shared" si="287"/>
        <v/>
      </c>
      <c r="KW655" s="1903" t="str">
        <f t="shared" si="288"/>
        <v/>
      </c>
      <c r="KX655" s="1903" t="str">
        <f t="shared" si="289"/>
        <v/>
      </c>
      <c r="KY655" s="1903" t="str">
        <f t="shared" si="290"/>
        <v/>
      </c>
      <c r="KZ655" s="1903" t="str">
        <f t="shared" si="291"/>
        <v/>
      </c>
      <c r="LA655" s="1903" t="str">
        <f t="shared" si="292"/>
        <v/>
      </c>
      <c r="LB655" s="1903" t="str">
        <f t="shared" si="293"/>
        <v/>
      </c>
      <c r="LC655" s="1903" t="str">
        <f t="shared" si="294"/>
        <v/>
      </c>
      <c r="LD655" s="1903" t="str">
        <f t="shared" si="295"/>
        <v/>
      </c>
      <c r="LE655" s="1903" t="str">
        <f t="shared" si="296"/>
        <v/>
      </c>
      <c r="LF655" s="1903" t="str">
        <f t="shared" si="297"/>
        <v/>
      </c>
      <c r="LG655" s="1750" t="str">
        <f t="shared" si="298"/>
        <v/>
      </c>
      <c r="LH655" s="1750" t="str">
        <f t="shared" si="299"/>
        <v/>
      </c>
      <c r="LI655" s="1750" t="str">
        <f t="shared" si="300"/>
        <v/>
      </c>
      <c r="LJ655" s="1750" t="str">
        <f t="shared" si="301"/>
        <v/>
      </c>
      <c r="LK655" s="1750" t="str">
        <f t="shared" si="302"/>
        <v/>
      </c>
      <c r="LL655" s="357" t="str">
        <f t="shared" si="303"/>
        <v/>
      </c>
      <c r="LM655" s="357" t="str">
        <f t="shared" si="304"/>
        <v/>
      </c>
      <c r="LN655" s="357" t="str">
        <f t="shared" si="305"/>
        <v/>
      </c>
      <c r="LO655" s="357" t="str">
        <f t="shared" si="306"/>
        <v/>
      </c>
      <c r="LP655" s="357" t="str">
        <f t="shared" si="307"/>
        <v/>
      </c>
      <c r="LQ655" s="357" t="str">
        <f t="shared" si="308"/>
        <v/>
      </c>
      <c r="LR655" s="357" t="str">
        <f t="shared" si="309"/>
        <v/>
      </c>
      <c r="LS655" s="357" t="str">
        <f t="shared" si="310"/>
        <v/>
      </c>
      <c r="LT655" s="357" t="str">
        <f t="shared" si="311"/>
        <v/>
      </c>
      <c r="LU655" s="357" t="str">
        <f t="shared" si="312"/>
        <v/>
      </c>
      <c r="LV655" s="357" t="str">
        <f t="shared" si="313"/>
        <v/>
      </c>
      <c r="LW655" s="357" t="str">
        <f t="shared" si="314"/>
        <v/>
      </c>
      <c r="LX655" s="357" t="str">
        <f t="shared" si="315"/>
        <v/>
      </c>
      <c r="LY655" s="357" t="str">
        <f t="shared" si="316"/>
        <v/>
      </c>
      <c r="LZ655" s="357" t="str">
        <f t="shared" si="317"/>
        <v/>
      </c>
      <c r="MA655" s="357" t="str">
        <f t="shared" si="318"/>
        <v/>
      </c>
      <c r="MB655" s="357" t="str">
        <f t="shared" si="319"/>
        <v/>
      </c>
      <c r="MC655" s="357" t="str">
        <f t="shared" si="320"/>
        <v/>
      </c>
      <c r="MD655" s="357" t="str">
        <f t="shared" si="321"/>
        <v/>
      </c>
      <c r="ME655" s="357" t="str">
        <f t="shared" si="322"/>
        <v/>
      </c>
      <c r="MF655" s="1750">
        <f t="shared" si="323"/>
        <v>0</v>
      </c>
      <c r="MG655" s="1750">
        <f t="shared" si="324"/>
        <v>0</v>
      </c>
      <c r="MH655" s="1750">
        <f t="shared" si="325"/>
        <v>0</v>
      </c>
      <c r="MI655" s="1750">
        <f t="shared" si="326"/>
        <v>0</v>
      </c>
      <c r="MJ655" s="1750">
        <f t="shared" si="327"/>
        <v>0</v>
      </c>
      <c r="MK655" s="1750">
        <f t="shared" si="333"/>
        <v>0</v>
      </c>
      <c r="ML655" s="1750">
        <f t="shared" si="334"/>
        <v>0</v>
      </c>
      <c r="MM655" s="1750">
        <f t="shared" si="335"/>
        <v>0</v>
      </c>
      <c r="MN655" s="1750">
        <f t="shared" si="336"/>
        <v>0</v>
      </c>
      <c r="MO655" s="1750">
        <f t="shared" si="337"/>
        <v>0</v>
      </c>
      <c r="MP655" s="1750">
        <f t="shared" si="328"/>
        <v>0</v>
      </c>
      <c r="MQ655" s="1750">
        <f t="shared" si="329"/>
        <v>0</v>
      </c>
      <c r="MR655" s="1750">
        <f t="shared" si="330"/>
        <v>0</v>
      </c>
      <c r="MS655" s="1750">
        <f t="shared" si="331"/>
        <v>0</v>
      </c>
      <c r="MT655" s="1750">
        <f t="shared" si="332"/>
        <v>0</v>
      </c>
      <c r="NP655" s="357" t="s">
        <v>6420</v>
      </c>
    </row>
    <row r="656" spans="1:380" ht="13.9" customHeight="1">
      <c r="A656" s="1901" t="str">
        <f t="shared" si="0"/>
        <v/>
      </c>
      <c r="B656" s="2238">
        <f>'Part V-Revenues &amp; Expenses'!B18</f>
        <v>30</v>
      </c>
      <c r="C656" s="2229">
        <f>'Part V-Revenues &amp; Expenses'!C18</f>
        <v>1</v>
      </c>
      <c r="D656" s="2230">
        <f>'Part V-Revenues &amp; Expenses'!D18</f>
        <v>1</v>
      </c>
      <c r="E656" s="2231">
        <f>'Part V-Revenues &amp; Expenses'!E18</f>
        <v>4</v>
      </c>
      <c r="F656" s="2231">
        <f>'Part V-Revenues &amp; Expenses'!F18</f>
        <v>845</v>
      </c>
      <c r="G656" s="2231">
        <f>'Part V-Revenues &amp; Expenses'!G18</f>
        <v>492</v>
      </c>
      <c r="H656" s="2231">
        <f>'Part V-Revenues &amp; Expenses'!H18</f>
        <v>492</v>
      </c>
      <c r="I656" s="2231">
        <f>'Part V-Revenues &amp; Expenses'!I18</f>
        <v>0</v>
      </c>
      <c r="J656" s="2231">
        <f>'Part V-Revenues &amp; Expenses'!J18</f>
        <v>60</v>
      </c>
      <c r="K656" s="2232">
        <f>'Part V-Revenues &amp; Expenses'!K18</f>
        <v>0</v>
      </c>
      <c r="L656" s="2233">
        <f t="shared" si="338"/>
        <v>432</v>
      </c>
      <c r="M656" s="2233">
        <f t="shared" si="339"/>
        <v>1728</v>
      </c>
      <c r="N656" s="2094" t="str">
        <f>'Part V-Revenues &amp; Expenses'!N18</f>
        <v>No</v>
      </c>
      <c r="O656" s="2234" t="str">
        <f>'Part V-Revenues &amp; Expenses'!O18</f>
        <v>Low-Rise Apt</v>
      </c>
      <c r="P656" s="2094" t="str">
        <f>'Part V-Revenues &amp; Expenses'!P18</f>
        <v>New Construction</v>
      </c>
      <c r="Q656" s="2235" t="str">
        <f>'Part V-Revenues &amp; Expenses'!Q18</f>
        <v>No</v>
      </c>
      <c r="R656" s="2236"/>
      <c r="S656" s="2237"/>
      <c r="T656" s="2160"/>
      <c r="U656" s="2160"/>
      <c r="V656" s="2160"/>
      <c r="W656" s="2160"/>
      <c r="X656" s="357" t="str">
        <f t="shared" si="3"/>
        <v/>
      </c>
      <c r="Y656" s="357" t="str">
        <f t="shared" si="4"/>
        <v/>
      </c>
      <c r="Z656" s="357" t="str">
        <f t="shared" si="5"/>
        <v/>
      </c>
      <c r="AA656" s="357" t="str">
        <f t="shared" si="6"/>
        <v/>
      </c>
      <c r="AB656" s="357" t="str">
        <f t="shared" si="7"/>
        <v/>
      </c>
      <c r="AC656" s="357" t="str">
        <f t="shared" si="8"/>
        <v/>
      </c>
      <c r="AD656" s="357" t="str">
        <f t="shared" si="9"/>
        <v/>
      </c>
      <c r="AE656" s="357" t="str">
        <f t="shared" si="10"/>
        <v/>
      </c>
      <c r="AF656" s="357" t="str">
        <f t="shared" si="11"/>
        <v/>
      </c>
      <c r="AG656" s="357" t="str">
        <f t="shared" si="12"/>
        <v/>
      </c>
      <c r="AH656" s="357" t="str">
        <f t="shared" si="13"/>
        <v/>
      </c>
      <c r="AI656" s="357" t="str">
        <f t="shared" si="14"/>
        <v/>
      </c>
      <c r="AJ656" s="357" t="str">
        <f t="shared" si="15"/>
        <v/>
      </c>
      <c r="AK656" s="357" t="str">
        <f t="shared" si="16"/>
        <v/>
      </c>
      <c r="AL656" s="357" t="str">
        <f t="shared" si="17"/>
        <v/>
      </c>
      <c r="AM656" s="357" t="str">
        <f t="shared" si="18"/>
        <v/>
      </c>
      <c r="AN656" s="357" t="str">
        <f t="shared" si="19"/>
        <v/>
      </c>
      <c r="AO656" s="357" t="str">
        <f t="shared" si="20"/>
        <v/>
      </c>
      <c r="AP656" s="357" t="str">
        <f t="shared" si="21"/>
        <v/>
      </c>
      <c r="AQ656" s="357" t="str">
        <f t="shared" si="22"/>
        <v/>
      </c>
      <c r="AR656" s="357" t="str">
        <f t="shared" si="23"/>
        <v/>
      </c>
      <c r="AS656" s="357" t="str">
        <f t="shared" si="24"/>
        <v/>
      </c>
      <c r="AT656" s="357" t="str">
        <f t="shared" si="25"/>
        <v/>
      </c>
      <c r="AU656" s="357" t="str">
        <f t="shared" si="26"/>
        <v/>
      </c>
      <c r="AV656" s="357" t="str">
        <f t="shared" si="27"/>
        <v/>
      </c>
      <c r="AW656" s="357" t="str">
        <f t="shared" si="28"/>
        <v/>
      </c>
      <c r="AX656" s="357">
        <f t="shared" si="29"/>
        <v>4</v>
      </c>
      <c r="AY656" s="357" t="str">
        <f t="shared" si="30"/>
        <v/>
      </c>
      <c r="AZ656" s="357" t="str">
        <f t="shared" si="31"/>
        <v/>
      </c>
      <c r="BA656" s="357" t="str">
        <f t="shared" si="32"/>
        <v/>
      </c>
      <c r="BB656" s="357" t="str">
        <f t="shared" si="33"/>
        <v/>
      </c>
      <c r="BC656" s="357" t="str">
        <f t="shared" si="34"/>
        <v/>
      </c>
      <c r="BD656" s="357" t="str">
        <f t="shared" si="35"/>
        <v/>
      </c>
      <c r="BE656" s="357" t="str">
        <f t="shared" si="36"/>
        <v/>
      </c>
      <c r="BF656" s="357" t="str">
        <f t="shared" si="37"/>
        <v/>
      </c>
      <c r="BG656" s="357" t="str">
        <f t="shared" si="38"/>
        <v/>
      </c>
      <c r="BH656" s="357" t="str">
        <f t="shared" si="39"/>
        <v/>
      </c>
      <c r="BI656" s="357" t="str">
        <f t="shared" si="40"/>
        <v/>
      </c>
      <c r="BJ656" s="357" t="str">
        <f t="shared" si="41"/>
        <v/>
      </c>
      <c r="BK656" s="357" t="str">
        <f t="shared" si="42"/>
        <v/>
      </c>
      <c r="BL656" s="357" t="str">
        <f t="shared" si="43"/>
        <v/>
      </c>
      <c r="BM656" s="357" t="str">
        <f t="shared" si="44"/>
        <v/>
      </c>
      <c r="BN656" s="357" t="str">
        <f t="shared" si="45"/>
        <v/>
      </c>
      <c r="BO656" s="357" t="str">
        <f t="shared" si="46"/>
        <v/>
      </c>
      <c r="BP656" s="357" t="str">
        <f t="shared" si="47"/>
        <v/>
      </c>
      <c r="BQ656" s="357" t="str">
        <f t="shared" si="48"/>
        <v/>
      </c>
      <c r="BR656" s="357">
        <f t="shared" si="49"/>
        <v>4</v>
      </c>
      <c r="BS656" s="357" t="str">
        <f t="shared" si="50"/>
        <v/>
      </c>
      <c r="BT656" s="357" t="str">
        <f t="shared" si="51"/>
        <v/>
      </c>
      <c r="BU656" s="357" t="str">
        <f t="shared" si="52"/>
        <v/>
      </c>
      <c r="BV656" s="357" t="str">
        <f t="shared" si="53"/>
        <v/>
      </c>
      <c r="BW656" s="357" t="str">
        <f t="shared" si="54"/>
        <v/>
      </c>
      <c r="BX656" s="357" t="str">
        <f t="shared" si="55"/>
        <v/>
      </c>
      <c r="BY656" s="357" t="str">
        <f t="shared" si="56"/>
        <v/>
      </c>
      <c r="BZ656" s="357" t="str">
        <f t="shared" si="57"/>
        <v/>
      </c>
      <c r="CA656" s="357" t="str">
        <f t="shared" si="58"/>
        <v/>
      </c>
      <c r="CB656" s="357" t="str">
        <f t="shared" si="59"/>
        <v/>
      </c>
      <c r="CC656" s="357" t="str">
        <f t="shared" si="60"/>
        <v/>
      </c>
      <c r="CD656" s="357" t="str">
        <f t="shared" si="61"/>
        <v/>
      </c>
      <c r="CE656" s="357" t="str">
        <f t="shared" si="62"/>
        <v/>
      </c>
      <c r="CF656" s="357" t="str">
        <f t="shared" si="63"/>
        <v/>
      </c>
      <c r="CG656" s="357" t="str">
        <f t="shared" si="64"/>
        <v/>
      </c>
      <c r="CH656" s="357" t="str">
        <f t="shared" si="65"/>
        <v/>
      </c>
      <c r="CI656" s="357" t="str">
        <f t="shared" si="66"/>
        <v/>
      </c>
      <c r="CJ656" s="357" t="str">
        <f t="shared" si="67"/>
        <v/>
      </c>
      <c r="CK656" s="357" t="str">
        <f t="shared" si="68"/>
        <v/>
      </c>
      <c r="CL656" s="357" t="str">
        <f t="shared" si="69"/>
        <v/>
      </c>
      <c r="CM656" s="357" t="str">
        <f t="shared" si="70"/>
        <v/>
      </c>
      <c r="CN656" s="357" t="str">
        <f t="shared" si="71"/>
        <v/>
      </c>
      <c r="CO656" s="357" t="str">
        <f t="shared" si="72"/>
        <v/>
      </c>
      <c r="CP656" s="357" t="str">
        <f t="shared" si="73"/>
        <v/>
      </c>
      <c r="CQ656" s="357" t="str">
        <f t="shared" si="74"/>
        <v/>
      </c>
      <c r="CR656" s="357" t="str">
        <f t="shared" si="75"/>
        <v/>
      </c>
      <c r="CS656" s="357" t="str">
        <f t="shared" si="76"/>
        <v/>
      </c>
      <c r="CT656" s="357" t="str">
        <f t="shared" si="77"/>
        <v/>
      </c>
      <c r="CU656" s="357" t="str">
        <f t="shared" si="78"/>
        <v/>
      </c>
      <c r="CV656" s="357" t="str">
        <f t="shared" si="79"/>
        <v/>
      </c>
      <c r="CW656" s="357" t="str">
        <f t="shared" si="80"/>
        <v/>
      </c>
      <c r="CX656" s="357" t="str">
        <f t="shared" si="81"/>
        <v/>
      </c>
      <c r="CY656" s="357" t="str">
        <f t="shared" si="82"/>
        <v/>
      </c>
      <c r="CZ656" s="357" t="str">
        <f t="shared" si="83"/>
        <v/>
      </c>
      <c r="DA656" s="357" t="str">
        <f t="shared" si="84"/>
        <v/>
      </c>
      <c r="DB656" s="357" t="str">
        <f t="shared" si="85"/>
        <v/>
      </c>
      <c r="DC656" s="357" t="str">
        <f t="shared" si="86"/>
        <v/>
      </c>
      <c r="DD656" s="357" t="str">
        <f t="shared" si="87"/>
        <v/>
      </c>
      <c r="DE656" s="357" t="str">
        <f t="shared" si="88"/>
        <v/>
      </c>
      <c r="DF656" s="357" t="str">
        <f t="shared" si="89"/>
        <v/>
      </c>
      <c r="DG656" s="357" t="str">
        <f t="shared" si="90"/>
        <v/>
      </c>
      <c r="DH656" s="357" t="str">
        <f t="shared" si="91"/>
        <v/>
      </c>
      <c r="DI656" s="357" t="str">
        <f t="shared" si="92"/>
        <v/>
      </c>
      <c r="DJ656" s="357" t="str">
        <f t="shared" si="93"/>
        <v/>
      </c>
      <c r="DK656" s="357" t="str">
        <f t="shared" si="94"/>
        <v/>
      </c>
      <c r="DL656" s="357" t="str">
        <f t="shared" si="95"/>
        <v/>
      </c>
      <c r="DM656" s="357" t="str">
        <f t="shared" si="96"/>
        <v/>
      </c>
      <c r="DN656" s="357" t="str">
        <f t="shared" si="97"/>
        <v/>
      </c>
      <c r="DO656" s="357" t="str">
        <f t="shared" si="98"/>
        <v/>
      </c>
      <c r="DP656" s="357" t="str">
        <f t="shared" si="99"/>
        <v/>
      </c>
      <c r="DQ656" s="357" t="str">
        <f t="shared" si="100"/>
        <v/>
      </c>
      <c r="DR656" s="357" t="str">
        <f t="shared" si="101"/>
        <v/>
      </c>
      <c r="DS656" s="357" t="str">
        <f t="shared" si="102"/>
        <v/>
      </c>
      <c r="DT656" s="357" t="str">
        <f t="shared" si="103"/>
        <v/>
      </c>
      <c r="DU656" s="357" t="str">
        <f t="shared" si="104"/>
        <v/>
      </c>
      <c r="DV656" s="357" t="str">
        <f t="shared" si="105"/>
        <v/>
      </c>
      <c r="DW656" s="357" t="str">
        <f t="shared" si="106"/>
        <v/>
      </c>
      <c r="DX656" s="357" t="str">
        <f t="shared" si="107"/>
        <v/>
      </c>
      <c r="DY656" s="357" t="str">
        <f t="shared" si="108"/>
        <v/>
      </c>
      <c r="DZ656" s="357" t="str">
        <f t="shared" si="109"/>
        <v/>
      </c>
      <c r="EA656" s="357" t="str">
        <f t="shared" si="110"/>
        <v/>
      </c>
      <c r="EB656" s="357" t="str">
        <f t="shared" si="111"/>
        <v/>
      </c>
      <c r="EC656" s="357" t="str">
        <f t="shared" si="112"/>
        <v/>
      </c>
      <c r="ED656" s="357" t="str">
        <f t="shared" si="113"/>
        <v/>
      </c>
      <c r="EE656" s="357" t="str">
        <f t="shared" si="114"/>
        <v/>
      </c>
      <c r="EF656" s="357" t="str">
        <f t="shared" si="115"/>
        <v/>
      </c>
      <c r="EG656" s="357" t="str">
        <f t="shared" si="116"/>
        <v/>
      </c>
      <c r="EH656" s="357" t="str">
        <f t="shared" si="117"/>
        <v/>
      </c>
      <c r="EI656" s="357" t="str">
        <f t="shared" si="118"/>
        <v/>
      </c>
      <c r="EJ656" s="357" t="str">
        <f t="shared" si="119"/>
        <v/>
      </c>
      <c r="EK656" s="357" t="str">
        <f t="shared" si="120"/>
        <v/>
      </c>
      <c r="EL656" s="357" t="str">
        <f t="shared" si="121"/>
        <v/>
      </c>
      <c r="EM656" s="357" t="str">
        <f t="shared" si="122"/>
        <v/>
      </c>
      <c r="EN656" s="357" t="str">
        <f t="shared" si="123"/>
        <v/>
      </c>
      <c r="EO656" s="357" t="str">
        <f t="shared" si="124"/>
        <v/>
      </c>
      <c r="EP656" s="357" t="str">
        <f t="shared" si="125"/>
        <v/>
      </c>
      <c r="EQ656" s="357" t="str">
        <f t="shared" si="126"/>
        <v/>
      </c>
      <c r="ER656" s="357" t="str">
        <f t="shared" si="127"/>
        <v/>
      </c>
      <c r="ES656" s="357" t="str">
        <f t="shared" si="128"/>
        <v/>
      </c>
      <c r="ET656" s="357" t="str">
        <f t="shared" si="129"/>
        <v/>
      </c>
      <c r="EU656" s="357" t="str">
        <f t="shared" si="130"/>
        <v/>
      </c>
      <c r="EV656" s="357" t="str">
        <f t="shared" si="131"/>
        <v/>
      </c>
      <c r="EW656" s="357" t="str">
        <f t="shared" si="132"/>
        <v/>
      </c>
      <c r="EX656" s="357" t="str">
        <f t="shared" si="133"/>
        <v/>
      </c>
      <c r="EY656" s="357" t="str">
        <f t="shared" si="134"/>
        <v/>
      </c>
      <c r="EZ656" s="357" t="str">
        <f t="shared" si="135"/>
        <v/>
      </c>
      <c r="FA656" s="357" t="str">
        <f t="shared" si="136"/>
        <v/>
      </c>
      <c r="FB656" s="357" t="str">
        <f t="shared" si="137"/>
        <v/>
      </c>
      <c r="FC656" s="357" t="str">
        <f t="shared" si="138"/>
        <v/>
      </c>
      <c r="FD656" s="357" t="str">
        <f t="shared" si="139"/>
        <v/>
      </c>
      <c r="FE656" s="357" t="str">
        <f t="shared" si="140"/>
        <v/>
      </c>
      <c r="FF656" s="357" t="str">
        <f t="shared" si="141"/>
        <v/>
      </c>
      <c r="FG656" s="357" t="str">
        <f t="shared" si="142"/>
        <v/>
      </c>
      <c r="FH656" s="357" t="str">
        <f t="shared" si="143"/>
        <v/>
      </c>
      <c r="FI656" s="357">
        <f t="shared" si="144"/>
        <v>3380</v>
      </c>
      <c r="FJ656" s="357" t="str">
        <f t="shared" si="145"/>
        <v/>
      </c>
      <c r="FK656" s="357" t="str">
        <f t="shared" si="146"/>
        <v/>
      </c>
      <c r="FL656" s="357" t="str">
        <f t="shared" si="147"/>
        <v/>
      </c>
      <c r="FM656" s="357" t="str">
        <f t="shared" si="148"/>
        <v/>
      </c>
      <c r="FN656" s="357" t="str">
        <f t="shared" si="149"/>
        <v/>
      </c>
      <c r="FO656" s="357" t="str">
        <f t="shared" si="150"/>
        <v/>
      </c>
      <c r="FP656" s="357" t="str">
        <f t="shared" si="151"/>
        <v/>
      </c>
      <c r="FQ656" s="357" t="str">
        <f t="shared" si="152"/>
        <v/>
      </c>
      <c r="FR656" s="357" t="str">
        <f t="shared" si="153"/>
        <v/>
      </c>
      <c r="FS656" s="357" t="str">
        <f t="shared" si="154"/>
        <v/>
      </c>
      <c r="FT656" s="357" t="str">
        <f t="shared" si="155"/>
        <v/>
      </c>
      <c r="FU656" s="357" t="str">
        <f t="shared" si="156"/>
        <v/>
      </c>
      <c r="FV656" s="357" t="str">
        <f t="shared" si="157"/>
        <v/>
      </c>
      <c r="FW656" s="357" t="str">
        <f t="shared" si="158"/>
        <v/>
      </c>
      <c r="FX656" s="357" t="str">
        <f t="shared" si="159"/>
        <v/>
      </c>
      <c r="FY656" s="357" t="str">
        <f t="shared" si="160"/>
        <v/>
      </c>
      <c r="FZ656" s="357" t="str">
        <f t="shared" si="161"/>
        <v/>
      </c>
      <c r="GA656" s="357" t="str">
        <f t="shared" si="162"/>
        <v/>
      </c>
      <c r="GB656" s="357" t="str">
        <f t="shared" si="163"/>
        <v/>
      </c>
      <c r="GC656" s="357" t="str">
        <f t="shared" si="164"/>
        <v/>
      </c>
      <c r="GD656" s="357" t="str">
        <f t="shared" si="165"/>
        <v/>
      </c>
      <c r="GE656" s="357" t="str">
        <f t="shared" si="166"/>
        <v/>
      </c>
      <c r="GF656" s="357" t="str">
        <f t="shared" si="167"/>
        <v/>
      </c>
      <c r="GG656" s="357" t="str">
        <f t="shared" si="168"/>
        <v/>
      </c>
      <c r="GH656" s="357">
        <f t="shared" si="169"/>
        <v>4</v>
      </c>
      <c r="GI656" s="357" t="str">
        <f t="shared" si="170"/>
        <v/>
      </c>
      <c r="GJ656" s="357" t="str">
        <f t="shared" si="171"/>
        <v/>
      </c>
      <c r="GK656" s="357" t="str">
        <f t="shared" si="172"/>
        <v/>
      </c>
      <c r="GL656" s="357" t="str">
        <f t="shared" si="173"/>
        <v/>
      </c>
      <c r="GM656" s="357" t="str">
        <f t="shared" si="174"/>
        <v/>
      </c>
      <c r="GN656" s="357" t="str">
        <f t="shared" si="175"/>
        <v/>
      </c>
      <c r="GO656" s="357" t="str">
        <f t="shared" si="176"/>
        <v/>
      </c>
      <c r="GP656" s="357" t="str">
        <f t="shared" si="177"/>
        <v/>
      </c>
      <c r="GQ656" s="357" t="str">
        <f t="shared" si="178"/>
        <v/>
      </c>
      <c r="GR656" s="357" t="str">
        <f t="shared" si="179"/>
        <v/>
      </c>
      <c r="GS656" s="357" t="str">
        <f t="shared" si="180"/>
        <v/>
      </c>
      <c r="GT656" s="357" t="str">
        <f t="shared" si="181"/>
        <v/>
      </c>
      <c r="GU656" s="357" t="str">
        <f t="shared" si="182"/>
        <v/>
      </c>
      <c r="GV656" s="357" t="str">
        <f t="shared" si="183"/>
        <v/>
      </c>
      <c r="GW656" s="357" t="str">
        <f t="shared" si="184"/>
        <v/>
      </c>
      <c r="GX656" s="357" t="str">
        <f t="shared" si="185"/>
        <v/>
      </c>
      <c r="GY656" s="357" t="str">
        <f t="shared" si="186"/>
        <v/>
      </c>
      <c r="GZ656" s="357" t="str">
        <f t="shared" si="187"/>
        <v/>
      </c>
      <c r="HA656" s="357" t="str">
        <f t="shared" si="188"/>
        <v/>
      </c>
      <c r="HB656" s="357" t="str">
        <f t="shared" si="189"/>
        <v/>
      </c>
      <c r="HC656" s="357" t="str">
        <f t="shared" si="190"/>
        <v/>
      </c>
      <c r="HD656" s="357" t="str">
        <f t="shared" si="191"/>
        <v/>
      </c>
      <c r="HE656" s="357" t="str">
        <f t="shared" si="192"/>
        <v/>
      </c>
      <c r="HF656" s="357" t="str">
        <f t="shared" si="193"/>
        <v/>
      </c>
      <c r="HG656" s="357" t="str">
        <f t="shared" si="194"/>
        <v/>
      </c>
      <c r="HH656" s="357" t="str">
        <f t="shared" si="195"/>
        <v/>
      </c>
      <c r="HI656" s="357" t="str">
        <f t="shared" si="196"/>
        <v/>
      </c>
      <c r="HJ656" s="357" t="str">
        <f t="shared" si="197"/>
        <v/>
      </c>
      <c r="HK656" s="357" t="str">
        <f t="shared" si="198"/>
        <v/>
      </c>
      <c r="HL656" s="357" t="str">
        <f t="shared" si="199"/>
        <v/>
      </c>
      <c r="HM656" s="357" t="str">
        <f t="shared" si="200"/>
        <v/>
      </c>
      <c r="HN656" s="357" t="str">
        <f t="shared" si="201"/>
        <v/>
      </c>
      <c r="HO656" s="357" t="str">
        <f t="shared" si="202"/>
        <v/>
      </c>
      <c r="HP656" s="357" t="str">
        <f t="shared" si="203"/>
        <v/>
      </c>
      <c r="HQ656" s="357" t="str">
        <f t="shared" si="204"/>
        <v/>
      </c>
      <c r="HR656" s="357" t="str">
        <f t="shared" si="205"/>
        <v/>
      </c>
      <c r="HS656" s="357" t="str">
        <f t="shared" si="206"/>
        <v/>
      </c>
      <c r="HT656" s="357" t="str">
        <f t="shared" si="207"/>
        <v/>
      </c>
      <c r="HU656" s="357" t="str">
        <f t="shared" si="208"/>
        <v/>
      </c>
      <c r="HV656" s="357" t="str">
        <f t="shared" si="209"/>
        <v/>
      </c>
      <c r="HW656" s="357" t="str">
        <f t="shared" si="210"/>
        <v/>
      </c>
      <c r="HX656" s="357" t="str">
        <f t="shared" si="211"/>
        <v/>
      </c>
      <c r="HY656" s="357" t="str">
        <f t="shared" si="212"/>
        <v/>
      </c>
      <c r="HZ656" s="1903" t="str">
        <f t="shared" si="213"/>
        <v/>
      </c>
      <c r="IA656" s="1903">
        <f t="shared" si="214"/>
        <v>4</v>
      </c>
      <c r="IB656" s="1903" t="str">
        <f t="shared" si="215"/>
        <v/>
      </c>
      <c r="IC656" s="1903" t="str">
        <f t="shared" si="216"/>
        <v/>
      </c>
      <c r="ID656" s="1903" t="str">
        <f t="shared" si="217"/>
        <v/>
      </c>
      <c r="IE656" s="1903" t="str">
        <f t="shared" si="218"/>
        <v/>
      </c>
      <c r="IF656" s="1903" t="str">
        <f t="shared" si="219"/>
        <v/>
      </c>
      <c r="IG656" s="1903" t="str">
        <f t="shared" si="220"/>
        <v/>
      </c>
      <c r="IH656" s="1903" t="str">
        <f t="shared" si="221"/>
        <v/>
      </c>
      <c r="II656" s="1903" t="str">
        <f t="shared" si="222"/>
        <v/>
      </c>
      <c r="IJ656" s="1903" t="str">
        <f t="shared" si="223"/>
        <v/>
      </c>
      <c r="IK656" s="1903" t="str">
        <f t="shared" si="224"/>
        <v/>
      </c>
      <c r="IL656" s="1903" t="str">
        <f t="shared" si="225"/>
        <v/>
      </c>
      <c r="IM656" s="1903" t="str">
        <f t="shared" si="226"/>
        <v/>
      </c>
      <c r="IN656" s="1903" t="str">
        <f t="shared" si="227"/>
        <v/>
      </c>
      <c r="IO656" s="1903" t="str">
        <f t="shared" si="228"/>
        <v/>
      </c>
      <c r="IP656" s="1903" t="str">
        <f t="shared" si="229"/>
        <v/>
      </c>
      <c r="IQ656" s="1903" t="str">
        <f t="shared" si="230"/>
        <v/>
      </c>
      <c r="IR656" s="1903" t="str">
        <f t="shared" si="231"/>
        <v/>
      </c>
      <c r="IS656" s="1903" t="str">
        <f t="shared" si="232"/>
        <v/>
      </c>
      <c r="IT656" s="1903" t="str">
        <f t="shared" si="233"/>
        <v/>
      </c>
      <c r="IU656" s="1903" t="str">
        <f t="shared" si="234"/>
        <v/>
      </c>
      <c r="IV656" s="1903" t="str">
        <f t="shared" si="235"/>
        <v/>
      </c>
      <c r="IW656" s="1903" t="str">
        <f t="shared" si="236"/>
        <v/>
      </c>
      <c r="IX656" s="1903" t="str">
        <f t="shared" si="237"/>
        <v/>
      </c>
      <c r="IY656" s="1903" t="str">
        <f t="shared" si="238"/>
        <v/>
      </c>
      <c r="IZ656" s="1903" t="str">
        <f t="shared" si="239"/>
        <v/>
      </c>
      <c r="JA656" s="1903" t="str">
        <f t="shared" si="240"/>
        <v/>
      </c>
      <c r="JB656" s="1903" t="str">
        <f t="shared" si="241"/>
        <v/>
      </c>
      <c r="JC656" s="1903" t="str">
        <f t="shared" si="242"/>
        <v/>
      </c>
      <c r="JD656" s="1903" t="str">
        <f t="shared" si="243"/>
        <v/>
      </c>
      <c r="JE656" s="1903" t="str">
        <f t="shared" si="244"/>
        <v/>
      </c>
      <c r="JF656" s="1903" t="str">
        <f t="shared" si="245"/>
        <v/>
      </c>
      <c r="JG656" s="1903" t="str">
        <f t="shared" si="246"/>
        <v/>
      </c>
      <c r="JH656" s="1903" t="str">
        <f t="shared" si="247"/>
        <v/>
      </c>
      <c r="JI656" s="1903" t="str">
        <f t="shared" si="248"/>
        <v/>
      </c>
      <c r="JJ656" s="1903" t="str">
        <f t="shared" si="249"/>
        <v/>
      </c>
      <c r="JK656" s="1903" t="str">
        <f t="shared" si="250"/>
        <v/>
      </c>
      <c r="JL656" s="1903" t="str">
        <f t="shared" si="251"/>
        <v/>
      </c>
      <c r="JM656" s="1903" t="str">
        <f t="shared" si="252"/>
        <v/>
      </c>
      <c r="JN656" s="1903" t="str">
        <f t="shared" si="253"/>
        <v/>
      </c>
      <c r="JO656" s="1903" t="str">
        <f t="shared" si="254"/>
        <v/>
      </c>
      <c r="JP656" s="1903" t="str">
        <f t="shared" si="255"/>
        <v/>
      </c>
      <c r="JQ656" s="1903" t="str">
        <f t="shared" si="256"/>
        <v/>
      </c>
      <c r="JR656" s="1903" t="str">
        <f t="shared" si="257"/>
        <v/>
      </c>
      <c r="JS656" s="1903" t="str">
        <f t="shared" si="258"/>
        <v/>
      </c>
      <c r="JT656" s="1903">
        <f t="shared" si="259"/>
        <v>4</v>
      </c>
      <c r="JU656" s="1903" t="str">
        <f t="shared" si="260"/>
        <v/>
      </c>
      <c r="JV656" s="1903" t="str">
        <f t="shared" si="261"/>
        <v/>
      </c>
      <c r="JW656" s="1903" t="str">
        <f t="shared" si="262"/>
        <v/>
      </c>
      <c r="JX656" s="1903" t="str">
        <f t="shared" si="263"/>
        <v/>
      </c>
      <c r="JY656" s="1903" t="str">
        <f t="shared" si="264"/>
        <v/>
      </c>
      <c r="JZ656" s="1903" t="str">
        <f t="shared" si="265"/>
        <v/>
      </c>
      <c r="KA656" s="1903" t="str">
        <f t="shared" si="266"/>
        <v/>
      </c>
      <c r="KB656" s="1903" t="str">
        <f t="shared" si="267"/>
        <v/>
      </c>
      <c r="KC656" s="1903" t="str">
        <f t="shared" si="268"/>
        <v/>
      </c>
      <c r="KD656" s="1903" t="str">
        <f t="shared" si="269"/>
        <v/>
      </c>
      <c r="KE656" s="1903" t="str">
        <f t="shared" si="270"/>
        <v/>
      </c>
      <c r="KF656" s="1903" t="str">
        <f t="shared" si="271"/>
        <v/>
      </c>
      <c r="KG656" s="1903" t="str">
        <f t="shared" si="272"/>
        <v/>
      </c>
      <c r="KH656" s="1903" t="str">
        <f t="shared" si="273"/>
        <v/>
      </c>
      <c r="KI656" s="1903" t="str">
        <f t="shared" si="274"/>
        <v/>
      </c>
      <c r="KJ656" s="1903" t="str">
        <f t="shared" si="275"/>
        <v/>
      </c>
      <c r="KK656" s="1903" t="str">
        <f t="shared" si="276"/>
        <v/>
      </c>
      <c r="KL656" s="1903" t="str">
        <f t="shared" si="277"/>
        <v/>
      </c>
      <c r="KM656" s="1903" t="str">
        <f t="shared" si="278"/>
        <v/>
      </c>
      <c r="KN656" s="1903" t="str">
        <f t="shared" si="279"/>
        <v/>
      </c>
      <c r="KO656" s="1903" t="str">
        <f t="shared" si="280"/>
        <v/>
      </c>
      <c r="KP656" s="1903" t="str">
        <f t="shared" si="281"/>
        <v/>
      </c>
      <c r="KQ656" s="1903" t="str">
        <f t="shared" si="282"/>
        <v/>
      </c>
      <c r="KR656" s="1903" t="str">
        <f t="shared" si="283"/>
        <v/>
      </c>
      <c r="KS656" s="1903" t="str">
        <f t="shared" si="284"/>
        <v/>
      </c>
      <c r="KT656" s="1903" t="str">
        <f t="shared" si="285"/>
        <v/>
      </c>
      <c r="KU656" s="1903" t="str">
        <f t="shared" si="286"/>
        <v/>
      </c>
      <c r="KV656" s="1903" t="str">
        <f t="shared" si="287"/>
        <v/>
      </c>
      <c r="KW656" s="1903" t="str">
        <f t="shared" si="288"/>
        <v/>
      </c>
      <c r="KX656" s="1903" t="str">
        <f t="shared" si="289"/>
        <v/>
      </c>
      <c r="KY656" s="1903" t="str">
        <f t="shared" si="290"/>
        <v/>
      </c>
      <c r="KZ656" s="1903" t="str">
        <f t="shared" si="291"/>
        <v/>
      </c>
      <c r="LA656" s="1903" t="str">
        <f t="shared" si="292"/>
        <v/>
      </c>
      <c r="LB656" s="1903" t="str">
        <f t="shared" si="293"/>
        <v/>
      </c>
      <c r="LC656" s="1903" t="str">
        <f t="shared" si="294"/>
        <v/>
      </c>
      <c r="LD656" s="1903" t="str">
        <f t="shared" si="295"/>
        <v/>
      </c>
      <c r="LE656" s="1903" t="str">
        <f t="shared" si="296"/>
        <v/>
      </c>
      <c r="LF656" s="1903" t="str">
        <f t="shared" si="297"/>
        <v/>
      </c>
      <c r="LG656" s="1750" t="str">
        <f t="shared" si="298"/>
        <v/>
      </c>
      <c r="LH656" s="1750" t="str">
        <f t="shared" si="299"/>
        <v/>
      </c>
      <c r="LI656" s="1750" t="str">
        <f t="shared" si="300"/>
        <v/>
      </c>
      <c r="LJ656" s="1750" t="str">
        <f t="shared" si="301"/>
        <v/>
      </c>
      <c r="LK656" s="1750" t="str">
        <f t="shared" si="302"/>
        <v/>
      </c>
      <c r="LL656" s="357" t="str">
        <f t="shared" si="303"/>
        <v/>
      </c>
      <c r="LM656" s="357" t="str">
        <f t="shared" si="304"/>
        <v/>
      </c>
      <c r="LN656" s="357" t="str">
        <f t="shared" si="305"/>
        <v/>
      </c>
      <c r="LO656" s="357" t="str">
        <f t="shared" si="306"/>
        <v/>
      </c>
      <c r="LP656" s="357" t="str">
        <f t="shared" si="307"/>
        <v/>
      </c>
      <c r="LQ656" s="357" t="str">
        <f t="shared" si="308"/>
        <v/>
      </c>
      <c r="LR656" s="357" t="str">
        <f t="shared" si="309"/>
        <v/>
      </c>
      <c r="LS656" s="357" t="str">
        <f t="shared" si="310"/>
        <v/>
      </c>
      <c r="LT656" s="357" t="str">
        <f t="shared" si="311"/>
        <v/>
      </c>
      <c r="LU656" s="357" t="str">
        <f t="shared" si="312"/>
        <v/>
      </c>
      <c r="LV656" s="357" t="str">
        <f t="shared" si="313"/>
        <v/>
      </c>
      <c r="LW656" s="357" t="str">
        <f t="shared" si="314"/>
        <v/>
      </c>
      <c r="LX656" s="357" t="str">
        <f t="shared" si="315"/>
        <v/>
      </c>
      <c r="LY656" s="357" t="str">
        <f t="shared" si="316"/>
        <v/>
      </c>
      <c r="LZ656" s="357" t="str">
        <f t="shared" si="317"/>
        <v/>
      </c>
      <c r="MA656" s="357" t="str">
        <f t="shared" si="318"/>
        <v/>
      </c>
      <c r="MB656" s="357" t="str">
        <f t="shared" si="319"/>
        <v/>
      </c>
      <c r="MC656" s="357" t="str">
        <f t="shared" si="320"/>
        <v/>
      </c>
      <c r="MD656" s="357" t="str">
        <f t="shared" si="321"/>
        <v/>
      </c>
      <c r="ME656" s="357" t="str">
        <f t="shared" si="322"/>
        <v/>
      </c>
      <c r="MF656" s="1750">
        <f t="shared" si="323"/>
        <v>0</v>
      </c>
      <c r="MG656" s="1750">
        <f t="shared" si="324"/>
        <v>0</v>
      </c>
      <c r="MH656" s="1750">
        <f t="shared" si="325"/>
        <v>0</v>
      </c>
      <c r="MI656" s="1750">
        <f t="shared" si="326"/>
        <v>0</v>
      </c>
      <c r="MJ656" s="1750">
        <f t="shared" si="327"/>
        <v>0</v>
      </c>
      <c r="MK656" s="1750">
        <f t="shared" si="333"/>
        <v>0</v>
      </c>
      <c r="ML656" s="1750">
        <f t="shared" si="334"/>
        <v>4</v>
      </c>
      <c r="MM656" s="1750">
        <f t="shared" si="335"/>
        <v>0</v>
      </c>
      <c r="MN656" s="1750">
        <f t="shared" si="336"/>
        <v>0</v>
      </c>
      <c r="MO656" s="1750">
        <f t="shared" si="337"/>
        <v>0</v>
      </c>
      <c r="MP656" s="1750">
        <f t="shared" si="328"/>
        <v>0</v>
      </c>
      <c r="MQ656" s="1750">
        <f t="shared" si="329"/>
        <v>0</v>
      </c>
      <c r="MR656" s="1750">
        <f t="shared" si="330"/>
        <v>0</v>
      </c>
      <c r="MS656" s="1750">
        <f t="shared" si="331"/>
        <v>0</v>
      </c>
      <c r="MT656" s="1750">
        <f t="shared" si="332"/>
        <v>0</v>
      </c>
      <c r="NP656" s="357" t="s">
        <v>6421</v>
      </c>
    </row>
    <row r="657" spans="1:380" ht="13.9" customHeight="1">
      <c r="A657" s="1901" t="str">
        <f t="shared" si="0"/>
        <v/>
      </c>
      <c r="B657" s="2238">
        <f>'Part V-Revenues &amp; Expenses'!B19</f>
        <v>60</v>
      </c>
      <c r="C657" s="2229">
        <f>'Part V-Revenues &amp; Expenses'!C19</f>
        <v>1</v>
      </c>
      <c r="D657" s="2230">
        <f>'Part V-Revenues &amp; Expenses'!D19</f>
        <v>1</v>
      </c>
      <c r="E657" s="2231">
        <f>'Part V-Revenues &amp; Expenses'!E19</f>
        <v>6</v>
      </c>
      <c r="F657" s="2231">
        <f>'Part V-Revenues &amp; Expenses'!F19</f>
        <v>845</v>
      </c>
      <c r="G657" s="2231">
        <f>'Part V-Revenues &amp; Expenses'!G19</f>
        <v>984</v>
      </c>
      <c r="H657" s="2231">
        <f>'Part V-Revenues &amp; Expenses'!H19</f>
        <v>934</v>
      </c>
      <c r="I657" s="2231">
        <f>'Part V-Revenues &amp; Expenses'!I19</f>
        <v>0</v>
      </c>
      <c r="J657" s="2231">
        <f>'Part V-Revenues &amp; Expenses'!J19</f>
        <v>60</v>
      </c>
      <c r="K657" s="2232">
        <f>'Part V-Revenues &amp; Expenses'!K19</f>
        <v>0</v>
      </c>
      <c r="L657" s="2233">
        <f t="shared" si="338"/>
        <v>874</v>
      </c>
      <c r="M657" s="2233">
        <f t="shared" si="339"/>
        <v>5244</v>
      </c>
      <c r="N657" s="2094" t="str">
        <f>'Part V-Revenues &amp; Expenses'!N19</f>
        <v>No</v>
      </c>
      <c r="O657" s="2234" t="str">
        <f>'Part V-Revenues &amp; Expenses'!O19</f>
        <v>Low-Rise Apt</v>
      </c>
      <c r="P657" s="2094" t="str">
        <f>'Part V-Revenues &amp; Expenses'!P19</f>
        <v>New Construction</v>
      </c>
      <c r="Q657" s="2235" t="str">
        <f>'Part V-Revenues &amp; Expenses'!Q19</f>
        <v>No</v>
      </c>
      <c r="R657" s="2236"/>
      <c r="S657" s="2237"/>
      <c r="T657" s="2160"/>
      <c r="U657" s="2160"/>
      <c r="V657" s="2160"/>
      <c r="W657" s="2160"/>
      <c r="X657" s="357" t="str">
        <f t="shared" si="3"/>
        <v/>
      </c>
      <c r="Y657" s="357" t="str">
        <f t="shared" si="4"/>
        <v/>
      </c>
      <c r="Z657" s="357" t="str">
        <f t="shared" si="5"/>
        <v/>
      </c>
      <c r="AA657" s="357" t="str">
        <f t="shared" si="6"/>
        <v/>
      </c>
      <c r="AB657" s="357" t="str">
        <f t="shared" si="7"/>
        <v/>
      </c>
      <c r="AC657" s="357" t="str">
        <f t="shared" si="8"/>
        <v/>
      </c>
      <c r="AD657" s="357" t="str">
        <f t="shared" si="9"/>
        <v/>
      </c>
      <c r="AE657" s="357" t="str">
        <f t="shared" si="10"/>
        <v/>
      </c>
      <c r="AF657" s="357" t="str">
        <f t="shared" si="11"/>
        <v/>
      </c>
      <c r="AG657" s="357" t="str">
        <f t="shared" si="12"/>
        <v/>
      </c>
      <c r="AH657" s="357" t="str">
        <f t="shared" si="13"/>
        <v/>
      </c>
      <c r="AI657" s="357">
        <f t="shared" si="14"/>
        <v>6</v>
      </c>
      <c r="AJ657" s="357" t="str">
        <f t="shared" si="15"/>
        <v/>
      </c>
      <c r="AK657" s="357" t="str">
        <f t="shared" si="16"/>
        <v/>
      </c>
      <c r="AL657" s="357" t="str">
        <f t="shared" si="17"/>
        <v/>
      </c>
      <c r="AM657" s="357" t="str">
        <f t="shared" si="18"/>
        <v/>
      </c>
      <c r="AN657" s="357" t="str">
        <f t="shared" si="19"/>
        <v/>
      </c>
      <c r="AO657" s="357" t="str">
        <f t="shared" si="20"/>
        <v/>
      </c>
      <c r="AP657" s="357" t="str">
        <f t="shared" si="21"/>
        <v/>
      </c>
      <c r="AQ657" s="357" t="str">
        <f t="shared" si="22"/>
        <v/>
      </c>
      <c r="AR657" s="357" t="str">
        <f t="shared" si="23"/>
        <v/>
      </c>
      <c r="AS657" s="357" t="str">
        <f t="shared" si="24"/>
        <v/>
      </c>
      <c r="AT657" s="357" t="str">
        <f t="shared" si="25"/>
        <v/>
      </c>
      <c r="AU657" s="357" t="str">
        <f t="shared" si="26"/>
        <v/>
      </c>
      <c r="AV657" s="357" t="str">
        <f t="shared" si="27"/>
        <v/>
      </c>
      <c r="AW657" s="357" t="str">
        <f t="shared" si="28"/>
        <v/>
      </c>
      <c r="AX657" s="357" t="str">
        <f t="shared" si="29"/>
        <v/>
      </c>
      <c r="AY657" s="357" t="str">
        <f t="shared" si="30"/>
        <v/>
      </c>
      <c r="AZ657" s="357" t="str">
        <f t="shared" si="31"/>
        <v/>
      </c>
      <c r="BA657" s="357" t="str">
        <f t="shared" si="32"/>
        <v/>
      </c>
      <c r="BB657" s="357" t="str">
        <f t="shared" si="33"/>
        <v/>
      </c>
      <c r="BC657" s="357" t="str">
        <f t="shared" si="34"/>
        <v/>
      </c>
      <c r="BD657" s="357" t="str">
        <f t="shared" si="35"/>
        <v/>
      </c>
      <c r="BE657" s="357" t="str">
        <f t="shared" si="36"/>
        <v/>
      </c>
      <c r="BF657" s="357" t="str">
        <f t="shared" si="37"/>
        <v/>
      </c>
      <c r="BG657" s="357" t="str">
        <f t="shared" si="38"/>
        <v/>
      </c>
      <c r="BH657" s="357" t="str">
        <f t="shared" si="39"/>
        <v/>
      </c>
      <c r="BI657" s="357" t="str">
        <f t="shared" si="40"/>
        <v/>
      </c>
      <c r="BJ657" s="357" t="str">
        <f t="shared" si="41"/>
        <v/>
      </c>
      <c r="BK657" s="357" t="str">
        <f t="shared" si="42"/>
        <v/>
      </c>
      <c r="BL657" s="357" t="str">
        <f t="shared" si="43"/>
        <v/>
      </c>
      <c r="BM657" s="357" t="str">
        <f t="shared" si="44"/>
        <v/>
      </c>
      <c r="BN657" s="357" t="str">
        <f t="shared" si="45"/>
        <v/>
      </c>
      <c r="BO657" s="357" t="str">
        <f t="shared" si="46"/>
        <v/>
      </c>
      <c r="BP657" s="357" t="str">
        <f t="shared" si="47"/>
        <v/>
      </c>
      <c r="BQ657" s="357" t="str">
        <f t="shared" si="48"/>
        <v/>
      </c>
      <c r="BR657" s="357" t="str">
        <f t="shared" si="49"/>
        <v/>
      </c>
      <c r="BS657" s="357" t="str">
        <f t="shared" si="50"/>
        <v/>
      </c>
      <c r="BT657" s="357" t="str">
        <f t="shared" si="51"/>
        <v/>
      </c>
      <c r="BU657" s="357" t="str">
        <f t="shared" si="52"/>
        <v/>
      </c>
      <c r="BV657" s="357" t="str">
        <f t="shared" si="53"/>
        <v/>
      </c>
      <c r="BW657" s="357" t="str">
        <f t="shared" si="54"/>
        <v/>
      </c>
      <c r="BX657" s="357" t="str">
        <f t="shared" si="55"/>
        <v/>
      </c>
      <c r="BY657" s="357" t="str">
        <f t="shared" si="56"/>
        <v/>
      </c>
      <c r="BZ657" s="357" t="str">
        <f t="shared" si="57"/>
        <v/>
      </c>
      <c r="CA657" s="357" t="str">
        <f t="shared" si="58"/>
        <v/>
      </c>
      <c r="CB657" s="357" t="str">
        <f t="shared" si="59"/>
        <v/>
      </c>
      <c r="CC657" s="357" t="str">
        <f t="shared" si="60"/>
        <v/>
      </c>
      <c r="CD657" s="357" t="str">
        <f t="shared" si="61"/>
        <v/>
      </c>
      <c r="CE657" s="357" t="str">
        <f t="shared" si="62"/>
        <v/>
      </c>
      <c r="CF657" s="357" t="str">
        <f t="shared" si="63"/>
        <v/>
      </c>
      <c r="CG657" s="357" t="str">
        <f t="shared" si="64"/>
        <v/>
      </c>
      <c r="CH657" s="357" t="str">
        <f t="shared" si="65"/>
        <v/>
      </c>
      <c r="CI657" s="357" t="str">
        <f t="shared" si="66"/>
        <v/>
      </c>
      <c r="CJ657" s="357" t="str">
        <f t="shared" si="67"/>
        <v/>
      </c>
      <c r="CK657" s="357" t="str">
        <f t="shared" si="68"/>
        <v/>
      </c>
      <c r="CL657" s="357" t="str">
        <f t="shared" si="69"/>
        <v/>
      </c>
      <c r="CM657" s="357" t="str">
        <f t="shared" si="70"/>
        <v/>
      </c>
      <c r="CN657" s="357" t="str">
        <f t="shared" si="71"/>
        <v/>
      </c>
      <c r="CO657" s="357" t="str">
        <f t="shared" si="72"/>
        <v/>
      </c>
      <c r="CP657" s="357" t="str">
        <f t="shared" si="73"/>
        <v/>
      </c>
      <c r="CQ657" s="357" t="str">
        <f t="shared" si="74"/>
        <v/>
      </c>
      <c r="CR657" s="357" t="str">
        <f t="shared" si="75"/>
        <v/>
      </c>
      <c r="CS657" s="357" t="str">
        <f t="shared" si="76"/>
        <v/>
      </c>
      <c r="CT657" s="357" t="str">
        <f t="shared" si="77"/>
        <v/>
      </c>
      <c r="CU657" s="357" t="str">
        <f t="shared" si="78"/>
        <v/>
      </c>
      <c r="CV657" s="357" t="str">
        <f t="shared" si="79"/>
        <v/>
      </c>
      <c r="CW657" s="357" t="str">
        <f t="shared" si="80"/>
        <v/>
      </c>
      <c r="CX657" s="357" t="str">
        <f t="shared" si="81"/>
        <v/>
      </c>
      <c r="CY657" s="357" t="str">
        <f t="shared" si="82"/>
        <v/>
      </c>
      <c r="CZ657" s="357" t="str">
        <f t="shared" si="83"/>
        <v/>
      </c>
      <c r="DA657" s="357" t="str">
        <f t="shared" si="84"/>
        <v/>
      </c>
      <c r="DB657" s="357" t="str">
        <f t="shared" si="85"/>
        <v/>
      </c>
      <c r="DC657" s="357" t="str">
        <f t="shared" si="86"/>
        <v/>
      </c>
      <c r="DD657" s="357" t="str">
        <f t="shared" si="87"/>
        <v/>
      </c>
      <c r="DE657" s="357" t="str">
        <f t="shared" si="88"/>
        <v/>
      </c>
      <c r="DF657" s="357" t="str">
        <f t="shared" si="89"/>
        <v/>
      </c>
      <c r="DG657" s="357" t="str">
        <f t="shared" si="90"/>
        <v/>
      </c>
      <c r="DH657" s="357" t="str">
        <f t="shared" si="91"/>
        <v/>
      </c>
      <c r="DI657" s="357" t="str">
        <f t="shared" si="92"/>
        <v/>
      </c>
      <c r="DJ657" s="357" t="str">
        <f t="shared" si="93"/>
        <v/>
      </c>
      <c r="DK657" s="357" t="str">
        <f t="shared" si="94"/>
        <v/>
      </c>
      <c r="DL657" s="357" t="str">
        <f t="shared" si="95"/>
        <v/>
      </c>
      <c r="DM657" s="357" t="str">
        <f t="shared" si="96"/>
        <v/>
      </c>
      <c r="DN657" s="357" t="str">
        <f t="shared" si="97"/>
        <v/>
      </c>
      <c r="DO657" s="357" t="str">
        <f t="shared" si="98"/>
        <v/>
      </c>
      <c r="DP657" s="357" t="str">
        <f t="shared" si="99"/>
        <v/>
      </c>
      <c r="DQ657" s="357" t="str">
        <f t="shared" si="100"/>
        <v/>
      </c>
      <c r="DR657" s="357" t="str">
        <f t="shared" si="101"/>
        <v/>
      </c>
      <c r="DS657" s="357" t="str">
        <f t="shared" si="102"/>
        <v/>
      </c>
      <c r="DT657" s="357" t="str">
        <f t="shared" si="103"/>
        <v/>
      </c>
      <c r="DU657" s="357" t="str">
        <f t="shared" si="104"/>
        <v/>
      </c>
      <c r="DV657" s="357" t="str">
        <f t="shared" si="105"/>
        <v/>
      </c>
      <c r="DW657" s="357" t="str">
        <f t="shared" si="106"/>
        <v/>
      </c>
      <c r="DX657" s="357" t="str">
        <f t="shared" si="107"/>
        <v/>
      </c>
      <c r="DY657" s="357" t="str">
        <f t="shared" si="108"/>
        <v/>
      </c>
      <c r="DZ657" s="357" t="str">
        <f t="shared" si="109"/>
        <v/>
      </c>
      <c r="EA657" s="357" t="str">
        <f t="shared" si="110"/>
        <v/>
      </c>
      <c r="EB657" s="357" t="str">
        <f t="shared" si="111"/>
        <v/>
      </c>
      <c r="EC657" s="357" t="str">
        <f t="shared" si="112"/>
        <v/>
      </c>
      <c r="ED657" s="357" t="str">
        <f t="shared" si="113"/>
        <v/>
      </c>
      <c r="EE657" s="357" t="str">
        <f t="shared" si="114"/>
        <v/>
      </c>
      <c r="EF657" s="357" t="str">
        <f t="shared" si="115"/>
        <v/>
      </c>
      <c r="EG657" s="357" t="str">
        <f t="shared" si="116"/>
        <v/>
      </c>
      <c r="EH657" s="357" t="str">
        <f t="shared" si="117"/>
        <v/>
      </c>
      <c r="EI657" s="357" t="str">
        <f t="shared" si="118"/>
        <v/>
      </c>
      <c r="EJ657" s="357" t="str">
        <f t="shared" si="119"/>
        <v/>
      </c>
      <c r="EK657" s="357" t="str">
        <f t="shared" si="120"/>
        <v/>
      </c>
      <c r="EL657" s="357" t="str">
        <f t="shared" si="121"/>
        <v/>
      </c>
      <c r="EM657" s="357" t="str">
        <f t="shared" si="122"/>
        <v/>
      </c>
      <c r="EN657" s="357" t="str">
        <f t="shared" si="123"/>
        <v/>
      </c>
      <c r="EO657" s="357" t="str">
        <f t="shared" si="124"/>
        <v/>
      </c>
      <c r="EP657" s="357" t="str">
        <f t="shared" si="125"/>
        <v/>
      </c>
      <c r="EQ657" s="357" t="str">
        <f t="shared" si="126"/>
        <v/>
      </c>
      <c r="ER657" s="357" t="str">
        <f t="shared" si="127"/>
        <v/>
      </c>
      <c r="ES657" s="357" t="str">
        <f t="shared" si="128"/>
        <v/>
      </c>
      <c r="ET657" s="357">
        <f t="shared" si="129"/>
        <v>5070</v>
      </c>
      <c r="EU657" s="357" t="str">
        <f t="shared" si="130"/>
        <v/>
      </c>
      <c r="EV657" s="357" t="str">
        <f t="shared" si="131"/>
        <v/>
      </c>
      <c r="EW657" s="357" t="str">
        <f t="shared" si="132"/>
        <v/>
      </c>
      <c r="EX657" s="357" t="str">
        <f t="shared" si="133"/>
        <v/>
      </c>
      <c r="EY657" s="357" t="str">
        <f t="shared" si="134"/>
        <v/>
      </c>
      <c r="EZ657" s="357" t="str">
        <f t="shared" si="135"/>
        <v/>
      </c>
      <c r="FA657" s="357" t="str">
        <f t="shared" si="136"/>
        <v/>
      </c>
      <c r="FB657" s="357" t="str">
        <f t="shared" si="137"/>
        <v/>
      </c>
      <c r="FC657" s="357" t="str">
        <f t="shared" si="138"/>
        <v/>
      </c>
      <c r="FD657" s="357" t="str">
        <f t="shared" si="139"/>
        <v/>
      </c>
      <c r="FE657" s="357" t="str">
        <f t="shared" si="140"/>
        <v/>
      </c>
      <c r="FF657" s="357" t="str">
        <f t="shared" si="141"/>
        <v/>
      </c>
      <c r="FG657" s="357" t="str">
        <f t="shared" si="142"/>
        <v/>
      </c>
      <c r="FH657" s="357" t="str">
        <f t="shared" si="143"/>
        <v/>
      </c>
      <c r="FI657" s="357" t="str">
        <f t="shared" si="144"/>
        <v/>
      </c>
      <c r="FJ657" s="357" t="str">
        <f t="shared" si="145"/>
        <v/>
      </c>
      <c r="FK657" s="357" t="str">
        <f t="shared" si="146"/>
        <v/>
      </c>
      <c r="FL657" s="357" t="str">
        <f t="shared" si="147"/>
        <v/>
      </c>
      <c r="FM657" s="357" t="str">
        <f t="shared" si="148"/>
        <v/>
      </c>
      <c r="FN657" s="357" t="str">
        <f t="shared" si="149"/>
        <v/>
      </c>
      <c r="FO657" s="357" t="str">
        <f t="shared" si="150"/>
        <v/>
      </c>
      <c r="FP657" s="357" t="str">
        <f t="shared" si="151"/>
        <v/>
      </c>
      <c r="FQ657" s="357" t="str">
        <f t="shared" si="152"/>
        <v/>
      </c>
      <c r="FR657" s="357" t="str">
        <f t="shared" si="153"/>
        <v/>
      </c>
      <c r="FS657" s="357" t="str">
        <f t="shared" si="154"/>
        <v/>
      </c>
      <c r="FT657" s="357" t="str">
        <f t="shared" si="155"/>
        <v/>
      </c>
      <c r="FU657" s="357" t="str">
        <f t="shared" si="156"/>
        <v/>
      </c>
      <c r="FV657" s="357" t="str">
        <f t="shared" si="157"/>
        <v/>
      </c>
      <c r="FW657" s="357" t="str">
        <f t="shared" si="158"/>
        <v/>
      </c>
      <c r="FX657" s="357" t="str">
        <f t="shared" si="159"/>
        <v/>
      </c>
      <c r="FY657" s="357" t="str">
        <f t="shared" si="160"/>
        <v/>
      </c>
      <c r="FZ657" s="357" t="str">
        <f t="shared" si="161"/>
        <v/>
      </c>
      <c r="GA657" s="357" t="str">
        <f t="shared" si="162"/>
        <v/>
      </c>
      <c r="GB657" s="357" t="str">
        <f t="shared" si="163"/>
        <v/>
      </c>
      <c r="GC657" s="357" t="str">
        <f t="shared" si="164"/>
        <v/>
      </c>
      <c r="GD657" s="357" t="str">
        <f t="shared" si="165"/>
        <v/>
      </c>
      <c r="GE657" s="357" t="str">
        <f t="shared" si="166"/>
        <v/>
      </c>
      <c r="GF657" s="357" t="str">
        <f t="shared" si="167"/>
        <v/>
      </c>
      <c r="GG657" s="357" t="str">
        <f t="shared" si="168"/>
        <v/>
      </c>
      <c r="GH657" s="357">
        <f t="shared" si="169"/>
        <v>6</v>
      </c>
      <c r="GI657" s="357" t="str">
        <f t="shared" si="170"/>
        <v/>
      </c>
      <c r="GJ657" s="357" t="str">
        <f t="shared" si="171"/>
        <v/>
      </c>
      <c r="GK657" s="357" t="str">
        <f t="shared" si="172"/>
        <v/>
      </c>
      <c r="GL657" s="357" t="str">
        <f t="shared" si="173"/>
        <v/>
      </c>
      <c r="GM657" s="357" t="str">
        <f t="shared" si="174"/>
        <v/>
      </c>
      <c r="GN657" s="357" t="str">
        <f t="shared" si="175"/>
        <v/>
      </c>
      <c r="GO657" s="357" t="str">
        <f t="shared" si="176"/>
        <v/>
      </c>
      <c r="GP657" s="357" t="str">
        <f t="shared" si="177"/>
        <v/>
      </c>
      <c r="GQ657" s="357" t="str">
        <f t="shared" si="178"/>
        <v/>
      </c>
      <c r="GR657" s="357" t="str">
        <f t="shared" si="179"/>
        <v/>
      </c>
      <c r="GS657" s="357" t="str">
        <f t="shared" si="180"/>
        <v/>
      </c>
      <c r="GT657" s="357" t="str">
        <f t="shared" si="181"/>
        <v/>
      </c>
      <c r="GU657" s="357" t="str">
        <f t="shared" si="182"/>
        <v/>
      </c>
      <c r="GV657" s="357" t="str">
        <f t="shared" si="183"/>
        <v/>
      </c>
      <c r="GW657" s="357" t="str">
        <f t="shared" si="184"/>
        <v/>
      </c>
      <c r="GX657" s="357" t="str">
        <f t="shared" si="185"/>
        <v/>
      </c>
      <c r="GY657" s="357" t="str">
        <f t="shared" si="186"/>
        <v/>
      </c>
      <c r="GZ657" s="357" t="str">
        <f t="shared" si="187"/>
        <v/>
      </c>
      <c r="HA657" s="357" t="str">
        <f t="shared" si="188"/>
        <v/>
      </c>
      <c r="HB657" s="357" t="str">
        <f t="shared" si="189"/>
        <v/>
      </c>
      <c r="HC657" s="357" t="str">
        <f t="shared" si="190"/>
        <v/>
      </c>
      <c r="HD657" s="357" t="str">
        <f t="shared" si="191"/>
        <v/>
      </c>
      <c r="HE657" s="357" t="str">
        <f t="shared" si="192"/>
        <v/>
      </c>
      <c r="HF657" s="357" t="str">
        <f t="shared" si="193"/>
        <v/>
      </c>
      <c r="HG657" s="357" t="str">
        <f t="shared" si="194"/>
        <v/>
      </c>
      <c r="HH657" s="357" t="str">
        <f t="shared" si="195"/>
        <v/>
      </c>
      <c r="HI657" s="357" t="str">
        <f t="shared" si="196"/>
        <v/>
      </c>
      <c r="HJ657" s="357" t="str">
        <f t="shared" si="197"/>
        <v/>
      </c>
      <c r="HK657" s="357" t="str">
        <f t="shared" si="198"/>
        <v/>
      </c>
      <c r="HL657" s="357" t="str">
        <f t="shared" si="199"/>
        <v/>
      </c>
      <c r="HM657" s="357" t="str">
        <f t="shared" si="200"/>
        <v/>
      </c>
      <c r="HN657" s="357" t="str">
        <f t="shared" si="201"/>
        <v/>
      </c>
      <c r="HO657" s="357" t="str">
        <f t="shared" si="202"/>
        <v/>
      </c>
      <c r="HP657" s="357" t="str">
        <f t="shared" si="203"/>
        <v/>
      </c>
      <c r="HQ657" s="357" t="str">
        <f t="shared" si="204"/>
        <v/>
      </c>
      <c r="HR657" s="357" t="str">
        <f t="shared" si="205"/>
        <v/>
      </c>
      <c r="HS657" s="357" t="str">
        <f t="shared" si="206"/>
        <v/>
      </c>
      <c r="HT657" s="357" t="str">
        <f t="shared" si="207"/>
        <v/>
      </c>
      <c r="HU657" s="357" t="str">
        <f t="shared" si="208"/>
        <v/>
      </c>
      <c r="HV657" s="357" t="str">
        <f t="shared" si="209"/>
        <v/>
      </c>
      <c r="HW657" s="357" t="str">
        <f t="shared" si="210"/>
        <v/>
      </c>
      <c r="HX657" s="357" t="str">
        <f t="shared" si="211"/>
        <v/>
      </c>
      <c r="HY657" s="357" t="str">
        <f t="shared" si="212"/>
        <v/>
      </c>
      <c r="HZ657" s="1903" t="str">
        <f t="shared" si="213"/>
        <v/>
      </c>
      <c r="IA657" s="1903">
        <f t="shared" si="214"/>
        <v>6</v>
      </c>
      <c r="IB657" s="1903" t="str">
        <f t="shared" si="215"/>
        <v/>
      </c>
      <c r="IC657" s="1903" t="str">
        <f t="shared" si="216"/>
        <v/>
      </c>
      <c r="ID657" s="1903" t="str">
        <f t="shared" si="217"/>
        <v/>
      </c>
      <c r="IE657" s="1903" t="str">
        <f t="shared" si="218"/>
        <v/>
      </c>
      <c r="IF657" s="1903" t="str">
        <f t="shared" si="219"/>
        <v/>
      </c>
      <c r="IG657" s="1903" t="str">
        <f t="shared" si="220"/>
        <v/>
      </c>
      <c r="IH657" s="1903" t="str">
        <f t="shared" si="221"/>
        <v/>
      </c>
      <c r="II657" s="1903" t="str">
        <f t="shared" si="222"/>
        <v/>
      </c>
      <c r="IJ657" s="1903" t="str">
        <f t="shared" si="223"/>
        <v/>
      </c>
      <c r="IK657" s="1903" t="str">
        <f t="shared" si="224"/>
        <v/>
      </c>
      <c r="IL657" s="1903" t="str">
        <f t="shared" si="225"/>
        <v/>
      </c>
      <c r="IM657" s="1903" t="str">
        <f t="shared" si="226"/>
        <v/>
      </c>
      <c r="IN657" s="1903" t="str">
        <f t="shared" si="227"/>
        <v/>
      </c>
      <c r="IO657" s="1903" t="str">
        <f t="shared" si="228"/>
        <v/>
      </c>
      <c r="IP657" s="1903" t="str">
        <f t="shared" si="229"/>
        <v/>
      </c>
      <c r="IQ657" s="1903" t="str">
        <f t="shared" si="230"/>
        <v/>
      </c>
      <c r="IR657" s="1903" t="str">
        <f t="shared" si="231"/>
        <v/>
      </c>
      <c r="IS657" s="1903" t="str">
        <f t="shared" si="232"/>
        <v/>
      </c>
      <c r="IT657" s="1903" t="str">
        <f t="shared" si="233"/>
        <v/>
      </c>
      <c r="IU657" s="1903" t="str">
        <f t="shared" si="234"/>
        <v/>
      </c>
      <c r="IV657" s="1903" t="str">
        <f t="shared" si="235"/>
        <v/>
      </c>
      <c r="IW657" s="1903" t="str">
        <f t="shared" si="236"/>
        <v/>
      </c>
      <c r="IX657" s="1903" t="str">
        <f t="shared" si="237"/>
        <v/>
      </c>
      <c r="IY657" s="1903" t="str">
        <f t="shared" si="238"/>
        <v/>
      </c>
      <c r="IZ657" s="1903" t="str">
        <f t="shared" si="239"/>
        <v/>
      </c>
      <c r="JA657" s="1903" t="str">
        <f t="shared" si="240"/>
        <v/>
      </c>
      <c r="JB657" s="1903" t="str">
        <f t="shared" si="241"/>
        <v/>
      </c>
      <c r="JC657" s="1903" t="str">
        <f t="shared" si="242"/>
        <v/>
      </c>
      <c r="JD657" s="1903" t="str">
        <f t="shared" si="243"/>
        <v/>
      </c>
      <c r="JE657" s="1903" t="str">
        <f t="shared" si="244"/>
        <v/>
      </c>
      <c r="JF657" s="1903" t="str">
        <f t="shared" si="245"/>
        <v/>
      </c>
      <c r="JG657" s="1903" t="str">
        <f t="shared" si="246"/>
        <v/>
      </c>
      <c r="JH657" s="1903" t="str">
        <f t="shared" si="247"/>
        <v/>
      </c>
      <c r="JI657" s="1903" t="str">
        <f t="shared" si="248"/>
        <v/>
      </c>
      <c r="JJ657" s="1903" t="str">
        <f t="shared" si="249"/>
        <v/>
      </c>
      <c r="JK657" s="1903" t="str">
        <f t="shared" si="250"/>
        <v/>
      </c>
      <c r="JL657" s="1903" t="str">
        <f t="shared" si="251"/>
        <v/>
      </c>
      <c r="JM657" s="1903" t="str">
        <f t="shared" si="252"/>
        <v/>
      </c>
      <c r="JN657" s="1903" t="str">
        <f t="shared" si="253"/>
        <v/>
      </c>
      <c r="JO657" s="1903" t="str">
        <f t="shared" si="254"/>
        <v/>
      </c>
      <c r="JP657" s="1903" t="str">
        <f t="shared" si="255"/>
        <v/>
      </c>
      <c r="JQ657" s="1903" t="str">
        <f t="shared" si="256"/>
        <v/>
      </c>
      <c r="JR657" s="1903" t="str">
        <f t="shared" si="257"/>
        <v/>
      </c>
      <c r="JS657" s="1903" t="str">
        <f t="shared" si="258"/>
        <v/>
      </c>
      <c r="JT657" s="1903">
        <f t="shared" si="259"/>
        <v>6</v>
      </c>
      <c r="JU657" s="1903" t="str">
        <f t="shared" si="260"/>
        <v/>
      </c>
      <c r="JV657" s="1903" t="str">
        <f t="shared" si="261"/>
        <v/>
      </c>
      <c r="JW657" s="1903" t="str">
        <f t="shared" si="262"/>
        <v/>
      </c>
      <c r="JX657" s="1903" t="str">
        <f t="shared" si="263"/>
        <v/>
      </c>
      <c r="JY657" s="1903" t="str">
        <f t="shared" si="264"/>
        <v/>
      </c>
      <c r="JZ657" s="1903" t="str">
        <f t="shared" si="265"/>
        <v/>
      </c>
      <c r="KA657" s="1903" t="str">
        <f t="shared" si="266"/>
        <v/>
      </c>
      <c r="KB657" s="1903" t="str">
        <f t="shared" si="267"/>
        <v/>
      </c>
      <c r="KC657" s="1903" t="str">
        <f t="shared" si="268"/>
        <v/>
      </c>
      <c r="KD657" s="1903" t="str">
        <f t="shared" si="269"/>
        <v/>
      </c>
      <c r="KE657" s="1903" t="str">
        <f t="shared" si="270"/>
        <v/>
      </c>
      <c r="KF657" s="1903" t="str">
        <f t="shared" si="271"/>
        <v/>
      </c>
      <c r="KG657" s="1903" t="str">
        <f t="shared" si="272"/>
        <v/>
      </c>
      <c r="KH657" s="1903" t="str">
        <f t="shared" si="273"/>
        <v/>
      </c>
      <c r="KI657" s="1903" t="str">
        <f t="shared" si="274"/>
        <v/>
      </c>
      <c r="KJ657" s="1903" t="str">
        <f t="shared" si="275"/>
        <v/>
      </c>
      <c r="KK657" s="1903" t="str">
        <f t="shared" si="276"/>
        <v/>
      </c>
      <c r="KL657" s="1903" t="str">
        <f t="shared" si="277"/>
        <v/>
      </c>
      <c r="KM657" s="1903" t="str">
        <f t="shared" si="278"/>
        <v/>
      </c>
      <c r="KN657" s="1903" t="str">
        <f t="shared" si="279"/>
        <v/>
      </c>
      <c r="KO657" s="1903" t="str">
        <f t="shared" si="280"/>
        <v/>
      </c>
      <c r="KP657" s="1903" t="str">
        <f t="shared" si="281"/>
        <v/>
      </c>
      <c r="KQ657" s="1903" t="str">
        <f t="shared" si="282"/>
        <v/>
      </c>
      <c r="KR657" s="1903" t="str">
        <f t="shared" si="283"/>
        <v/>
      </c>
      <c r="KS657" s="1903" t="str">
        <f t="shared" si="284"/>
        <v/>
      </c>
      <c r="KT657" s="1903" t="str">
        <f t="shared" si="285"/>
        <v/>
      </c>
      <c r="KU657" s="1903" t="str">
        <f t="shared" si="286"/>
        <v/>
      </c>
      <c r="KV657" s="1903" t="str">
        <f t="shared" si="287"/>
        <v/>
      </c>
      <c r="KW657" s="1903" t="str">
        <f t="shared" si="288"/>
        <v/>
      </c>
      <c r="KX657" s="1903" t="str">
        <f t="shared" si="289"/>
        <v/>
      </c>
      <c r="KY657" s="1903" t="str">
        <f t="shared" si="290"/>
        <v/>
      </c>
      <c r="KZ657" s="1903" t="str">
        <f t="shared" si="291"/>
        <v/>
      </c>
      <c r="LA657" s="1903" t="str">
        <f t="shared" si="292"/>
        <v/>
      </c>
      <c r="LB657" s="1903" t="str">
        <f t="shared" si="293"/>
        <v/>
      </c>
      <c r="LC657" s="1903" t="str">
        <f t="shared" si="294"/>
        <v/>
      </c>
      <c r="LD657" s="1903" t="str">
        <f t="shared" si="295"/>
        <v/>
      </c>
      <c r="LE657" s="1903" t="str">
        <f t="shared" si="296"/>
        <v/>
      </c>
      <c r="LF657" s="1903" t="str">
        <f t="shared" si="297"/>
        <v/>
      </c>
      <c r="LG657" s="1750" t="str">
        <f t="shared" si="298"/>
        <v/>
      </c>
      <c r="LH657" s="1750" t="str">
        <f t="shared" si="299"/>
        <v/>
      </c>
      <c r="LI657" s="1750" t="str">
        <f t="shared" si="300"/>
        <v/>
      </c>
      <c r="LJ657" s="1750" t="str">
        <f t="shared" si="301"/>
        <v/>
      </c>
      <c r="LK657" s="1750" t="str">
        <f t="shared" si="302"/>
        <v/>
      </c>
      <c r="LL657" s="357" t="str">
        <f t="shared" si="303"/>
        <v/>
      </c>
      <c r="LM657" s="357" t="str">
        <f t="shared" si="304"/>
        <v/>
      </c>
      <c r="LN657" s="357" t="str">
        <f t="shared" si="305"/>
        <v/>
      </c>
      <c r="LO657" s="357" t="str">
        <f t="shared" si="306"/>
        <v/>
      </c>
      <c r="LP657" s="357" t="str">
        <f t="shared" si="307"/>
        <v/>
      </c>
      <c r="LQ657" s="357" t="str">
        <f t="shared" si="308"/>
        <v/>
      </c>
      <c r="LR657" s="357" t="str">
        <f t="shared" si="309"/>
        <v/>
      </c>
      <c r="LS657" s="357" t="str">
        <f t="shared" si="310"/>
        <v/>
      </c>
      <c r="LT657" s="357" t="str">
        <f t="shared" si="311"/>
        <v/>
      </c>
      <c r="LU657" s="357" t="str">
        <f t="shared" si="312"/>
        <v/>
      </c>
      <c r="LV657" s="357" t="str">
        <f t="shared" si="313"/>
        <v/>
      </c>
      <c r="LW657" s="357" t="str">
        <f t="shared" si="314"/>
        <v/>
      </c>
      <c r="LX657" s="357" t="str">
        <f t="shared" si="315"/>
        <v/>
      </c>
      <c r="LY657" s="357" t="str">
        <f t="shared" si="316"/>
        <v/>
      </c>
      <c r="LZ657" s="357" t="str">
        <f t="shared" si="317"/>
        <v/>
      </c>
      <c r="MA657" s="357" t="str">
        <f t="shared" si="318"/>
        <v/>
      </c>
      <c r="MB657" s="357" t="str">
        <f t="shared" si="319"/>
        <v/>
      </c>
      <c r="MC657" s="357" t="str">
        <f t="shared" si="320"/>
        <v/>
      </c>
      <c r="MD657" s="357" t="str">
        <f t="shared" si="321"/>
        <v/>
      </c>
      <c r="ME657" s="357" t="str">
        <f t="shared" si="322"/>
        <v/>
      </c>
      <c r="MF657" s="1750">
        <f t="shared" si="323"/>
        <v>0</v>
      </c>
      <c r="MG657" s="1750">
        <f t="shared" si="324"/>
        <v>0</v>
      </c>
      <c r="MH657" s="1750">
        <f t="shared" si="325"/>
        <v>0</v>
      </c>
      <c r="MI657" s="1750">
        <f t="shared" si="326"/>
        <v>0</v>
      </c>
      <c r="MJ657" s="1750">
        <f t="shared" si="327"/>
        <v>0</v>
      </c>
      <c r="MK657" s="1750">
        <f t="shared" si="333"/>
        <v>0</v>
      </c>
      <c r="ML657" s="1750">
        <f t="shared" si="334"/>
        <v>6</v>
      </c>
      <c r="MM657" s="1750">
        <f t="shared" si="335"/>
        <v>0</v>
      </c>
      <c r="MN657" s="1750">
        <f t="shared" si="336"/>
        <v>0</v>
      </c>
      <c r="MO657" s="1750">
        <f t="shared" si="337"/>
        <v>0</v>
      </c>
      <c r="MP657" s="1750">
        <f t="shared" si="328"/>
        <v>0</v>
      </c>
      <c r="MQ657" s="1750">
        <f t="shared" si="329"/>
        <v>0</v>
      </c>
      <c r="MR657" s="1750">
        <f t="shared" si="330"/>
        <v>0</v>
      </c>
      <c r="MS657" s="1750">
        <f t="shared" si="331"/>
        <v>0</v>
      </c>
      <c r="MT657" s="1750">
        <f t="shared" si="332"/>
        <v>0</v>
      </c>
      <c r="NP657" s="357" t="s">
        <v>6422</v>
      </c>
    </row>
    <row r="658" spans="1:380" ht="13.9" customHeight="1">
      <c r="A658" s="1901" t="str">
        <f t="shared" si="0"/>
        <v/>
      </c>
      <c r="B658" s="2238">
        <f>'Part V-Revenues &amp; Expenses'!B20</f>
        <v>80</v>
      </c>
      <c r="C658" s="2229">
        <f>'Part V-Revenues &amp; Expenses'!C20</f>
        <v>1</v>
      </c>
      <c r="D658" s="2230">
        <f>'Part V-Revenues &amp; Expenses'!D20</f>
        <v>1</v>
      </c>
      <c r="E658" s="2231">
        <f>'Part V-Revenues &amp; Expenses'!E20</f>
        <v>5</v>
      </c>
      <c r="F658" s="2231">
        <f>'Part V-Revenues &amp; Expenses'!F20</f>
        <v>845</v>
      </c>
      <c r="G658" s="2231">
        <f>'Part V-Revenues &amp; Expenses'!G20</f>
        <v>1312</v>
      </c>
      <c r="H658" s="2231">
        <f>'Part V-Revenues &amp; Expenses'!H20</f>
        <v>1112</v>
      </c>
      <c r="I658" s="2231">
        <f>'Part V-Revenues &amp; Expenses'!I20</f>
        <v>0</v>
      </c>
      <c r="J658" s="2231">
        <f>'Part V-Revenues &amp; Expenses'!J20</f>
        <v>60</v>
      </c>
      <c r="K658" s="2232">
        <f>'Part V-Revenues &amp; Expenses'!K20</f>
        <v>0</v>
      </c>
      <c r="L658" s="2233">
        <f t="shared" si="338"/>
        <v>1052</v>
      </c>
      <c r="M658" s="2233">
        <f t="shared" si="339"/>
        <v>5260</v>
      </c>
      <c r="N658" s="2094" t="str">
        <f>'Part V-Revenues &amp; Expenses'!N20</f>
        <v>No</v>
      </c>
      <c r="O658" s="2234" t="str">
        <f>'Part V-Revenues &amp; Expenses'!O20</f>
        <v>Low-Rise Apt</v>
      </c>
      <c r="P658" s="2094" t="str">
        <f>'Part V-Revenues &amp; Expenses'!P20</f>
        <v>New Construction</v>
      </c>
      <c r="Q658" s="2235" t="str">
        <f>'Part V-Revenues &amp; Expenses'!Q20</f>
        <v>No</v>
      </c>
      <c r="R658" s="2236"/>
      <c r="S658" s="2237"/>
      <c r="T658" s="2160"/>
      <c r="U658" s="2160"/>
      <c r="V658" s="2160"/>
      <c r="W658" s="2160"/>
      <c r="X658" s="357" t="str">
        <f t="shared" si="3"/>
        <v/>
      </c>
      <c r="Y658" s="357">
        <f t="shared" si="4"/>
        <v>5</v>
      </c>
      <c r="Z658" s="357" t="str">
        <f t="shared" si="5"/>
        <v/>
      </c>
      <c r="AA658" s="357" t="str">
        <f t="shared" si="6"/>
        <v/>
      </c>
      <c r="AB658" s="357" t="str">
        <f t="shared" si="7"/>
        <v/>
      </c>
      <c r="AC658" s="357" t="str">
        <f t="shared" si="8"/>
        <v/>
      </c>
      <c r="AD658" s="357" t="str">
        <f t="shared" si="9"/>
        <v/>
      </c>
      <c r="AE658" s="357" t="str">
        <f t="shared" si="10"/>
        <v/>
      </c>
      <c r="AF658" s="357" t="str">
        <f t="shared" si="11"/>
        <v/>
      </c>
      <c r="AG658" s="357" t="str">
        <f t="shared" si="12"/>
        <v/>
      </c>
      <c r="AH658" s="357" t="str">
        <f t="shared" si="13"/>
        <v/>
      </c>
      <c r="AI658" s="357" t="str">
        <f t="shared" si="14"/>
        <v/>
      </c>
      <c r="AJ658" s="357" t="str">
        <f t="shared" si="15"/>
        <v/>
      </c>
      <c r="AK658" s="357" t="str">
        <f t="shared" si="16"/>
        <v/>
      </c>
      <c r="AL658" s="357" t="str">
        <f t="shared" si="17"/>
        <v/>
      </c>
      <c r="AM658" s="357" t="str">
        <f t="shared" si="18"/>
        <v/>
      </c>
      <c r="AN658" s="357" t="str">
        <f t="shared" si="19"/>
        <v/>
      </c>
      <c r="AO658" s="357" t="str">
        <f t="shared" si="20"/>
        <v/>
      </c>
      <c r="AP658" s="357" t="str">
        <f t="shared" si="21"/>
        <v/>
      </c>
      <c r="AQ658" s="357" t="str">
        <f t="shared" si="22"/>
        <v/>
      </c>
      <c r="AR658" s="357" t="str">
        <f t="shared" si="23"/>
        <v/>
      </c>
      <c r="AS658" s="357" t="str">
        <f t="shared" si="24"/>
        <v/>
      </c>
      <c r="AT658" s="357" t="str">
        <f t="shared" si="25"/>
        <v/>
      </c>
      <c r="AU658" s="357" t="str">
        <f t="shared" si="26"/>
        <v/>
      </c>
      <c r="AV658" s="357" t="str">
        <f t="shared" si="27"/>
        <v/>
      </c>
      <c r="AW658" s="357" t="str">
        <f t="shared" si="28"/>
        <v/>
      </c>
      <c r="AX658" s="357" t="str">
        <f t="shared" si="29"/>
        <v/>
      </c>
      <c r="AY658" s="357" t="str">
        <f t="shared" si="30"/>
        <v/>
      </c>
      <c r="AZ658" s="357" t="str">
        <f t="shared" si="31"/>
        <v/>
      </c>
      <c r="BA658" s="357" t="str">
        <f t="shared" si="32"/>
        <v/>
      </c>
      <c r="BB658" s="357" t="str">
        <f t="shared" si="33"/>
        <v/>
      </c>
      <c r="BC658" s="357" t="str">
        <f t="shared" si="34"/>
        <v/>
      </c>
      <c r="BD658" s="357" t="str">
        <f t="shared" si="35"/>
        <v/>
      </c>
      <c r="BE658" s="357" t="str">
        <f t="shared" si="36"/>
        <v/>
      </c>
      <c r="BF658" s="357" t="str">
        <f t="shared" si="37"/>
        <v/>
      </c>
      <c r="BG658" s="357" t="str">
        <f t="shared" si="38"/>
        <v/>
      </c>
      <c r="BH658" s="357" t="str">
        <f t="shared" si="39"/>
        <v/>
      </c>
      <c r="BI658" s="357" t="str">
        <f t="shared" si="40"/>
        <v/>
      </c>
      <c r="BJ658" s="357" t="str">
        <f t="shared" si="41"/>
        <v/>
      </c>
      <c r="BK658" s="357" t="str">
        <f t="shared" si="42"/>
        <v/>
      </c>
      <c r="BL658" s="357" t="str">
        <f t="shared" si="43"/>
        <v/>
      </c>
      <c r="BM658" s="357" t="str">
        <f t="shared" si="44"/>
        <v/>
      </c>
      <c r="BN658" s="357" t="str">
        <f t="shared" si="45"/>
        <v/>
      </c>
      <c r="BO658" s="357" t="str">
        <f t="shared" si="46"/>
        <v/>
      </c>
      <c r="BP658" s="357" t="str">
        <f t="shared" si="47"/>
        <v/>
      </c>
      <c r="BQ658" s="357" t="str">
        <f t="shared" si="48"/>
        <v/>
      </c>
      <c r="BR658" s="357" t="str">
        <f t="shared" si="49"/>
        <v/>
      </c>
      <c r="BS658" s="357" t="str">
        <f t="shared" si="50"/>
        <v/>
      </c>
      <c r="BT658" s="357" t="str">
        <f t="shared" si="51"/>
        <v/>
      </c>
      <c r="BU658" s="357" t="str">
        <f t="shared" si="52"/>
        <v/>
      </c>
      <c r="BV658" s="357" t="str">
        <f t="shared" si="53"/>
        <v/>
      </c>
      <c r="BW658" s="357" t="str">
        <f t="shared" si="54"/>
        <v/>
      </c>
      <c r="BX658" s="357" t="str">
        <f t="shared" si="55"/>
        <v/>
      </c>
      <c r="BY658" s="357" t="str">
        <f t="shared" si="56"/>
        <v/>
      </c>
      <c r="BZ658" s="357" t="str">
        <f t="shared" si="57"/>
        <v/>
      </c>
      <c r="CA658" s="357" t="str">
        <f t="shared" si="58"/>
        <v/>
      </c>
      <c r="CB658" s="357" t="str">
        <f t="shared" si="59"/>
        <v/>
      </c>
      <c r="CC658" s="357" t="str">
        <f t="shared" si="60"/>
        <v/>
      </c>
      <c r="CD658" s="357" t="str">
        <f t="shared" si="61"/>
        <v/>
      </c>
      <c r="CE658" s="357" t="str">
        <f t="shared" si="62"/>
        <v/>
      </c>
      <c r="CF658" s="357" t="str">
        <f t="shared" si="63"/>
        <v/>
      </c>
      <c r="CG658" s="357" t="str">
        <f t="shared" si="64"/>
        <v/>
      </c>
      <c r="CH658" s="357" t="str">
        <f t="shared" si="65"/>
        <v/>
      </c>
      <c r="CI658" s="357" t="str">
        <f t="shared" si="66"/>
        <v/>
      </c>
      <c r="CJ658" s="357" t="str">
        <f t="shared" si="67"/>
        <v/>
      </c>
      <c r="CK658" s="357" t="str">
        <f t="shared" si="68"/>
        <v/>
      </c>
      <c r="CL658" s="357" t="str">
        <f t="shared" si="69"/>
        <v/>
      </c>
      <c r="CM658" s="357" t="str">
        <f t="shared" si="70"/>
        <v/>
      </c>
      <c r="CN658" s="357" t="str">
        <f t="shared" si="71"/>
        <v/>
      </c>
      <c r="CO658" s="357" t="str">
        <f t="shared" si="72"/>
        <v/>
      </c>
      <c r="CP658" s="357" t="str">
        <f t="shared" si="73"/>
        <v/>
      </c>
      <c r="CQ658" s="357">
        <f t="shared" si="74"/>
        <v>5</v>
      </c>
      <c r="CR658" s="357" t="str">
        <f t="shared" si="75"/>
        <v/>
      </c>
      <c r="CS658" s="357" t="str">
        <f t="shared" si="76"/>
        <v/>
      </c>
      <c r="CT658" s="357" t="str">
        <f t="shared" si="77"/>
        <v/>
      </c>
      <c r="CU658" s="357" t="str">
        <f t="shared" si="78"/>
        <v/>
      </c>
      <c r="CV658" s="357" t="str">
        <f t="shared" si="79"/>
        <v/>
      </c>
      <c r="CW658" s="357" t="str">
        <f t="shared" si="80"/>
        <v/>
      </c>
      <c r="CX658" s="357" t="str">
        <f t="shared" si="81"/>
        <v/>
      </c>
      <c r="CY658" s="357" t="str">
        <f t="shared" si="82"/>
        <v/>
      </c>
      <c r="CZ658" s="357" t="str">
        <f t="shared" si="83"/>
        <v/>
      </c>
      <c r="DA658" s="357" t="str">
        <f t="shared" si="84"/>
        <v/>
      </c>
      <c r="DB658" s="357" t="str">
        <f t="shared" si="85"/>
        <v/>
      </c>
      <c r="DC658" s="357" t="str">
        <f t="shared" si="86"/>
        <v/>
      </c>
      <c r="DD658" s="357" t="str">
        <f t="shared" si="87"/>
        <v/>
      </c>
      <c r="DE658" s="357" t="str">
        <f t="shared" si="88"/>
        <v/>
      </c>
      <c r="DF658" s="357" t="str">
        <f t="shared" si="89"/>
        <v/>
      </c>
      <c r="DG658" s="357" t="str">
        <f t="shared" si="90"/>
        <v/>
      </c>
      <c r="DH658" s="357" t="str">
        <f t="shared" si="91"/>
        <v/>
      </c>
      <c r="DI658" s="357" t="str">
        <f t="shared" si="92"/>
        <v/>
      </c>
      <c r="DJ658" s="357" t="str">
        <f t="shared" si="93"/>
        <v/>
      </c>
      <c r="DK658" s="357" t="str">
        <f t="shared" si="94"/>
        <v/>
      </c>
      <c r="DL658" s="357" t="str">
        <f t="shared" si="95"/>
        <v/>
      </c>
      <c r="DM658" s="357" t="str">
        <f t="shared" si="96"/>
        <v/>
      </c>
      <c r="DN658" s="357" t="str">
        <f t="shared" si="97"/>
        <v/>
      </c>
      <c r="DO658" s="357" t="str">
        <f t="shared" si="98"/>
        <v/>
      </c>
      <c r="DP658" s="357" t="str">
        <f t="shared" si="99"/>
        <v/>
      </c>
      <c r="DQ658" s="357" t="str">
        <f t="shared" si="100"/>
        <v/>
      </c>
      <c r="DR658" s="357" t="str">
        <f t="shared" si="101"/>
        <v/>
      </c>
      <c r="DS658" s="357" t="str">
        <f t="shared" si="102"/>
        <v/>
      </c>
      <c r="DT658" s="357" t="str">
        <f t="shared" si="103"/>
        <v/>
      </c>
      <c r="DU658" s="357" t="str">
        <f t="shared" si="104"/>
        <v/>
      </c>
      <c r="DV658" s="357" t="str">
        <f t="shared" si="105"/>
        <v/>
      </c>
      <c r="DW658" s="357" t="str">
        <f t="shared" si="106"/>
        <v/>
      </c>
      <c r="DX658" s="357" t="str">
        <f t="shared" si="107"/>
        <v/>
      </c>
      <c r="DY658" s="357" t="str">
        <f t="shared" si="108"/>
        <v/>
      </c>
      <c r="DZ658" s="357" t="str">
        <f t="shared" si="109"/>
        <v/>
      </c>
      <c r="EA658" s="357" t="str">
        <f t="shared" si="110"/>
        <v/>
      </c>
      <c r="EB658" s="357" t="str">
        <f t="shared" si="111"/>
        <v/>
      </c>
      <c r="EC658" s="357" t="str">
        <f t="shared" si="112"/>
        <v/>
      </c>
      <c r="ED658" s="357" t="str">
        <f t="shared" si="113"/>
        <v/>
      </c>
      <c r="EE658" s="357" t="str">
        <f t="shared" si="114"/>
        <v/>
      </c>
      <c r="EF658" s="357" t="str">
        <f t="shared" si="115"/>
        <v/>
      </c>
      <c r="EG658" s="357" t="str">
        <f t="shared" si="116"/>
        <v/>
      </c>
      <c r="EH658" s="357" t="str">
        <f t="shared" si="117"/>
        <v/>
      </c>
      <c r="EI658" s="357" t="str">
        <f t="shared" si="118"/>
        <v/>
      </c>
      <c r="EJ658" s="357">
        <f t="shared" si="119"/>
        <v>4225</v>
      </c>
      <c r="EK658" s="357" t="str">
        <f t="shared" si="120"/>
        <v/>
      </c>
      <c r="EL658" s="357" t="str">
        <f t="shared" si="121"/>
        <v/>
      </c>
      <c r="EM658" s="357" t="str">
        <f t="shared" si="122"/>
        <v/>
      </c>
      <c r="EN658" s="357" t="str">
        <f t="shared" si="123"/>
        <v/>
      </c>
      <c r="EO658" s="357" t="str">
        <f t="shared" si="124"/>
        <v/>
      </c>
      <c r="EP658" s="357" t="str">
        <f t="shared" si="125"/>
        <v/>
      </c>
      <c r="EQ658" s="357" t="str">
        <f t="shared" si="126"/>
        <v/>
      </c>
      <c r="ER658" s="357" t="str">
        <f t="shared" si="127"/>
        <v/>
      </c>
      <c r="ES658" s="357" t="str">
        <f t="shared" si="128"/>
        <v/>
      </c>
      <c r="ET658" s="357" t="str">
        <f t="shared" si="129"/>
        <v/>
      </c>
      <c r="EU658" s="357" t="str">
        <f t="shared" si="130"/>
        <v/>
      </c>
      <c r="EV658" s="357" t="str">
        <f t="shared" si="131"/>
        <v/>
      </c>
      <c r="EW658" s="357" t="str">
        <f t="shared" si="132"/>
        <v/>
      </c>
      <c r="EX658" s="357" t="str">
        <f t="shared" si="133"/>
        <v/>
      </c>
      <c r="EY658" s="357" t="str">
        <f t="shared" si="134"/>
        <v/>
      </c>
      <c r="EZ658" s="357" t="str">
        <f t="shared" si="135"/>
        <v/>
      </c>
      <c r="FA658" s="357" t="str">
        <f t="shared" si="136"/>
        <v/>
      </c>
      <c r="FB658" s="357" t="str">
        <f t="shared" si="137"/>
        <v/>
      </c>
      <c r="FC658" s="357" t="str">
        <f t="shared" si="138"/>
        <v/>
      </c>
      <c r="FD658" s="357" t="str">
        <f t="shared" si="139"/>
        <v/>
      </c>
      <c r="FE658" s="357" t="str">
        <f t="shared" si="140"/>
        <v/>
      </c>
      <c r="FF658" s="357" t="str">
        <f t="shared" si="141"/>
        <v/>
      </c>
      <c r="FG658" s="357" t="str">
        <f t="shared" si="142"/>
        <v/>
      </c>
      <c r="FH658" s="357" t="str">
        <f t="shared" si="143"/>
        <v/>
      </c>
      <c r="FI658" s="357" t="str">
        <f t="shared" si="144"/>
        <v/>
      </c>
      <c r="FJ658" s="357" t="str">
        <f t="shared" si="145"/>
        <v/>
      </c>
      <c r="FK658" s="357" t="str">
        <f t="shared" si="146"/>
        <v/>
      </c>
      <c r="FL658" s="357" t="str">
        <f t="shared" si="147"/>
        <v/>
      </c>
      <c r="FM658" s="357" t="str">
        <f t="shared" si="148"/>
        <v/>
      </c>
      <c r="FN658" s="357" t="str">
        <f t="shared" si="149"/>
        <v/>
      </c>
      <c r="FO658" s="357" t="str">
        <f t="shared" si="150"/>
        <v/>
      </c>
      <c r="FP658" s="357" t="str">
        <f t="shared" si="151"/>
        <v/>
      </c>
      <c r="FQ658" s="357" t="str">
        <f t="shared" si="152"/>
        <v/>
      </c>
      <c r="FR658" s="357" t="str">
        <f t="shared" si="153"/>
        <v/>
      </c>
      <c r="FS658" s="357" t="str">
        <f t="shared" si="154"/>
        <v/>
      </c>
      <c r="FT658" s="357" t="str">
        <f t="shared" si="155"/>
        <v/>
      </c>
      <c r="FU658" s="357" t="str">
        <f t="shared" si="156"/>
        <v/>
      </c>
      <c r="FV658" s="357" t="str">
        <f t="shared" si="157"/>
        <v/>
      </c>
      <c r="FW658" s="357" t="str">
        <f t="shared" si="158"/>
        <v/>
      </c>
      <c r="FX658" s="357" t="str">
        <f t="shared" si="159"/>
        <v/>
      </c>
      <c r="FY658" s="357" t="str">
        <f t="shared" si="160"/>
        <v/>
      </c>
      <c r="FZ658" s="357" t="str">
        <f t="shared" si="161"/>
        <v/>
      </c>
      <c r="GA658" s="357" t="str">
        <f t="shared" si="162"/>
        <v/>
      </c>
      <c r="GB658" s="357" t="str">
        <f t="shared" si="163"/>
        <v/>
      </c>
      <c r="GC658" s="357" t="str">
        <f t="shared" si="164"/>
        <v/>
      </c>
      <c r="GD658" s="357" t="str">
        <f t="shared" si="165"/>
        <v/>
      </c>
      <c r="GE658" s="357" t="str">
        <f t="shared" si="166"/>
        <v/>
      </c>
      <c r="GF658" s="357" t="str">
        <f t="shared" si="167"/>
        <v/>
      </c>
      <c r="GG658" s="357" t="str">
        <f t="shared" si="168"/>
        <v/>
      </c>
      <c r="GH658" s="357">
        <f t="shared" si="169"/>
        <v>5</v>
      </c>
      <c r="GI658" s="357" t="str">
        <f t="shared" si="170"/>
        <v/>
      </c>
      <c r="GJ658" s="357" t="str">
        <f t="shared" si="171"/>
        <v/>
      </c>
      <c r="GK658" s="357" t="str">
        <f t="shared" si="172"/>
        <v/>
      </c>
      <c r="GL658" s="357" t="str">
        <f t="shared" si="173"/>
        <v/>
      </c>
      <c r="GM658" s="357" t="str">
        <f t="shared" si="174"/>
        <v/>
      </c>
      <c r="GN658" s="357" t="str">
        <f t="shared" si="175"/>
        <v/>
      </c>
      <c r="GO658" s="357" t="str">
        <f t="shared" si="176"/>
        <v/>
      </c>
      <c r="GP658" s="357" t="str">
        <f t="shared" si="177"/>
        <v/>
      </c>
      <c r="GQ658" s="357" t="str">
        <f t="shared" si="178"/>
        <v/>
      </c>
      <c r="GR658" s="357" t="str">
        <f t="shared" si="179"/>
        <v/>
      </c>
      <c r="GS658" s="357" t="str">
        <f t="shared" si="180"/>
        <v/>
      </c>
      <c r="GT658" s="357" t="str">
        <f t="shared" si="181"/>
        <v/>
      </c>
      <c r="GU658" s="357" t="str">
        <f t="shared" si="182"/>
        <v/>
      </c>
      <c r="GV658" s="357" t="str">
        <f t="shared" si="183"/>
        <v/>
      </c>
      <c r="GW658" s="357" t="str">
        <f t="shared" si="184"/>
        <v/>
      </c>
      <c r="GX658" s="357" t="str">
        <f t="shared" si="185"/>
        <v/>
      </c>
      <c r="GY658" s="357" t="str">
        <f t="shared" si="186"/>
        <v/>
      </c>
      <c r="GZ658" s="357" t="str">
        <f t="shared" si="187"/>
        <v/>
      </c>
      <c r="HA658" s="357" t="str">
        <f t="shared" si="188"/>
        <v/>
      </c>
      <c r="HB658" s="357" t="str">
        <f t="shared" si="189"/>
        <v/>
      </c>
      <c r="HC658" s="357" t="str">
        <f t="shared" si="190"/>
        <v/>
      </c>
      <c r="HD658" s="357" t="str">
        <f t="shared" si="191"/>
        <v/>
      </c>
      <c r="HE658" s="357" t="str">
        <f t="shared" si="192"/>
        <v/>
      </c>
      <c r="HF658" s="357" t="str">
        <f t="shared" si="193"/>
        <v/>
      </c>
      <c r="HG658" s="357" t="str">
        <f t="shared" si="194"/>
        <v/>
      </c>
      <c r="HH658" s="357" t="str">
        <f t="shared" si="195"/>
        <v/>
      </c>
      <c r="HI658" s="357" t="str">
        <f t="shared" si="196"/>
        <v/>
      </c>
      <c r="HJ658" s="357" t="str">
        <f t="shared" si="197"/>
        <v/>
      </c>
      <c r="HK658" s="357" t="str">
        <f t="shared" si="198"/>
        <v/>
      </c>
      <c r="HL658" s="357" t="str">
        <f t="shared" si="199"/>
        <v/>
      </c>
      <c r="HM658" s="357" t="str">
        <f t="shared" si="200"/>
        <v/>
      </c>
      <c r="HN658" s="357" t="str">
        <f t="shared" si="201"/>
        <v/>
      </c>
      <c r="HO658" s="357" t="str">
        <f t="shared" si="202"/>
        <v/>
      </c>
      <c r="HP658" s="357" t="str">
        <f t="shared" si="203"/>
        <v/>
      </c>
      <c r="HQ658" s="357" t="str">
        <f t="shared" si="204"/>
        <v/>
      </c>
      <c r="HR658" s="357" t="str">
        <f t="shared" si="205"/>
        <v/>
      </c>
      <c r="HS658" s="357" t="str">
        <f t="shared" si="206"/>
        <v/>
      </c>
      <c r="HT658" s="357" t="str">
        <f t="shared" si="207"/>
        <v/>
      </c>
      <c r="HU658" s="357" t="str">
        <f t="shared" si="208"/>
        <v/>
      </c>
      <c r="HV658" s="357" t="str">
        <f t="shared" si="209"/>
        <v/>
      </c>
      <c r="HW658" s="357" t="str">
        <f t="shared" si="210"/>
        <v/>
      </c>
      <c r="HX658" s="357" t="str">
        <f t="shared" si="211"/>
        <v/>
      </c>
      <c r="HY658" s="357" t="str">
        <f t="shared" si="212"/>
        <v/>
      </c>
      <c r="HZ658" s="1903" t="str">
        <f t="shared" si="213"/>
        <v/>
      </c>
      <c r="IA658" s="1903">
        <f t="shared" si="214"/>
        <v>5</v>
      </c>
      <c r="IB658" s="1903" t="str">
        <f t="shared" si="215"/>
        <v/>
      </c>
      <c r="IC658" s="1903" t="str">
        <f t="shared" si="216"/>
        <v/>
      </c>
      <c r="ID658" s="1903" t="str">
        <f t="shared" si="217"/>
        <v/>
      </c>
      <c r="IE658" s="1903" t="str">
        <f t="shared" si="218"/>
        <v/>
      </c>
      <c r="IF658" s="1903" t="str">
        <f t="shared" si="219"/>
        <v/>
      </c>
      <c r="IG658" s="1903" t="str">
        <f t="shared" si="220"/>
        <v/>
      </c>
      <c r="IH658" s="1903" t="str">
        <f t="shared" si="221"/>
        <v/>
      </c>
      <c r="II658" s="1903" t="str">
        <f t="shared" si="222"/>
        <v/>
      </c>
      <c r="IJ658" s="1903" t="str">
        <f t="shared" si="223"/>
        <v/>
      </c>
      <c r="IK658" s="1903" t="str">
        <f t="shared" si="224"/>
        <v/>
      </c>
      <c r="IL658" s="1903" t="str">
        <f t="shared" si="225"/>
        <v/>
      </c>
      <c r="IM658" s="1903" t="str">
        <f t="shared" si="226"/>
        <v/>
      </c>
      <c r="IN658" s="1903" t="str">
        <f t="shared" si="227"/>
        <v/>
      </c>
      <c r="IO658" s="1903" t="str">
        <f t="shared" si="228"/>
        <v/>
      </c>
      <c r="IP658" s="1903" t="str">
        <f t="shared" si="229"/>
        <v/>
      </c>
      <c r="IQ658" s="1903" t="str">
        <f t="shared" si="230"/>
        <v/>
      </c>
      <c r="IR658" s="1903" t="str">
        <f t="shared" si="231"/>
        <v/>
      </c>
      <c r="IS658" s="1903" t="str">
        <f t="shared" si="232"/>
        <v/>
      </c>
      <c r="IT658" s="1903" t="str">
        <f t="shared" si="233"/>
        <v/>
      </c>
      <c r="IU658" s="1903" t="str">
        <f t="shared" si="234"/>
        <v/>
      </c>
      <c r="IV658" s="1903" t="str">
        <f t="shared" si="235"/>
        <v/>
      </c>
      <c r="IW658" s="1903" t="str">
        <f t="shared" si="236"/>
        <v/>
      </c>
      <c r="IX658" s="1903" t="str">
        <f t="shared" si="237"/>
        <v/>
      </c>
      <c r="IY658" s="1903" t="str">
        <f t="shared" si="238"/>
        <v/>
      </c>
      <c r="IZ658" s="1903" t="str">
        <f t="shared" si="239"/>
        <v/>
      </c>
      <c r="JA658" s="1903" t="str">
        <f t="shared" si="240"/>
        <v/>
      </c>
      <c r="JB658" s="1903" t="str">
        <f t="shared" si="241"/>
        <v/>
      </c>
      <c r="JC658" s="1903" t="str">
        <f t="shared" si="242"/>
        <v/>
      </c>
      <c r="JD658" s="1903" t="str">
        <f t="shared" si="243"/>
        <v/>
      </c>
      <c r="JE658" s="1903" t="str">
        <f t="shared" si="244"/>
        <v/>
      </c>
      <c r="JF658" s="1903" t="str">
        <f t="shared" si="245"/>
        <v/>
      </c>
      <c r="JG658" s="1903" t="str">
        <f t="shared" si="246"/>
        <v/>
      </c>
      <c r="JH658" s="1903" t="str">
        <f t="shared" si="247"/>
        <v/>
      </c>
      <c r="JI658" s="1903" t="str">
        <f t="shared" si="248"/>
        <v/>
      </c>
      <c r="JJ658" s="1903" t="str">
        <f t="shared" si="249"/>
        <v/>
      </c>
      <c r="JK658" s="1903" t="str">
        <f t="shared" si="250"/>
        <v/>
      </c>
      <c r="JL658" s="1903" t="str">
        <f t="shared" si="251"/>
        <v/>
      </c>
      <c r="JM658" s="1903" t="str">
        <f t="shared" si="252"/>
        <v/>
      </c>
      <c r="JN658" s="1903" t="str">
        <f t="shared" si="253"/>
        <v/>
      </c>
      <c r="JO658" s="1903" t="str">
        <f t="shared" si="254"/>
        <v/>
      </c>
      <c r="JP658" s="1903" t="str">
        <f t="shared" si="255"/>
        <v/>
      </c>
      <c r="JQ658" s="1903" t="str">
        <f t="shared" si="256"/>
        <v/>
      </c>
      <c r="JR658" s="1903" t="str">
        <f t="shared" si="257"/>
        <v/>
      </c>
      <c r="JS658" s="1903" t="str">
        <f t="shared" si="258"/>
        <v/>
      </c>
      <c r="JT658" s="1903">
        <f t="shared" si="259"/>
        <v>5</v>
      </c>
      <c r="JU658" s="1903" t="str">
        <f t="shared" si="260"/>
        <v/>
      </c>
      <c r="JV658" s="1903" t="str">
        <f t="shared" si="261"/>
        <v/>
      </c>
      <c r="JW658" s="1903" t="str">
        <f t="shared" si="262"/>
        <v/>
      </c>
      <c r="JX658" s="1903" t="str">
        <f t="shared" si="263"/>
        <v/>
      </c>
      <c r="JY658" s="1903" t="str">
        <f t="shared" si="264"/>
        <v/>
      </c>
      <c r="JZ658" s="1903" t="str">
        <f t="shared" si="265"/>
        <v/>
      </c>
      <c r="KA658" s="1903" t="str">
        <f t="shared" si="266"/>
        <v/>
      </c>
      <c r="KB658" s="1903" t="str">
        <f t="shared" si="267"/>
        <v/>
      </c>
      <c r="KC658" s="1903" t="str">
        <f t="shared" si="268"/>
        <v/>
      </c>
      <c r="KD658" s="1903" t="str">
        <f t="shared" si="269"/>
        <v/>
      </c>
      <c r="KE658" s="1903" t="str">
        <f t="shared" si="270"/>
        <v/>
      </c>
      <c r="KF658" s="1903" t="str">
        <f t="shared" si="271"/>
        <v/>
      </c>
      <c r="KG658" s="1903" t="str">
        <f t="shared" si="272"/>
        <v/>
      </c>
      <c r="KH658" s="1903" t="str">
        <f t="shared" si="273"/>
        <v/>
      </c>
      <c r="KI658" s="1903" t="str">
        <f t="shared" si="274"/>
        <v/>
      </c>
      <c r="KJ658" s="1903" t="str">
        <f t="shared" si="275"/>
        <v/>
      </c>
      <c r="KK658" s="1903" t="str">
        <f t="shared" si="276"/>
        <v/>
      </c>
      <c r="KL658" s="1903" t="str">
        <f t="shared" si="277"/>
        <v/>
      </c>
      <c r="KM658" s="1903" t="str">
        <f t="shared" si="278"/>
        <v/>
      </c>
      <c r="KN658" s="1903" t="str">
        <f t="shared" si="279"/>
        <v/>
      </c>
      <c r="KO658" s="1903" t="str">
        <f t="shared" si="280"/>
        <v/>
      </c>
      <c r="KP658" s="1903" t="str">
        <f t="shared" si="281"/>
        <v/>
      </c>
      <c r="KQ658" s="1903" t="str">
        <f t="shared" si="282"/>
        <v/>
      </c>
      <c r="KR658" s="1903" t="str">
        <f t="shared" si="283"/>
        <v/>
      </c>
      <c r="KS658" s="1903" t="str">
        <f t="shared" si="284"/>
        <v/>
      </c>
      <c r="KT658" s="1903" t="str">
        <f t="shared" si="285"/>
        <v/>
      </c>
      <c r="KU658" s="1903" t="str">
        <f t="shared" si="286"/>
        <v/>
      </c>
      <c r="KV658" s="1903" t="str">
        <f t="shared" si="287"/>
        <v/>
      </c>
      <c r="KW658" s="1903" t="str">
        <f t="shared" si="288"/>
        <v/>
      </c>
      <c r="KX658" s="1903" t="str">
        <f t="shared" si="289"/>
        <v/>
      </c>
      <c r="KY658" s="1903" t="str">
        <f t="shared" si="290"/>
        <v/>
      </c>
      <c r="KZ658" s="1903" t="str">
        <f t="shared" si="291"/>
        <v/>
      </c>
      <c r="LA658" s="1903" t="str">
        <f t="shared" si="292"/>
        <v/>
      </c>
      <c r="LB658" s="1903" t="str">
        <f t="shared" si="293"/>
        <v/>
      </c>
      <c r="LC658" s="1903" t="str">
        <f t="shared" si="294"/>
        <v/>
      </c>
      <c r="LD658" s="1903" t="str">
        <f t="shared" si="295"/>
        <v/>
      </c>
      <c r="LE658" s="1903" t="str">
        <f t="shared" si="296"/>
        <v/>
      </c>
      <c r="LF658" s="1903" t="str">
        <f t="shared" si="297"/>
        <v/>
      </c>
      <c r="LG658" s="1750" t="str">
        <f t="shared" si="298"/>
        <v/>
      </c>
      <c r="LH658" s="1750" t="str">
        <f t="shared" si="299"/>
        <v/>
      </c>
      <c r="LI658" s="1750" t="str">
        <f t="shared" si="300"/>
        <v/>
      </c>
      <c r="LJ658" s="1750" t="str">
        <f t="shared" si="301"/>
        <v/>
      </c>
      <c r="LK658" s="1750" t="str">
        <f t="shared" si="302"/>
        <v/>
      </c>
      <c r="LL658" s="357" t="str">
        <f t="shared" si="303"/>
        <v/>
      </c>
      <c r="LM658" s="357" t="str">
        <f t="shared" si="304"/>
        <v/>
      </c>
      <c r="LN658" s="357" t="str">
        <f t="shared" si="305"/>
        <v/>
      </c>
      <c r="LO658" s="357" t="str">
        <f t="shared" si="306"/>
        <v/>
      </c>
      <c r="LP658" s="357" t="str">
        <f t="shared" si="307"/>
        <v/>
      </c>
      <c r="LQ658" s="357" t="str">
        <f t="shared" si="308"/>
        <v/>
      </c>
      <c r="LR658" s="357" t="str">
        <f t="shared" si="309"/>
        <v/>
      </c>
      <c r="LS658" s="357" t="str">
        <f t="shared" si="310"/>
        <v/>
      </c>
      <c r="LT658" s="357" t="str">
        <f t="shared" si="311"/>
        <v/>
      </c>
      <c r="LU658" s="357" t="str">
        <f t="shared" si="312"/>
        <v/>
      </c>
      <c r="LV658" s="357" t="str">
        <f t="shared" si="313"/>
        <v/>
      </c>
      <c r="LW658" s="357" t="str">
        <f t="shared" si="314"/>
        <v/>
      </c>
      <c r="LX658" s="357" t="str">
        <f t="shared" si="315"/>
        <v/>
      </c>
      <c r="LY658" s="357" t="str">
        <f t="shared" si="316"/>
        <v/>
      </c>
      <c r="LZ658" s="357" t="str">
        <f t="shared" si="317"/>
        <v/>
      </c>
      <c r="MA658" s="357" t="str">
        <f t="shared" si="318"/>
        <v/>
      </c>
      <c r="MB658" s="357" t="str">
        <f t="shared" si="319"/>
        <v/>
      </c>
      <c r="MC658" s="357" t="str">
        <f t="shared" si="320"/>
        <v/>
      </c>
      <c r="MD658" s="357" t="str">
        <f t="shared" si="321"/>
        <v/>
      </c>
      <c r="ME658" s="357" t="str">
        <f t="shared" si="322"/>
        <v/>
      </c>
      <c r="MF658" s="1750">
        <f t="shared" si="323"/>
        <v>0</v>
      </c>
      <c r="MG658" s="1750">
        <f t="shared" si="324"/>
        <v>0</v>
      </c>
      <c r="MH658" s="1750">
        <f t="shared" si="325"/>
        <v>0</v>
      </c>
      <c r="MI658" s="1750">
        <f t="shared" si="326"/>
        <v>0</v>
      </c>
      <c r="MJ658" s="1750">
        <f t="shared" si="327"/>
        <v>0</v>
      </c>
      <c r="MK658" s="1750">
        <f t="shared" si="333"/>
        <v>0</v>
      </c>
      <c r="ML658" s="1750">
        <f t="shared" si="334"/>
        <v>5</v>
      </c>
      <c r="MM658" s="1750">
        <f t="shared" si="335"/>
        <v>0</v>
      </c>
      <c r="MN658" s="1750">
        <f t="shared" si="336"/>
        <v>0</v>
      </c>
      <c r="MO658" s="1750">
        <f t="shared" si="337"/>
        <v>0</v>
      </c>
      <c r="MP658" s="1750">
        <f t="shared" si="328"/>
        <v>0</v>
      </c>
      <c r="MQ658" s="1750">
        <f t="shared" si="329"/>
        <v>0</v>
      </c>
      <c r="MR658" s="1750">
        <f t="shared" si="330"/>
        <v>0</v>
      </c>
      <c r="MS658" s="1750">
        <f t="shared" si="331"/>
        <v>0</v>
      </c>
      <c r="MT658" s="1750">
        <f t="shared" si="332"/>
        <v>0</v>
      </c>
      <c r="NP658" s="357" t="s">
        <v>6423</v>
      </c>
    </row>
    <row r="659" spans="1:380" ht="13.9" customHeight="1">
      <c r="A659" s="1901" t="str">
        <f t="shared" si="0"/>
        <v/>
      </c>
      <c r="B659" s="2238">
        <f>'Part V-Revenues &amp; Expenses'!B21</f>
        <v>30</v>
      </c>
      <c r="C659" s="2229">
        <f>'Part V-Revenues &amp; Expenses'!C21</f>
        <v>2</v>
      </c>
      <c r="D659" s="2230">
        <f>'Part V-Revenues &amp; Expenses'!D21</f>
        <v>2</v>
      </c>
      <c r="E659" s="2231">
        <f>'Part V-Revenues &amp; Expenses'!E21</f>
        <v>15</v>
      </c>
      <c r="F659" s="2231">
        <f>'Part V-Revenues &amp; Expenses'!F21</f>
        <v>1156</v>
      </c>
      <c r="G659" s="2231">
        <f>'Part V-Revenues &amp; Expenses'!G21</f>
        <v>590</v>
      </c>
      <c r="H659" s="2231">
        <f>'Part V-Revenues &amp; Expenses'!H21</f>
        <v>843</v>
      </c>
      <c r="I659" s="2231">
        <f>'Part V-Revenues &amp; Expenses'!I21</f>
        <v>0</v>
      </c>
      <c r="J659" s="2231">
        <f>'Part V-Revenues &amp; Expenses'!J21</f>
        <v>77</v>
      </c>
      <c r="K659" s="2232" t="str">
        <f>'Part V-Revenues &amp; Expenses'!K21</f>
        <v>RAD</v>
      </c>
      <c r="L659" s="2233">
        <f t="shared" si="338"/>
        <v>766</v>
      </c>
      <c r="M659" s="2233">
        <f t="shared" si="339"/>
        <v>11490</v>
      </c>
      <c r="N659" s="2094" t="str">
        <f>'Part V-Revenues &amp; Expenses'!N21</f>
        <v>No</v>
      </c>
      <c r="O659" s="2234" t="str">
        <f>'Part V-Revenues &amp; Expenses'!O21</f>
        <v>Low-Rise Apt</v>
      </c>
      <c r="P659" s="2094" t="str">
        <f>'Part V-Revenues &amp; Expenses'!P21</f>
        <v>New Construction</v>
      </c>
      <c r="Q659" s="2235" t="str">
        <f>'Part V-Revenues &amp; Expenses'!Q21</f>
        <v>No</v>
      </c>
      <c r="R659" s="2236"/>
      <c r="S659" s="2237"/>
      <c r="T659" s="2160"/>
      <c r="U659" s="2160"/>
      <c r="V659" s="2160"/>
      <c r="W659" s="2160"/>
      <c r="X659" s="357" t="str">
        <f t="shared" si="3"/>
        <v/>
      </c>
      <c r="Y659" s="357" t="str">
        <f t="shared" si="4"/>
        <v/>
      </c>
      <c r="Z659" s="357" t="str">
        <f t="shared" si="5"/>
        <v/>
      </c>
      <c r="AA659" s="357" t="str">
        <f t="shared" si="6"/>
        <v/>
      </c>
      <c r="AB659" s="357" t="str">
        <f t="shared" si="7"/>
        <v/>
      </c>
      <c r="AC659" s="357" t="str">
        <f t="shared" si="8"/>
        <v/>
      </c>
      <c r="AD659" s="357" t="str">
        <f t="shared" si="9"/>
        <v/>
      </c>
      <c r="AE659" s="357" t="str">
        <f t="shared" si="10"/>
        <v/>
      </c>
      <c r="AF659" s="357" t="str">
        <f t="shared" si="11"/>
        <v/>
      </c>
      <c r="AG659" s="357" t="str">
        <f t="shared" si="12"/>
        <v/>
      </c>
      <c r="AH659" s="357" t="str">
        <f t="shared" si="13"/>
        <v/>
      </c>
      <c r="AI659" s="357" t="str">
        <f t="shared" si="14"/>
        <v/>
      </c>
      <c r="AJ659" s="357" t="str">
        <f t="shared" si="15"/>
        <v/>
      </c>
      <c r="AK659" s="357" t="str">
        <f t="shared" si="16"/>
        <v/>
      </c>
      <c r="AL659" s="357" t="str">
        <f t="shared" si="17"/>
        <v/>
      </c>
      <c r="AM659" s="357" t="str">
        <f t="shared" si="18"/>
        <v/>
      </c>
      <c r="AN659" s="357" t="str">
        <f t="shared" si="19"/>
        <v/>
      </c>
      <c r="AO659" s="357" t="str">
        <f t="shared" si="20"/>
        <v/>
      </c>
      <c r="AP659" s="357" t="str">
        <f t="shared" si="21"/>
        <v/>
      </c>
      <c r="AQ659" s="357" t="str">
        <f t="shared" si="22"/>
        <v/>
      </c>
      <c r="AR659" s="357" t="str">
        <f t="shared" si="23"/>
        <v/>
      </c>
      <c r="AS659" s="357" t="str">
        <f t="shared" si="24"/>
        <v/>
      </c>
      <c r="AT659" s="357" t="str">
        <f t="shared" si="25"/>
        <v/>
      </c>
      <c r="AU659" s="357" t="str">
        <f t="shared" si="26"/>
        <v/>
      </c>
      <c r="AV659" s="357" t="str">
        <f t="shared" si="27"/>
        <v/>
      </c>
      <c r="AW659" s="357" t="str">
        <f t="shared" si="28"/>
        <v/>
      </c>
      <c r="AX659" s="357" t="str">
        <f t="shared" si="29"/>
        <v/>
      </c>
      <c r="AY659" s="357">
        <f t="shared" si="30"/>
        <v>15</v>
      </c>
      <c r="AZ659" s="357" t="str">
        <f t="shared" si="31"/>
        <v/>
      </c>
      <c r="BA659" s="357" t="str">
        <f t="shared" si="32"/>
        <v/>
      </c>
      <c r="BB659" s="357" t="str">
        <f t="shared" si="33"/>
        <v/>
      </c>
      <c r="BC659" s="357" t="str">
        <f t="shared" si="34"/>
        <v/>
      </c>
      <c r="BD659" s="357" t="str">
        <f t="shared" si="35"/>
        <v/>
      </c>
      <c r="BE659" s="357" t="str">
        <f t="shared" si="36"/>
        <v/>
      </c>
      <c r="BF659" s="357" t="str">
        <f t="shared" si="37"/>
        <v/>
      </c>
      <c r="BG659" s="357" t="str">
        <f t="shared" si="38"/>
        <v/>
      </c>
      <c r="BH659" s="357" t="str">
        <f t="shared" si="39"/>
        <v/>
      </c>
      <c r="BI659" s="357" t="str">
        <f t="shared" si="40"/>
        <v/>
      </c>
      <c r="BJ659" s="357" t="str">
        <f t="shared" si="41"/>
        <v/>
      </c>
      <c r="BK659" s="357" t="str">
        <f t="shared" si="42"/>
        <v/>
      </c>
      <c r="BL659" s="357" t="str">
        <f t="shared" si="43"/>
        <v/>
      </c>
      <c r="BM659" s="357" t="str">
        <f t="shared" si="44"/>
        <v/>
      </c>
      <c r="BN659" s="357" t="str">
        <f t="shared" si="45"/>
        <v/>
      </c>
      <c r="BO659" s="357" t="str">
        <f t="shared" si="46"/>
        <v/>
      </c>
      <c r="BP659" s="357" t="str">
        <f t="shared" si="47"/>
        <v/>
      </c>
      <c r="BQ659" s="357" t="str">
        <f t="shared" si="48"/>
        <v/>
      </c>
      <c r="BR659" s="357" t="str">
        <f t="shared" si="49"/>
        <v/>
      </c>
      <c r="BS659" s="357">
        <f t="shared" si="50"/>
        <v>15</v>
      </c>
      <c r="BT659" s="357" t="str">
        <f t="shared" si="51"/>
        <v/>
      </c>
      <c r="BU659" s="357" t="str">
        <f t="shared" si="52"/>
        <v/>
      </c>
      <c r="BV659" s="357" t="str">
        <f t="shared" si="53"/>
        <v/>
      </c>
      <c r="BW659" s="357" t="str">
        <f t="shared" si="54"/>
        <v/>
      </c>
      <c r="BX659" s="357" t="str">
        <f t="shared" si="55"/>
        <v/>
      </c>
      <c r="BY659" s="357" t="str">
        <f t="shared" si="56"/>
        <v/>
      </c>
      <c r="BZ659" s="357" t="str">
        <f t="shared" si="57"/>
        <v/>
      </c>
      <c r="CA659" s="357" t="str">
        <f t="shared" si="58"/>
        <v/>
      </c>
      <c r="CB659" s="357" t="str">
        <f t="shared" si="59"/>
        <v/>
      </c>
      <c r="CC659" s="357" t="str">
        <f t="shared" si="60"/>
        <v/>
      </c>
      <c r="CD659" s="357" t="str">
        <f t="shared" si="61"/>
        <v/>
      </c>
      <c r="CE659" s="357" t="str">
        <f t="shared" si="62"/>
        <v/>
      </c>
      <c r="CF659" s="357" t="str">
        <f t="shared" si="63"/>
        <v/>
      </c>
      <c r="CG659" s="357" t="str">
        <f t="shared" si="64"/>
        <v/>
      </c>
      <c r="CH659" s="357" t="str">
        <f t="shared" si="65"/>
        <v/>
      </c>
      <c r="CI659" s="357" t="str">
        <f t="shared" si="66"/>
        <v/>
      </c>
      <c r="CJ659" s="357" t="str">
        <f t="shared" si="67"/>
        <v/>
      </c>
      <c r="CK659" s="357" t="str">
        <f t="shared" si="68"/>
        <v/>
      </c>
      <c r="CL659" s="357" t="str">
        <f t="shared" si="69"/>
        <v/>
      </c>
      <c r="CM659" s="357" t="str">
        <f t="shared" si="70"/>
        <v/>
      </c>
      <c r="CN659" s="357" t="str">
        <f t="shared" si="71"/>
        <v/>
      </c>
      <c r="CO659" s="357" t="str">
        <f t="shared" si="72"/>
        <v/>
      </c>
      <c r="CP659" s="357" t="str">
        <f t="shared" si="73"/>
        <v/>
      </c>
      <c r="CQ659" s="357" t="str">
        <f t="shared" si="74"/>
        <v/>
      </c>
      <c r="CR659" s="357" t="str">
        <f t="shared" si="75"/>
        <v/>
      </c>
      <c r="CS659" s="357" t="str">
        <f t="shared" si="76"/>
        <v/>
      </c>
      <c r="CT659" s="357" t="str">
        <f t="shared" si="77"/>
        <v/>
      </c>
      <c r="CU659" s="357" t="str">
        <f t="shared" si="78"/>
        <v/>
      </c>
      <c r="CV659" s="357" t="str">
        <f t="shared" si="79"/>
        <v/>
      </c>
      <c r="CW659" s="357" t="str">
        <f t="shared" si="80"/>
        <v/>
      </c>
      <c r="CX659" s="357" t="str">
        <f t="shared" si="81"/>
        <v/>
      </c>
      <c r="CY659" s="357" t="str">
        <f t="shared" si="82"/>
        <v/>
      </c>
      <c r="CZ659" s="357" t="str">
        <f t="shared" si="83"/>
        <v/>
      </c>
      <c r="DA659" s="357" t="str">
        <f t="shared" si="84"/>
        <v/>
      </c>
      <c r="DB659" s="357" t="str">
        <f t="shared" si="85"/>
        <v/>
      </c>
      <c r="DC659" s="357" t="str">
        <f t="shared" si="86"/>
        <v/>
      </c>
      <c r="DD659" s="357" t="str">
        <f t="shared" si="87"/>
        <v/>
      </c>
      <c r="DE659" s="357" t="str">
        <f t="shared" si="88"/>
        <v/>
      </c>
      <c r="DF659" s="357" t="str">
        <f t="shared" si="89"/>
        <v/>
      </c>
      <c r="DG659" s="357" t="str">
        <f t="shared" si="90"/>
        <v/>
      </c>
      <c r="DH659" s="357" t="str">
        <f t="shared" si="91"/>
        <v/>
      </c>
      <c r="DI659" s="357" t="str">
        <f t="shared" si="92"/>
        <v/>
      </c>
      <c r="DJ659" s="357" t="str">
        <f t="shared" si="93"/>
        <v/>
      </c>
      <c r="DK659" s="357" t="str">
        <f t="shared" si="94"/>
        <v/>
      </c>
      <c r="DL659" s="357" t="str">
        <f t="shared" si="95"/>
        <v/>
      </c>
      <c r="DM659" s="357" t="str">
        <f t="shared" si="96"/>
        <v/>
      </c>
      <c r="DN659" s="357" t="str">
        <f t="shared" si="97"/>
        <v/>
      </c>
      <c r="DO659" s="357" t="str">
        <f t="shared" si="98"/>
        <v/>
      </c>
      <c r="DP659" s="357" t="str">
        <f t="shared" si="99"/>
        <v/>
      </c>
      <c r="DQ659" s="357" t="str">
        <f t="shared" si="100"/>
        <v/>
      </c>
      <c r="DR659" s="357" t="str">
        <f t="shared" si="101"/>
        <v/>
      </c>
      <c r="DS659" s="357" t="str">
        <f t="shared" si="102"/>
        <v/>
      </c>
      <c r="DT659" s="357" t="str">
        <f t="shared" si="103"/>
        <v/>
      </c>
      <c r="DU659" s="357" t="str">
        <f t="shared" si="104"/>
        <v/>
      </c>
      <c r="DV659" s="357" t="str">
        <f t="shared" si="105"/>
        <v/>
      </c>
      <c r="DW659" s="357" t="str">
        <f t="shared" si="106"/>
        <v/>
      </c>
      <c r="DX659" s="357" t="str">
        <f t="shared" si="107"/>
        <v/>
      </c>
      <c r="DY659" s="357" t="str">
        <f t="shared" si="108"/>
        <v/>
      </c>
      <c r="DZ659" s="357" t="str">
        <f t="shared" si="109"/>
        <v/>
      </c>
      <c r="EA659" s="357" t="str">
        <f t="shared" si="110"/>
        <v/>
      </c>
      <c r="EB659" s="357" t="str">
        <f t="shared" si="111"/>
        <v/>
      </c>
      <c r="EC659" s="357" t="str">
        <f t="shared" si="112"/>
        <v/>
      </c>
      <c r="ED659" s="357" t="str">
        <f t="shared" si="113"/>
        <v/>
      </c>
      <c r="EE659" s="357" t="str">
        <f t="shared" si="114"/>
        <v/>
      </c>
      <c r="EF659" s="357" t="str">
        <f t="shared" si="115"/>
        <v/>
      </c>
      <c r="EG659" s="357" t="str">
        <f t="shared" si="116"/>
        <v/>
      </c>
      <c r="EH659" s="357" t="str">
        <f t="shared" si="117"/>
        <v/>
      </c>
      <c r="EI659" s="357" t="str">
        <f t="shared" si="118"/>
        <v/>
      </c>
      <c r="EJ659" s="357" t="str">
        <f t="shared" si="119"/>
        <v/>
      </c>
      <c r="EK659" s="357" t="str">
        <f t="shared" si="120"/>
        <v/>
      </c>
      <c r="EL659" s="357" t="str">
        <f t="shared" si="121"/>
        <v/>
      </c>
      <c r="EM659" s="357" t="str">
        <f t="shared" si="122"/>
        <v/>
      </c>
      <c r="EN659" s="357" t="str">
        <f t="shared" si="123"/>
        <v/>
      </c>
      <c r="EO659" s="357" t="str">
        <f t="shared" si="124"/>
        <v/>
      </c>
      <c r="EP659" s="357" t="str">
        <f t="shared" si="125"/>
        <v/>
      </c>
      <c r="EQ659" s="357" t="str">
        <f t="shared" si="126"/>
        <v/>
      </c>
      <c r="ER659" s="357" t="str">
        <f t="shared" si="127"/>
        <v/>
      </c>
      <c r="ES659" s="357" t="str">
        <f t="shared" si="128"/>
        <v/>
      </c>
      <c r="ET659" s="357" t="str">
        <f t="shared" si="129"/>
        <v/>
      </c>
      <c r="EU659" s="357" t="str">
        <f t="shared" si="130"/>
        <v/>
      </c>
      <c r="EV659" s="357" t="str">
        <f t="shared" si="131"/>
        <v/>
      </c>
      <c r="EW659" s="357" t="str">
        <f t="shared" si="132"/>
        <v/>
      </c>
      <c r="EX659" s="357" t="str">
        <f t="shared" si="133"/>
        <v/>
      </c>
      <c r="EY659" s="357" t="str">
        <f t="shared" si="134"/>
        <v/>
      </c>
      <c r="EZ659" s="357" t="str">
        <f t="shared" si="135"/>
        <v/>
      </c>
      <c r="FA659" s="357" t="str">
        <f t="shared" si="136"/>
        <v/>
      </c>
      <c r="FB659" s="357" t="str">
        <f t="shared" si="137"/>
        <v/>
      </c>
      <c r="FC659" s="357" t="str">
        <f t="shared" si="138"/>
        <v/>
      </c>
      <c r="FD659" s="357" t="str">
        <f t="shared" si="139"/>
        <v/>
      </c>
      <c r="FE659" s="357" t="str">
        <f t="shared" si="140"/>
        <v/>
      </c>
      <c r="FF659" s="357" t="str">
        <f t="shared" si="141"/>
        <v/>
      </c>
      <c r="FG659" s="357" t="str">
        <f t="shared" si="142"/>
        <v/>
      </c>
      <c r="FH659" s="357" t="str">
        <f t="shared" si="143"/>
        <v/>
      </c>
      <c r="FI659" s="357" t="str">
        <f t="shared" si="144"/>
        <v/>
      </c>
      <c r="FJ659" s="357">
        <f t="shared" si="145"/>
        <v>17340</v>
      </c>
      <c r="FK659" s="357" t="str">
        <f t="shared" si="146"/>
        <v/>
      </c>
      <c r="FL659" s="357" t="str">
        <f t="shared" si="147"/>
        <v/>
      </c>
      <c r="FM659" s="357" t="str">
        <f t="shared" si="148"/>
        <v/>
      </c>
      <c r="FN659" s="357" t="str">
        <f t="shared" si="149"/>
        <v/>
      </c>
      <c r="FO659" s="357" t="str">
        <f t="shared" si="150"/>
        <v/>
      </c>
      <c r="FP659" s="357" t="str">
        <f t="shared" si="151"/>
        <v/>
      </c>
      <c r="FQ659" s="357" t="str">
        <f t="shared" si="152"/>
        <v/>
      </c>
      <c r="FR659" s="357" t="str">
        <f t="shared" si="153"/>
        <v/>
      </c>
      <c r="FS659" s="357" t="str">
        <f t="shared" si="154"/>
        <v/>
      </c>
      <c r="FT659" s="357" t="str">
        <f t="shared" si="155"/>
        <v/>
      </c>
      <c r="FU659" s="357" t="str">
        <f t="shared" si="156"/>
        <v/>
      </c>
      <c r="FV659" s="357" t="str">
        <f t="shared" si="157"/>
        <v/>
      </c>
      <c r="FW659" s="357" t="str">
        <f t="shared" si="158"/>
        <v/>
      </c>
      <c r="FX659" s="357" t="str">
        <f t="shared" si="159"/>
        <v/>
      </c>
      <c r="FY659" s="357">
        <f t="shared" si="160"/>
        <v>17340</v>
      </c>
      <c r="FZ659" s="357" t="str">
        <f t="shared" si="161"/>
        <v/>
      </c>
      <c r="GA659" s="357" t="str">
        <f t="shared" si="162"/>
        <v/>
      </c>
      <c r="GB659" s="357" t="str">
        <f t="shared" si="163"/>
        <v/>
      </c>
      <c r="GC659" s="357" t="str">
        <f t="shared" si="164"/>
        <v/>
      </c>
      <c r="GD659" s="357" t="str">
        <f t="shared" si="165"/>
        <v/>
      </c>
      <c r="GE659" s="357" t="str">
        <f t="shared" si="166"/>
        <v/>
      </c>
      <c r="GF659" s="357" t="str">
        <f t="shared" si="167"/>
        <v/>
      </c>
      <c r="GG659" s="357" t="str">
        <f t="shared" si="168"/>
        <v/>
      </c>
      <c r="GH659" s="357" t="str">
        <f t="shared" si="169"/>
        <v/>
      </c>
      <c r="GI659" s="357">
        <f t="shared" si="170"/>
        <v>15</v>
      </c>
      <c r="GJ659" s="357" t="str">
        <f t="shared" si="171"/>
        <v/>
      </c>
      <c r="GK659" s="357" t="str">
        <f t="shared" si="172"/>
        <v/>
      </c>
      <c r="GL659" s="357" t="str">
        <f t="shared" si="173"/>
        <v/>
      </c>
      <c r="GM659" s="357" t="str">
        <f t="shared" si="174"/>
        <v/>
      </c>
      <c r="GN659" s="357" t="str">
        <f t="shared" si="175"/>
        <v/>
      </c>
      <c r="GO659" s="357" t="str">
        <f t="shared" si="176"/>
        <v/>
      </c>
      <c r="GP659" s="357" t="str">
        <f t="shared" si="177"/>
        <v/>
      </c>
      <c r="GQ659" s="357" t="str">
        <f t="shared" si="178"/>
        <v/>
      </c>
      <c r="GR659" s="357" t="str">
        <f t="shared" si="179"/>
        <v/>
      </c>
      <c r="GS659" s="357" t="str">
        <f t="shared" si="180"/>
        <v/>
      </c>
      <c r="GT659" s="357" t="str">
        <f t="shared" si="181"/>
        <v/>
      </c>
      <c r="GU659" s="357" t="str">
        <f t="shared" si="182"/>
        <v/>
      </c>
      <c r="GV659" s="357" t="str">
        <f t="shared" si="183"/>
        <v/>
      </c>
      <c r="GW659" s="357" t="str">
        <f t="shared" si="184"/>
        <v/>
      </c>
      <c r="GX659" s="357" t="str">
        <f t="shared" si="185"/>
        <v/>
      </c>
      <c r="GY659" s="357" t="str">
        <f t="shared" si="186"/>
        <v/>
      </c>
      <c r="GZ659" s="357" t="str">
        <f t="shared" si="187"/>
        <v/>
      </c>
      <c r="HA659" s="357" t="str">
        <f t="shared" si="188"/>
        <v/>
      </c>
      <c r="HB659" s="357" t="str">
        <f t="shared" si="189"/>
        <v/>
      </c>
      <c r="HC659" s="357" t="str">
        <f t="shared" si="190"/>
        <v/>
      </c>
      <c r="HD659" s="357" t="str">
        <f t="shared" si="191"/>
        <v/>
      </c>
      <c r="HE659" s="357" t="str">
        <f t="shared" si="192"/>
        <v/>
      </c>
      <c r="HF659" s="357" t="str">
        <f t="shared" si="193"/>
        <v/>
      </c>
      <c r="HG659" s="357" t="str">
        <f t="shared" si="194"/>
        <v/>
      </c>
      <c r="HH659" s="357" t="str">
        <f t="shared" si="195"/>
        <v/>
      </c>
      <c r="HI659" s="357" t="str">
        <f t="shared" si="196"/>
        <v/>
      </c>
      <c r="HJ659" s="357" t="str">
        <f t="shared" si="197"/>
        <v/>
      </c>
      <c r="HK659" s="357" t="str">
        <f t="shared" si="198"/>
        <v/>
      </c>
      <c r="HL659" s="357" t="str">
        <f t="shared" si="199"/>
        <v/>
      </c>
      <c r="HM659" s="357" t="str">
        <f t="shared" si="200"/>
        <v/>
      </c>
      <c r="HN659" s="357" t="str">
        <f t="shared" si="201"/>
        <v/>
      </c>
      <c r="HO659" s="357" t="str">
        <f t="shared" si="202"/>
        <v/>
      </c>
      <c r="HP659" s="357" t="str">
        <f t="shared" si="203"/>
        <v/>
      </c>
      <c r="HQ659" s="357" t="str">
        <f t="shared" si="204"/>
        <v/>
      </c>
      <c r="HR659" s="357" t="str">
        <f t="shared" si="205"/>
        <v/>
      </c>
      <c r="HS659" s="357" t="str">
        <f t="shared" si="206"/>
        <v/>
      </c>
      <c r="HT659" s="357" t="str">
        <f t="shared" si="207"/>
        <v/>
      </c>
      <c r="HU659" s="357" t="str">
        <f t="shared" si="208"/>
        <v/>
      </c>
      <c r="HV659" s="357" t="str">
        <f t="shared" si="209"/>
        <v/>
      </c>
      <c r="HW659" s="357" t="str">
        <f t="shared" si="210"/>
        <v/>
      </c>
      <c r="HX659" s="357" t="str">
        <f t="shared" si="211"/>
        <v/>
      </c>
      <c r="HY659" s="357" t="str">
        <f t="shared" si="212"/>
        <v/>
      </c>
      <c r="HZ659" s="1903" t="str">
        <f t="shared" si="213"/>
        <v/>
      </c>
      <c r="IA659" s="1903" t="str">
        <f t="shared" si="214"/>
        <v/>
      </c>
      <c r="IB659" s="1903">
        <f t="shared" si="215"/>
        <v>15</v>
      </c>
      <c r="IC659" s="1903" t="str">
        <f t="shared" si="216"/>
        <v/>
      </c>
      <c r="ID659" s="1903" t="str">
        <f t="shared" si="217"/>
        <v/>
      </c>
      <c r="IE659" s="1903" t="str">
        <f t="shared" si="218"/>
        <v/>
      </c>
      <c r="IF659" s="1903" t="str">
        <f t="shared" si="219"/>
        <v/>
      </c>
      <c r="IG659" s="1903" t="str">
        <f t="shared" si="220"/>
        <v/>
      </c>
      <c r="IH659" s="1903" t="str">
        <f t="shared" si="221"/>
        <v/>
      </c>
      <c r="II659" s="1903" t="str">
        <f t="shared" si="222"/>
        <v/>
      </c>
      <c r="IJ659" s="1903" t="str">
        <f t="shared" si="223"/>
        <v/>
      </c>
      <c r="IK659" s="1903" t="str">
        <f t="shared" si="224"/>
        <v/>
      </c>
      <c r="IL659" s="1903" t="str">
        <f t="shared" si="225"/>
        <v/>
      </c>
      <c r="IM659" s="1903" t="str">
        <f t="shared" si="226"/>
        <v/>
      </c>
      <c r="IN659" s="1903" t="str">
        <f t="shared" si="227"/>
        <v/>
      </c>
      <c r="IO659" s="1903" t="str">
        <f t="shared" si="228"/>
        <v/>
      </c>
      <c r="IP659" s="1903" t="str">
        <f t="shared" si="229"/>
        <v/>
      </c>
      <c r="IQ659" s="1903" t="str">
        <f t="shared" si="230"/>
        <v/>
      </c>
      <c r="IR659" s="1903" t="str">
        <f t="shared" si="231"/>
        <v/>
      </c>
      <c r="IS659" s="1903" t="str">
        <f t="shared" si="232"/>
        <v/>
      </c>
      <c r="IT659" s="1903" t="str">
        <f t="shared" si="233"/>
        <v/>
      </c>
      <c r="IU659" s="1903" t="str">
        <f t="shared" si="234"/>
        <v/>
      </c>
      <c r="IV659" s="1903" t="str">
        <f t="shared" si="235"/>
        <v/>
      </c>
      <c r="IW659" s="1903" t="str">
        <f t="shared" si="236"/>
        <v/>
      </c>
      <c r="IX659" s="1903" t="str">
        <f t="shared" si="237"/>
        <v/>
      </c>
      <c r="IY659" s="1903" t="str">
        <f t="shared" si="238"/>
        <v/>
      </c>
      <c r="IZ659" s="1903" t="str">
        <f t="shared" si="239"/>
        <v/>
      </c>
      <c r="JA659" s="1903" t="str">
        <f t="shared" si="240"/>
        <v/>
      </c>
      <c r="JB659" s="1903" t="str">
        <f t="shared" si="241"/>
        <v/>
      </c>
      <c r="JC659" s="1903" t="str">
        <f t="shared" si="242"/>
        <v/>
      </c>
      <c r="JD659" s="1903" t="str">
        <f t="shared" si="243"/>
        <v/>
      </c>
      <c r="JE659" s="1903" t="str">
        <f t="shared" si="244"/>
        <v/>
      </c>
      <c r="JF659" s="1903" t="str">
        <f t="shared" si="245"/>
        <v/>
      </c>
      <c r="JG659" s="1903" t="str">
        <f t="shared" si="246"/>
        <v/>
      </c>
      <c r="JH659" s="1903" t="str">
        <f t="shared" si="247"/>
        <v/>
      </c>
      <c r="JI659" s="1903" t="str">
        <f t="shared" si="248"/>
        <v/>
      </c>
      <c r="JJ659" s="1903" t="str">
        <f t="shared" si="249"/>
        <v/>
      </c>
      <c r="JK659" s="1903" t="str">
        <f t="shared" si="250"/>
        <v/>
      </c>
      <c r="JL659" s="1903" t="str">
        <f t="shared" si="251"/>
        <v/>
      </c>
      <c r="JM659" s="1903" t="str">
        <f t="shared" si="252"/>
        <v/>
      </c>
      <c r="JN659" s="1903" t="str">
        <f t="shared" si="253"/>
        <v/>
      </c>
      <c r="JO659" s="1903" t="str">
        <f t="shared" si="254"/>
        <v/>
      </c>
      <c r="JP659" s="1903" t="str">
        <f t="shared" si="255"/>
        <v/>
      </c>
      <c r="JQ659" s="1903" t="str">
        <f t="shared" si="256"/>
        <v/>
      </c>
      <c r="JR659" s="1903" t="str">
        <f t="shared" si="257"/>
        <v/>
      </c>
      <c r="JS659" s="1903" t="str">
        <f t="shared" si="258"/>
        <v/>
      </c>
      <c r="JT659" s="1903" t="str">
        <f t="shared" si="259"/>
        <v/>
      </c>
      <c r="JU659" s="1903">
        <f t="shared" si="260"/>
        <v>15</v>
      </c>
      <c r="JV659" s="1903" t="str">
        <f t="shared" si="261"/>
        <v/>
      </c>
      <c r="JW659" s="1903" t="str">
        <f t="shared" si="262"/>
        <v/>
      </c>
      <c r="JX659" s="1903" t="str">
        <f t="shared" si="263"/>
        <v/>
      </c>
      <c r="JY659" s="1903" t="str">
        <f t="shared" si="264"/>
        <v/>
      </c>
      <c r="JZ659" s="1903" t="str">
        <f t="shared" si="265"/>
        <v/>
      </c>
      <c r="KA659" s="1903" t="str">
        <f t="shared" si="266"/>
        <v/>
      </c>
      <c r="KB659" s="1903" t="str">
        <f t="shared" si="267"/>
        <v/>
      </c>
      <c r="KC659" s="1903" t="str">
        <f t="shared" si="268"/>
        <v/>
      </c>
      <c r="KD659" s="1903" t="str">
        <f t="shared" si="269"/>
        <v/>
      </c>
      <c r="KE659" s="1903" t="str">
        <f t="shared" si="270"/>
        <v/>
      </c>
      <c r="KF659" s="1903" t="str">
        <f t="shared" si="271"/>
        <v/>
      </c>
      <c r="KG659" s="1903" t="str">
        <f t="shared" si="272"/>
        <v/>
      </c>
      <c r="KH659" s="1903" t="str">
        <f t="shared" si="273"/>
        <v/>
      </c>
      <c r="KI659" s="1903" t="str">
        <f t="shared" si="274"/>
        <v/>
      </c>
      <c r="KJ659" s="1903" t="str">
        <f t="shared" si="275"/>
        <v/>
      </c>
      <c r="KK659" s="1903" t="str">
        <f t="shared" si="276"/>
        <v/>
      </c>
      <c r="KL659" s="1903" t="str">
        <f t="shared" si="277"/>
        <v/>
      </c>
      <c r="KM659" s="1903" t="str">
        <f t="shared" si="278"/>
        <v/>
      </c>
      <c r="KN659" s="1903" t="str">
        <f t="shared" si="279"/>
        <v/>
      </c>
      <c r="KO659" s="1903" t="str">
        <f t="shared" si="280"/>
        <v/>
      </c>
      <c r="KP659" s="1903" t="str">
        <f t="shared" si="281"/>
        <v/>
      </c>
      <c r="KQ659" s="1903" t="str">
        <f t="shared" si="282"/>
        <v/>
      </c>
      <c r="KR659" s="1903" t="str">
        <f t="shared" si="283"/>
        <v/>
      </c>
      <c r="KS659" s="1903" t="str">
        <f t="shared" si="284"/>
        <v/>
      </c>
      <c r="KT659" s="1903" t="str">
        <f t="shared" si="285"/>
        <v/>
      </c>
      <c r="KU659" s="1903" t="str">
        <f t="shared" si="286"/>
        <v/>
      </c>
      <c r="KV659" s="1903" t="str">
        <f t="shared" si="287"/>
        <v/>
      </c>
      <c r="KW659" s="1903" t="str">
        <f t="shared" si="288"/>
        <v/>
      </c>
      <c r="KX659" s="1903" t="str">
        <f t="shared" si="289"/>
        <v/>
      </c>
      <c r="KY659" s="1903" t="str">
        <f t="shared" si="290"/>
        <v/>
      </c>
      <c r="KZ659" s="1903" t="str">
        <f t="shared" si="291"/>
        <v/>
      </c>
      <c r="LA659" s="1903" t="str">
        <f t="shared" si="292"/>
        <v/>
      </c>
      <c r="LB659" s="1903" t="str">
        <f t="shared" si="293"/>
        <v/>
      </c>
      <c r="LC659" s="1903" t="str">
        <f t="shared" si="294"/>
        <v/>
      </c>
      <c r="LD659" s="1903" t="str">
        <f t="shared" si="295"/>
        <v/>
      </c>
      <c r="LE659" s="1903" t="str">
        <f t="shared" si="296"/>
        <v/>
      </c>
      <c r="LF659" s="1903" t="str">
        <f t="shared" si="297"/>
        <v/>
      </c>
      <c r="LG659" s="1750" t="str">
        <f t="shared" si="298"/>
        <v/>
      </c>
      <c r="LH659" s="1750" t="str">
        <f t="shared" si="299"/>
        <v/>
      </c>
      <c r="LI659" s="1750" t="str">
        <f t="shared" si="300"/>
        <v/>
      </c>
      <c r="LJ659" s="1750" t="str">
        <f t="shared" si="301"/>
        <v/>
      </c>
      <c r="LK659" s="1750" t="str">
        <f t="shared" si="302"/>
        <v/>
      </c>
      <c r="LL659" s="357" t="str">
        <f t="shared" si="303"/>
        <v/>
      </c>
      <c r="LM659" s="357" t="str">
        <f t="shared" si="304"/>
        <v/>
      </c>
      <c r="LN659" s="357" t="str">
        <f t="shared" si="305"/>
        <v/>
      </c>
      <c r="LO659" s="357" t="str">
        <f t="shared" si="306"/>
        <v/>
      </c>
      <c r="LP659" s="357" t="str">
        <f t="shared" si="307"/>
        <v/>
      </c>
      <c r="LQ659" s="357" t="str">
        <f t="shared" si="308"/>
        <v/>
      </c>
      <c r="LR659" s="357" t="str">
        <f t="shared" si="309"/>
        <v/>
      </c>
      <c r="LS659" s="357" t="str">
        <f t="shared" si="310"/>
        <v/>
      </c>
      <c r="LT659" s="357" t="str">
        <f t="shared" si="311"/>
        <v/>
      </c>
      <c r="LU659" s="357" t="str">
        <f t="shared" si="312"/>
        <v/>
      </c>
      <c r="LV659" s="357" t="str">
        <f t="shared" si="313"/>
        <v/>
      </c>
      <c r="LW659" s="357" t="str">
        <f t="shared" si="314"/>
        <v/>
      </c>
      <c r="LX659" s="357" t="str">
        <f t="shared" si="315"/>
        <v/>
      </c>
      <c r="LY659" s="357" t="str">
        <f t="shared" si="316"/>
        <v/>
      </c>
      <c r="LZ659" s="357" t="str">
        <f t="shared" si="317"/>
        <v/>
      </c>
      <c r="MA659" s="357" t="str">
        <f t="shared" si="318"/>
        <v/>
      </c>
      <c r="MB659" s="357" t="str">
        <f t="shared" si="319"/>
        <v/>
      </c>
      <c r="MC659" s="357" t="str">
        <f t="shared" si="320"/>
        <v/>
      </c>
      <c r="MD659" s="357" t="str">
        <f t="shared" si="321"/>
        <v/>
      </c>
      <c r="ME659" s="357" t="str">
        <f t="shared" si="322"/>
        <v/>
      </c>
      <c r="MF659" s="1750">
        <f t="shared" si="323"/>
        <v>0</v>
      </c>
      <c r="MG659" s="1750">
        <f t="shared" si="324"/>
        <v>0</v>
      </c>
      <c r="MH659" s="1750">
        <f t="shared" si="325"/>
        <v>0</v>
      </c>
      <c r="MI659" s="1750">
        <f t="shared" si="326"/>
        <v>0</v>
      </c>
      <c r="MJ659" s="1750">
        <f t="shared" si="327"/>
        <v>0</v>
      </c>
      <c r="MK659" s="1750">
        <f t="shared" si="333"/>
        <v>0</v>
      </c>
      <c r="ML659" s="1750">
        <f t="shared" si="334"/>
        <v>0</v>
      </c>
      <c r="MM659" s="1750">
        <f t="shared" si="335"/>
        <v>15</v>
      </c>
      <c r="MN659" s="1750">
        <f t="shared" si="336"/>
        <v>0</v>
      </c>
      <c r="MO659" s="1750">
        <f t="shared" si="337"/>
        <v>0</v>
      </c>
      <c r="MP659" s="1750">
        <f t="shared" si="328"/>
        <v>0</v>
      </c>
      <c r="MQ659" s="1750">
        <f t="shared" si="329"/>
        <v>0</v>
      </c>
      <c r="MR659" s="1750">
        <f t="shared" si="330"/>
        <v>0</v>
      </c>
      <c r="MS659" s="1750">
        <f t="shared" si="331"/>
        <v>0</v>
      </c>
      <c r="MT659" s="1750">
        <f t="shared" si="332"/>
        <v>0</v>
      </c>
      <c r="NP659" s="357" t="s">
        <v>6424</v>
      </c>
    </row>
    <row r="660" spans="1:380" ht="13.9" customHeight="1">
      <c r="A660" s="1901" t="str">
        <f t="shared" si="0"/>
        <v/>
      </c>
      <c r="B660" s="2238">
        <f>'Part V-Revenues &amp; Expenses'!B22</f>
        <v>60</v>
      </c>
      <c r="C660" s="2229">
        <f>'Part V-Revenues &amp; Expenses'!C22</f>
        <v>2</v>
      </c>
      <c r="D660" s="2230">
        <f>'Part V-Revenues &amp; Expenses'!D22</f>
        <v>2</v>
      </c>
      <c r="E660" s="2231">
        <f>'Part V-Revenues &amp; Expenses'!E22</f>
        <v>15</v>
      </c>
      <c r="F660" s="2231">
        <f>'Part V-Revenues &amp; Expenses'!F22</f>
        <v>1156</v>
      </c>
      <c r="G660" s="2231">
        <f>'Part V-Revenues &amp; Expenses'!G22</f>
        <v>1180</v>
      </c>
      <c r="H660" s="2231">
        <f>'Part V-Revenues &amp; Expenses'!H22</f>
        <v>1320</v>
      </c>
      <c r="I660" s="2231">
        <f>'Part V-Revenues &amp; Expenses'!I22</f>
        <v>0</v>
      </c>
      <c r="J660" s="2231">
        <f>'Part V-Revenues &amp; Expenses'!J22</f>
        <v>77</v>
      </c>
      <c r="K660" s="2232" t="str">
        <f>'Part V-Revenues &amp; Expenses'!K22</f>
        <v>HUD</v>
      </c>
      <c r="L660" s="2233">
        <f t="shared" si="338"/>
        <v>1243</v>
      </c>
      <c r="M660" s="2233">
        <f t="shared" si="339"/>
        <v>18645</v>
      </c>
      <c r="N660" s="2094" t="str">
        <f>'Part V-Revenues &amp; Expenses'!N22</f>
        <v>No</v>
      </c>
      <c r="O660" s="2234" t="str">
        <f>'Part V-Revenues &amp; Expenses'!O22</f>
        <v>Low-Rise Apt</v>
      </c>
      <c r="P660" s="2094" t="str">
        <f>'Part V-Revenues &amp; Expenses'!P22</f>
        <v>New Construction</v>
      </c>
      <c r="Q660" s="2235" t="str">
        <f>'Part V-Revenues &amp; Expenses'!Q22</f>
        <v>No</v>
      </c>
      <c r="R660" s="2236"/>
      <c r="S660" s="2237"/>
      <c r="T660" s="2160"/>
      <c r="U660" s="2160"/>
      <c r="V660" s="2160"/>
      <c r="W660" s="2160"/>
      <c r="X660" s="357" t="str">
        <f t="shared" si="3"/>
        <v/>
      </c>
      <c r="Y660" s="357" t="str">
        <f t="shared" si="4"/>
        <v/>
      </c>
      <c r="Z660" s="357" t="str">
        <f t="shared" si="5"/>
        <v/>
      </c>
      <c r="AA660" s="357" t="str">
        <f t="shared" si="6"/>
        <v/>
      </c>
      <c r="AB660" s="357" t="str">
        <f t="shared" si="7"/>
        <v/>
      </c>
      <c r="AC660" s="357" t="str">
        <f t="shared" si="8"/>
        <v/>
      </c>
      <c r="AD660" s="357" t="str">
        <f t="shared" si="9"/>
        <v/>
      </c>
      <c r="AE660" s="357" t="str">
        <f t="shared" si="10"/>
        <v/>
      </c>
      <c r="AF660" s="357" t="str">
        <f t="shared" si="11"/>
        <v/>
      </c>
      <c r="AG660" s="357" t="str">
        <f t="shared" si="12"/>
        <v/>
      </c>
      <c r="AH660" s="357" t="str">
        <f t="shared" si="13"/>
        <v/>
      </c>
      <c r="AI660" s="357" t="str">
        <f t="shared" si="14"/>
        <v/>
      </c>
      <c r="AJ660" s="357">
        <f t="shared" si="15"/>
        <v>15</v>
      </c>
      <c r="AK660" s="357" t="str">
        <f t="shared" si="16"/>
        <v/>
      </c>
      <c r="AL660" s="357" t="str">
        <f t="shared" si="17"/>
        <v/>
      </c>
      <c r="AM660" s="357" t="str">
        <f t="shared" si="18"/>
        <v/>
      </c>
      <c r="AN660" s="357" t="str">
        <f t="shared" si="19"/>
        <v/>
      </c>
      <c r="AO660" s="357" t="str">
        <f t="shared" si="20"/>
        <v/>
      </c>
      <c r="AP660" s="357" t="str">
        <f t="shared" si="21"/>
        <v/>
      </c>
      <c r="AQ660" s="357" t="str">
        <f t="shared" si="22"/>
        <v/>
      </c>
      <c r="AR660" s="357" t="str">
        <f t="shared" si="23"/>
        <v/>
      </c>
      <c r="AS660" s="357" t="str">
        <f t="shared" si="24"/>
        <v/>
      </c>
      <c r="AT660" s="357" t="str">
        <f t="shared" si="25"/>
        <v/>
      </c>
      <c r="AU660" s="357" t="str">
        <f t="shared" si="26"/>
        <v/>
      </c>
      <c r="AV660" s="357" t="str">
        <f t="shared" si="27"/>
        <v/>
      </c>
      <c r="AW660" s="357" t="str">
        <f t="shared" si="28"/>
        <v/>
      </c>
      <c r="AX660" s="357" t="str">
        <f t="shared" si="29"/>
        <v/>
      </c>
      <c r="AY660" s="357" t="str">
        <f t="shared" si="30"/>
        <v/>
      </c>
      <c r="AZ660" s="357" t="str">
        <f t="shared" si="31"/>
        <v/>
      </c>
      <c r="BA660" s="357" t="str">
        <f t="shared" si="32"/>
        <v/>
      </c>
      <c r="BB660" s="357" t="str">
        <f t="shared" si="33"/>
        <v/>
      </c>
      <c r="BC660" s="357" t="str">
        <f t="shared" si="34"/>
        <v/>
      </c>
      <c r="BD660" s="357" t="str">
        <f t="shared" si="35"/>
        <v/>
      </c>
      <c r="BE660" s="357" t="str">
        <f t="shared" si="36"/>
        <v/>
      </c>
      <c r="BF660" s="357" t="str">
        <f t="shared" si="37"/>
        <v/>
      </c>
      <c r="BG660" s="357" t="str">
        <f t="shared" si="38"/>
        <v/>
      </c>
      <c r="BH660" s="357" t="str">
        <f t="shared" si="39"/>
        <v/>
      </c>
      <c r="BI660" s="357" t="str">
        <f t="shared" si="40"/>
        <v/>
      </c>
      <c r="BJ660" s="357" t="str">
        <f t="shared" si="41"/>
        <v/>
      </c>
      <c r="BK660" s="357" t="str">
        <f t="shared" si="42"/>
        <v/>
      </c>
      <c r="BL660" s="357" t="str">
        <f t="shared" si="43"/>
        <v/>
      </c>
      <c r="BM660" s="357" t="str">
        <f t="shared" si="44"/>
        <v/>
      </c>
      <c r="BN660" s="357" t="str">
        <f t="shared" si="45"/>
        <v/>
      </c>
      <c r="BO660" s="357" t="str">
        <f t="shared" si="46"/>
        <v/>
      </c>
      <c r="BP660" s="357" t="str">
        <f t="shared" si="47"/>
        <v/>
      </c>
      <c r="BQ660" s="357" t="str">
        <f t="shared" si="48"/>
        <v/>
      </c>
      <c r="BR660" s="357" t="str">
        <f t="shared" si="49"/>
        <v/>
      </c>
      <c r="BS660" s="357" t="str">
        <f t="shared" si="50"/>
        <v/>
      </c>
      <c r="BT660" s="357" t="str">
        <f t="shared" si="51"/>
        <v/>
      </c>
      <c r="BU660" s="357" t="str">
        <f t="shared" si="52"/>
        <v/>
      </c>
      <c r="BV660" s="357" t="str">
        <f t="shared" si="53"/>
        <v/>
      </c>
      <c r="BW660" s="357" t="str">
        <f t="shared" si="54"/>
        <v/>
      </c>
      <c r="BX660" s="357" t="str">
        <f t="shared" si="55"/>
        <v/>
      </c>
      <c r="BY660" s="357" t="str">
        <f t="shared" si="56"/>
        <v/>
      </c>
      <c r="BZ660" s="357" t="str">
        <f t="shared" si="57"/>
        <v/>
      </c>
      <c r="CA660" s="357" t="str">
        <f t="shared" si="58"/>
        <v/>
      </c>
      <c r="CB660" s="357" t="str">
        <f t="shared" si="59"/>
        <v/>
      </c>
      <c r="CC660" s="357" t="str">
        <f t="shared" si="60"/>
        <v/>
      </c>
      <c r="CD660" s="357" t="str">
        <f t="shared" si="61"/>
        <v/>
      </c>
      <c r="CE660" s="357" t="str">
        <f t="shared" si="62"/>
        <v/>
      </c>
      <c r="CF660" s="357" t="str">
        <f t="shared" si="63"/>
        <v/>
      </c>
      <c r="CG660" s="357" t="str">
        <f t="shared" si="64"/>
        <v/>
      </c>
      <c r="CH660" s="357">
        <f t="shared" si="65"/>
        <v>15</v>
      </c>
      <c r="CI660" s="357" t="str">
        <f t="shared" si="66"/>
        <v/>
      </c>
      <c r="CJ660" s="357" t="str">
        <f t="shared" si="67"/>
        <v/>
      </c>
      <c r="CK660" s="357" t="str">
        <f t="shared" si="68"/>
        <v/>
      </c>
      <c r="CL660" s="357" t="str">
        <f t="shared" si="69"/>
        <v/>
      </c>
      <c r="CM660" s="357" t="str">
        <f t="shared" si="70"/>
        <v/>
      </c>
      <c r="CN660" s="357" t="str">
        <f t="shared" si="71"/>
        <v/>
      </c>
      <c r="CO660" s="357" t="str">
        <f t="shared" si="72"/>
        <v/>
      </c>
      <c r="CP660" s="357" t="str">
        <f t="shared" si="73"/>
        <v/>
      </c>
      <c r="CQ660" s="357" t="str">
        <f t="shared" si="74"/>
        <v/>
      </c>
      <c r="CR660" s="357" t="str">
        <f t="shared" si="75"/>
        <v/>
      </c>
      <c r="CS660" s="357" t="str">
        <f t="shared" si="76"/>
        <v/>
      </c>
      <c r="CT660" s="357" t="str">
        <f t="shared" si="77"/>
        <v/>
      </c>
      <c r="CU660" s="357" t="str">
        <f t="shared" si="78"/>
        <v/>
      </c>
      <c r="CV660" s="357" t="str">
        <f t="shared" si="79"/>
        <v/>
      </c>
      <c r="CW660" s="357" t="str">
        <f t="shared" si="80"/>
        <v/>
      </c>
      <c r="CX660" s="357" t="str">
        <f t="shared" si="81"/>
        <v/>
      </c>
      <c r="CY660" s="357" t="str">
        <f t="shared" si="82"/>
        <v/>
      </c>
      <c r="CZ660" s="357" t="str">
        <f t="shared" si="83"/>
        <v/>
      </c>
      <c r="DA660" s="357" t="str">
        <f t="shared" si="84"/>
        <v/>
      </c>
      <c r="DB660" s="357" t="str">
        <f t="shared" si="85"/>
        <v/>
      </c>
      <c r="DC660" s="357" t="str">
        <f t="shared" si="86"/>
        <v/>
      </c>
      <c r="DD660" s="357" t="str">
        <f t="shared" si="87"/>
        <v/>
      </c>
      <c r="DE660" s="357" t="str">
        <f t="shared" si="88"/>
        <v/>
      </c>
      <c r="DF660" s="357" t="str">
        <f t="shared" si="89"/>
        <v/>
      </c>
      <c r="DG660" s="357" t="str">
        <f t="shared" si="90"/>
        <v/>
      </c>
      <c r="DH660" s="357" t="str">
        <f t="shared" si="91"/>
        <v/>
      </c>
      <c r="DI660" s="357" t="str">
        <f t="shared" si="92"/>
        <v/>
      </c>
      <c r="DJ660" s="357" t="str">
        <f t="shared" si="93"/>
        <v/>
      </c>
      <c r="DK660" s="357" t="str">
        <f t="shared" si="94"/>
        <v/>
      </c>
      <c r="DL660" s="357" t="str">
        <f t="shared" si="95"/>
        <v/>
      </c>
      <c r="DM660" s="357" t="str">
        <f t="shared" si="96"/>
        <v/>
      </c>
      <c r="DN660" s="357" t="str">
        <f t="shared" si="97"/>
        <v/>
      </c>
      <c r="DO660" s="357" t="str">
        <f t="shared" si="98"/>
        <v/>
      </c>
      <c r="DP660" s="357" t="str">
        <f t="shared" si="99"/>
        <v/>
      </c>
      <c r="DQ660" s="357" t="str">
        <f t="shared" si="100"/>
        <v/>
      </c>
      <c r="DR660" s="357" t="str">
        <f t="shared" si="101"/>
        <v/>
      </c>
      <c r="DS660" s="357" t="str">
        <f t="shared" si="102"/>
        <v/>
      </c>
      <c r="DT660" s="357" t="str">
        <f t="shared" si="103"/>
        <v/>
      </c>
      <c r="DU660" s="357" t="str">
        <f t="shared" si="104"/>
        <v/>
      </c>
      <c r="DV660" s="357" t="str">
        <f t="shared" si="105"/>
        <v/>
      </c>
      <c r="DW660" s="357" t="str">
        <f t="shared" si="106"/>
        <v/>
      </c>
      <c r="DX660" s="357" t="str">
        <f t="shared" si="107"/>
        <v/>
      </c>
      <c r="DY660" s="357" t="str">
        <f t="shared" si="108"/>
        <v/>
      </c>
      <c r="DZ660" s="357" t="str">
        <f t="shared" si="109"/>
        <v/>
      </c>
      <c r="EA660" s="357" t="str">
        <f t="shared" si="110"/>
        <v/>
      </c>
      <c r="EB660" s="357" t="str">
        <f t="shared" si="111"/>
        <v/>
      </c>
      <c r="EC660" s="357" t="str">
        <f t="shared" si="112"/>
        <v/>
      </c>
      <c r="ED660" s="357" t="str">
        <f t="shared" si="113"/>
        <v/>
      </c>
      <c r="EE660" s="357" t="str">
        <f t="shared" si="114"/>
        <v/>
      </c>
      <c r="EF660" s="357" t="str">
        <f t="shared" si="115"/>
        <v/>
      </c>
      <c r="EG660" s="357" t="str">
        <f t="shared" si="116"/>
        <v/>
      </c>
      <c r="EH660" s="357" t="str">
        <f t="shared" si="117"/>
        <v/>
      </c>
      <c r="EI660" s="357" t="str">
        <f t="shared" si="118"/>
        <v/>
      </c>
      <c r="EJ660" s="357" t="str">
        <f t="shared" si="119"/>
        <v/>
      </c>
      <c r="EK660" s="357" t="str">
        <f t="shared" si="120"/>
        <v/>
      </c>
      <c r="EL660" s="357" t="str">
        <f t="shared" si="121"/>
        <v/>
      </c>
      <c r="EM660" s="357" t="str">
        <f t="shared" si="122"/>
        <v/>
      </c>
      <c r="EN660" s="357" t="str">
        <f t="shared" si="123"/>
        <v/>
      </c>
      <c r="EO660" s="357" t="str">
        <f t="shared" si="124"/>
        <v/>
      </c>
      <c r="EP660" s="357" t="str">
        <f t="shared" si="125"/>
        <v/>
      </c>
      <c r="EQ660" s="357" t="str">
        <f t="shared" si="126"/>
        <v/>
      </c>
      <c r="ER660" s="357" t="str">
        <f t="shared" si="127"/>
        <v/>
      </c>
      <c r="ES660" s="357" t="str">
        <f t="shared" si="128"/>
        <v/>
      </c>
      <c r="ET660" s="357" t="str">
        <f t="shared" si="129"/>
        <v/>
      </c>
      <c r="EU660" s="357">
        <f t="shared" si="130"/>
        <v>17340</v>
      </c>
      <c r="EV660" s="357" t="str">
        <f t="shared" si="131"/>
        <v/>
      </c>
      <c r="EW660" s="357" t="str">
        <f t="shared" si="132"/>
        <v/>
      </c>
      <c r="EX660" s="357" t="str">
        <f t="shared" si="133"/>
        <v/>
      </c>
      <c r="EY660" s="357" t="str">
        <f t="shared" si="134"/>
        <v/>
      </c>
      <c r="EZ660" s="357" t="str">
        <f t="shared" si="135"/>
        <v/>
      </c>
      <c r="FA660" s="357" t="str">
        <f t="shared" si="136"/>
        <v/>
      </c>
      <c r="FB660" s="357" t="str">
        <f t="shared" si="137"/>
        <v/>
      </c>
      <c r="FC660" s="357" t="str">
        <f t="shared" si="138"/>
        <v/>
      </c>
      <c r="FD660" s="357" t="str">
        <f t="shared" si="139"/>
        <v/>
      </c>
      <c r="FE660" s="357" t="str">
        <f t="shared" si="140"/>
        <v/>
      </c>
      <c r="FF660" s="357" t="str">
        <f t="shared" si="141"/>
        <v/>
      </c>
      <c r="FG660" s="357" t="str">
        <f t="shared" si="142"/>
        <v/>
      </c>
      <c r="FH660" s="357" t="str">
        <f t="shared" si="143"/>
        <v/>
      </c>
      <c r="FI660" s="357" t="str">
        <f t="shared" si="144"/>
        <v/>
      </c>
      <c r="FJ660" s="357" t="str">
        <f t="shared" si="145"/>
        <v/>
      </c>
      <c r="FK660" s="357" t="str">
        <f t="shared" si="146"/>
        <v/>
      </c>
      <c r="FL660" s="357" t="str">
        <f t="shared" si="147"/>
        <v/>
      </c>
      <c r="FM660" s="357" t="str">
        <f t="shared" si="148"/>
        <v/>
      </c>
      <c r="FN660" s="357" t="str">
        <f t="shared" si="149"/>
        <v/>
      </c>
      <c r="FO660" s="357" t="str">
        <f t="shared" si="150"/>
        <v/>
      </c>
      <c r="FP660" s="357" t="str">
        <f t="shared" si="151"/>
        <v/>
      </c>
      <c r="FQ660" s="357" t="str">
        <f t="shared" si="152"/>
        <v/>
      </c>
      <c r="FR660" s="357" t="str">
        <f t="shared" si="153"/>
        <v/>
      </c>
      <c r="FS660" s="357" t="str">
        <f t="shared" si="154"/>
        <v/>
      </c>
      <c r="FT660" s="357" t="str">
        <f t="shared" si="155"/>
        <v/>
      </c>
      <c r="FU660" s="357" t="str">
        <f t="shared" si="156"/>
        <v/>
      </c>
      <c r="FV660" s="357" t="str">
        <f t="shared" si="157"/>
        <v/>
      </c>
      <c r="FW660" s="357" t="str">
        <f t="shared" si="158"/>
        <v/>
      </c>
      <c r="FX660" s="357" t="str">
        <f t="shared" si="159"/>
        <v/>
      </c>
      <c r="FY660" s="357">
        <f t="shared" si="160"/>
        <v>17340</v>
      </c>
      <c r="FZ660" s="357" t="str">
        <f t="shared" si="161"/>
        <v/>
      </c>
      <c r="GA660" s="357" t="str">
        <f t="shared" si="162"/>
        <v/>
      </c>
      <c r="GB660" s="357" t="str">
        <f t="shared" si="163"/>
        <v/>
      </c>
      <c r="GC660" s="357" t="str">
        <f t="shared" si="164"/>
        <v/>
      </c>
      <c r="GD660" s="357" t="str">
        <f t="shared" si="165"/>
        <v/>
      </c>
      <c r="GE660" s="357" t="str">
        <f t="shared" si="166"/>
        <v/>
      </c>
      <c r="GF660" s="357" t="str">
        <f t="shared" si="167"/>
        <v/>
      </c>
      <c r="GG660" s="357" t="str">
        <f t="shared" si="168"/>
        <v/>
      </c>
      <c r="GH660" s="357" t="str">
        <f t="shared" si="169"/>
        <v/>
      </c>
      <c r="GI660" s="357">
        <f t="shared" si="170"/>
        <v>15</v>
      </c>
      <c r="GJ660" s="357" t="str">
        <f t="shared" si="171"/>
        <v/>
      </c>
      <c r="GK660" s="357" t="str">
        <f t="shared" si="172"/>
        <v/>
      </c>
      <c r="GL660" s="357" t="str">
        <f t="shared" si="173"/>
        <v/>
      </c>
      <c r="GM660" s="357" t="str">
        <f t="shared" si="174"/>
        <v/>
      </c>
      <c r="GN660" s="357" t="str">
        <f t="shared" si="175"/>
        <v/>
      </c>
      <c r="GO660" s="357" t="str">
        <f t="shared" si="176"/>
        <v/>
      </c>
      <c r="GP660" s="357" t="str">
        <f t="shared" si="177"/>
        <v/>
      </c>
      <c r="GQ660" s="357" t="str">
        <f t="shared" si="178"/>
        <v/>
      </c>
      <c r="GR660" s="357" t="str">
        <f t="shared" si="179"/>
        <v/>
      </c>
      <c r="GS660" s="357" t="str">
        <f t="shared" si="180"/>
        <v/>
      </c>
      <c r="GT660" s="357" t="str">
        <f t="shared" si="181"/>
        <v/>
      </c>
      <c r="GU660" s="357" t="str">
        <f t="shared" si="182"/>
        <v/>
      </c>
      <c r="GV660" s="357" t="str">
        <f t="shared" si="183"/>
        <v/>
      </c>
      <c r="GW660" s="357" t="str">
        <f t="shared" si="184"/>
        <v/>
      </c>
      <c r="GX660" s="357" t="str">
        <f t="shared" si="185"/>
        <v/>
      </c>
      <c r="GY660" s="357" t="str">
        <f t="shared" si="186"/>
        <v/>
      </c>
      <c r="GZ660" s="357" t="str">
        <f t="shared" si="187"/>
        <v/>
      </c>
      <c r="HA660" s="357" t="str">
        <f t="shared" si="188"/>
        <v/>
      </c>
      <c r="HB660" s="357" t="str">
        <f t="shared" si="189"/>
        <v/>
      </c>
      <c r="HC660" s="357" t="str">
        <f t="shared" si="190"/>
        <v/>
      </c>
      <c r="HD660" s="357" t="str">
        <f t="shared" si="191"/>
        <v/>
      </c>
      <c r="HE660" s="357" t="str">
        <f t="shared" si="192"/>
        <v/>
      </c>
      <c r="HF660" s="357" t="str">
        <f t="shared" si="193"/>
        <v/>
      </c>
      <c r="HG660" s="357" t="str">
        <f t="shared" si="194"/>
        <v/>
      </c>
      <c r="HH660" s="357" t="str">
        <f t="shared" si="195"/>
        <v/>
      </c>
      <c r="HI660" s="357" t="str">
        <f t="shared" si="196"/>
        <v/>
      </c>
      <c r="HJ660" s="357" t="str">
        <f t="shared" si="197"/>
        <v/>
      </c>
      <c r="HK660" s="357" t="str">
        <f t="shared" si="198"/>
        <v/>
      </c>
      <c r="HL660" s="357" t="str">
        <f t="shared" si="199"/>
        <v/>
      </c>
      <c r="HM660" s="357" t="str">
        <f t="shared" si="200"/>
        <v/>
      </c>
      <c r="HN660" s="357" t="str">
        <f t="shared" si="201"/>
        <v/>
      </c>
      <c r="HO660" s="357" t="str">
        <f t="shared" si="202"/>
        <v/>
      </c>
      <c r="HP660" s="357" t="str">
        <f t="shared" si="203"/>
        <v/>
      </c>
      <c r="HQ660" s="357" t="str">
        <f t="shared" si="204"/>
        <v/>
      </c>
      <c r="HR660" s="357" t="str">
        <f t="shared" si="205"/>
        <v/>
      </c>
      <c r="HS660" s="357" t="str">
        <f t="shared" si="206"/>
        <v/>
      </c>
      <c r="HT660" s="357" t="str">
        <f t="shared" si="207"/>
        <v/>
      </c>
      <c r="HU660" s="357" t="str">
        <f t="shared" si="208"/>
        <v/>
      </c>
      <c r="HV660" s="357" t="str">
        <f t="shared" si="209"/>
        <v/>
      </c>
      <c r="HW660" s="357" t="str">
        <f t="shared" si="210"/>
        <v/>
      </c>
      <c r="HX660" s="357" t="str">
        <f t="shared" si="211"/>
        <v/>
      </c>
      <c r="HY660" s="357" t="str">
        <f t="shared" si="212"/>
        <v/>
      </c>
      <c r="HZ660" s="1903" t="str">
        <f t="shared" si="213"/>
        <v/>
      </c>
      <c r="IA660" s="1903" t="str">
        <f t="shared" si="214"/>
        <v/>
      </c>
      <c r="IB660" s="1903">
        <f t="shared" si="215"/>
        <v>15</v>
      </c>
      <c r="IC660" s="1903" t="str">
        <f t="shared" si="216"/>
        <v/>
      </c>
      <c r="ID660" s="1903" t="str">
        <f t="shared" si="217"/>
        <v/>
      </c>
      <c r="IE660" s="1903" t="str">
        <f t="shared" si="218"/>
        <v/>
      </c>
      <c r="IF660" s="1903" t="str">
        <f t="shared" si="219"/>
        <v/>
      </c>
      <c r="IG660" s="1903" t="str">
        <f t="shared" si="220"/>
        <v/>
      </c>
      <c r="IH660" s="1903" t="str">
        <f t="shared" si="221"/>
        <v/>
      </c>
      <c r="II660" s="1903" t="str">
        <f t="shared" si="222"/>
        <v/>
      </c>
      <c r="IJ660" s="1903" t="str">
        <f t="shared" si="223"/>
        <v/>
      </c>
      <c r="IK660" s="1903" t="str">
        <f t="shared" si="224"/>
        <v/>
      </c>
      <c r="IL660" s="1903" t="str">
        <f t="shared" si="225"/>
        <v/>
      </c>
      <c r="IM660" s="1903" t="str">
        <f t="shared" si="226"/>
        <v/>
      </c>
      <c r="IN660" s="1903" t="str">
        <f t="shared" si="227"/>
        <v/>
      </c>
      <c r="IO660" s="1903" t="str">
        <f t="shared" si="228"/>
        <v/>
      </c>
      <c r="IP660" s="1903" t="str">
        <f t="shared" si="229"/>
        <v/>
      </c>
      <c r="IQ660" s="1903" t="str">
        <f t="shared" si="230"/>
        <v/>
      </c>
      <c r="IR660" s="1903" t="str">
        <f t="shared" si="231"/>
        <v/>
      </c>
      <c r="IS660" s="1903" t="str">
        <f t="shared" si="232"/>
        <v/>
      </c>
      <c r="IT660" s="1903" t="str">
        <f t="shared" si="233"/>
        <v/>
      </c>
      <c r="IU660" s="1903" t="str">
        <f t="shared" si="234"/>
        <v/>
      </c>
      <c r="IV660" s="1903" t="str">
        <f t="shared" si="235"/>
        <v/>
      </c>
      <c r="IW660" s="1903" t="str">
        <f t="shared" si="236"/>
        <v/>
      </c>
      <c r="IX660" s="1903" t="str">
        <f t="shared" si="237"/>
        <v/>
      </c>
      <c r="IY660" s="1903" t="str">
        <f t="shared" si="238"/>
        <v/>
      </c>
      <c r="IZ660" s="1903" t="str">
        <f t="shared" si="239"/>
        <v/>
      </c>
      <c r="JA660" s="1903" t="str">
        <f t="shared" si="240"/>
        <v/>
      </c>
      <c r="JB660" s="1903" t="str">
        <f t="shared" si="241"/>
        <v/>
      </c>
      <c r="JC660" s="1903" t="str">
        <f t="shared" si="242"/>
        <v/>
      </c>
      <c r="JD660" s="1903" t="str">
        <f t="shared" si="243"/>
        <v/>
      </c>
      <c r="JE660" s="1903" t="str">
        <f t="shared" si="244"/>
        <v/>
      </c>
      <c r="JF660" s="1903" t="str">
        <f t="shared" si="245"/>
        <v/>
      </c>
      <c r="JG660" s="1903" t="str">
        <f t="shared" si="246"/>
        <v/>
      </c>
      <c r="JH660" s="1903" t="str">
        <f t="shared" si="247"/>
        <v/>
      </c>
      <c r="JI660" s="1903" t="str">
        <f t="shared" si="248"/>
        <v/>
      </c>
      <c r="JJ660" s="1903" t="str">
        <f t="shared" si="249"/>
        <v/>
      </c>
      <c r="JK660" s="1903" t="str">
        <f t="shared" si="250"/>
        <v/>
      </c>
      <c r="JL660" s="1903" t="str">
        <f t="shared" si="251"/>
        <v/>
      </c>
      <c r="JM660" s="1903" t="str">
        <f t="shared" si="252"/>
        <v/>
      </c>
      <c r="JN660" s="1903" t="str">
        <f t="shared" si="253"/>
        <v/>
      </c>
      <c r="JO660" s="1903" t="str">
        <f t="shared" si="254"/>
        <v/>
      </c>
      <c r="JP660" s="1903" t="str">
        <f t="shared" si="255"/>
        <v/>
      </c>
      <c r="JQ660" s="1903" t="str">
        <f t="shared" si="256"/>
        <v/>
      </c>
      <c r="JR660" s="1903" t="str">
        <f t="shared" si="257"/>
        <v/>
      </c>
      <c r="JS660" s="1903" t="str">
        <f t="shared" si="258"/>
        <v/>
      </c>
      <c r="JT660" s="1903" t="str">
        <f t="shared" si="259"/>
        <v/>
      </c>
      <c r="JU660" s="1903">
        <f t="shared" si="260"/>
        <v>15</v>
      </c>
      <c r="JV660" s="1903" t="str">
        <f t="shared" si="261"/>
        <v/>
      </c>
      <c r="JW660" s="1903" t="str">
        <f t="shared" si="262"/>
        <v/>
      </c>
      <c r="JX660" s="1903" t="str">
        <f t="shared" si="263"/>
        <v/>
      </c>
      <c r="JY660" s="1903" t="str">
        <f t="shared" si="264"/>
        <v/>
      </c>
      <c r="JZ660" s="1903" t="str">
        <f t="shared" si="265"/>
        <v/>
      </c>
      <c r="KA660" s="1903" t="str">
        <f t="shared" si="266"/>
        <v/>
      </c>
      <c r="KB660" s="1903" t="str">
        <f t="shared" si="267"/>
        <v/>
      </c>
      <c r="KC660" s="1903" t="str">
        <f t="shared" si="268"/>
        <v/>
      </c>
      <c r="KD660" s="1903" t="str">
        <f t="shared" si="269"/>
        <v/>
      </c>
      <c r="KE660" s="1903" t="str">
        <f t="shared" si="270"/>
        <v/>
      </c>
      <c r="KF660" s="1903" t="str">
        <f t="shared" si="271"/>
        <v/>
      </c>
      <c r="KG660" s="1903" t="str">
        <f t="shared" si="272"/>
        <v/>
      </c>
      <c r="KH660" s="1903" t="str">
        <f t="shared" si="273"/>
        <v/>
      </c>
      <c r="KI660" s="1903" t="str">
        <f t="shared" si="274"/>
        <v/>
      </c>
      <c r="KJ660" s="1903" t="str">
        <f t="shared" si="275"/>
        <v/>
      </c>
      <c r="KK660" s="1903" t="str">
        <f t="shared" si="276"/>
        <v/>
      </c>
      <c r="KL660" s="1903" t="str">
        <f t="shared" si="277"/>
        <v/>
      </c>
      <c r="KM660" s="1903" t="str">
        <f t="shared" si="278"/>
        <v/>
      </c>
      <c r="KN660" s="1903" t="str">
        <f t="shared" si="279"/>
        <v/>
      </c>
      <c r="KO660" s="1903" t="str">
        <f t="shared" si="280"/>
        <v/>
      </c>
      <c r="KP660" s="1903" t="str">
        <f t="shared" si="281"/>
        <v/>
      </c>
      <c r="KQ660" s="1903" t="str">
        <f t="shared" si="282"/>
        <v/>
      </c>
      <c r="KR660" s="1903" t="str">
        <f t="shared" si="283"/>
        <v/>
      </c>
      <c r="KS660" s="1903" t="str">
        <f t="shared" si="284"/>
        <v/>
      </c>
      <c r="KT660" s="1903" t="str">
        <f t="shared" si="285"/>
        <v/>
      </c>
      <c r="KU660" s="1903" t="str">
        <f t="shared" si="286"/>
        <v/>
      </c>
      <c r="KV660" s="1903" t="str">
        <f t="shared" si="287"/>
        <v/>
      </c>
      <c r="KW660" s="1903" t="str">
        <f t="shared" si="288"/>
        <v/>
      </c>
      <c r="KX660" s="1903" t="str">
        <f t="shared" si="289"/>
        <v/>
      </c>
      <c r="KY660" s="1903" t="str">
        <f t="shared" si="290"/>
        <v/>
      </c>
      <c r="KZ660" s="1903" t="str">
        <f t="shared" si="291"/>
        <v/>
      </c>
      <c r="LA660" s="1903" t="str">
        <f t="shared" si="292"/>
        <v/>
      </c>
      <c r="LB660" s="1903" t="str">
        <f t="shared" si="293"/>
        <v/>
      </c>
      <c r="LC660" s="1903" t="str">
        <f t="shared" si="294"/>
        <v/>
      </c>
      <c r="LD660" s="1903" t="str">
        <f t="shared" si="295"/>
        <v/>
      </c>
      <c r="LE660" s="1903" t="str">
        <f t="shared" si="296"/>
        <v/>
      </c>
      <c r="LF660" s="1903" t="str">
        <f t="shared" si="297"/>
        <v/>
      </c>
      <c r="LG660" s="1750" t="str">
        <f t="shared" si="298"/>
        <v/>
      </c>
      <c r="LH660" s="1750" t="str">
        <f t="shared" si="299"/>
        <v/>
      </c>
      <c r="LI660" s="1750" t="str">
        <f t="shared" si="300"/>
        <v/>
      </c>
      <c r="LJ660" s="1750" t="str">
        <f t="shared" si="301"/>
        <v/>
      </c>
      <c r="LK660" s="1750" t="str">
        <f t="shared" si="302"/>
        <v/>
      </c>
      <c r="LL660" s="357" t="str">
        <f t="shared" si="303"/>
        <v/>
      </c>
      <c r="LM660" s="357" t="str">
        <f t="shared" si="304"/>
        <v/>
      </c>
      <c r="LN660" s="357" t="str">
        <f t="shared" si="305"/>
        <v/>
      </c>
      <c r="LO660" s="357" t="str">
        <f t="shared" si="306"/>
        <v/>
      </c>
      <c r="LP660" s="357" t="str">
        <f t="shared" si="307"/>
        <v/>
      </c>
      <c r="LQ660" s="357" t="str">
        <f t="shared" si="308"/>
        <v/>
      </c>
      <c r="LR660" s="357" t="str">
        <f t="shared" si="309"/>
        <v/>
      </c>
      <c r="LS660" s="357" t="str">
        <f t="shared" si="310"/>
        <v/>
      </c>
      <c r="LT660" s="357" t="str">
        <f t="shared" si="311"/>
        <v/>
      </c>
      <c r="LU660" s="357" t="str">
        <f t="shared" si="312"/>
        <v/>
      </c>
      <c r="LV660" s="357" t="str">
        <f t="shared" si="313"/>
        <v/>
      </c>
      <c r="LW660" s="357" t="str">
        <f t="shared" si="314"/>
        <v/>
      </c>
      <c r="LX660" s="357" t="str">
        <f t="shared" si="315"/>
        <v/>
      </c>
      <c r="LY660" s="357" t="str">
        <f t="shared" si="316"/>
        <v/>
      </c>
      <c r="LZ660" s="357" t="str">
        <f t="shared" si="317"/>
        <v/>
      </c>
      <c r="MA660" s="357" t="str">
        <f t="shared" si="318"/>
        <v/>
      </c>
      <c r="MB660" s="357" t="str">
        <f t="shared" si="319"/>
        <v/>
      </c>
      <c r="MC660" s="357" t="str">
        <f t="shared" si="320"/>
        <v/>
      </c>
      <c r="MD660" s="357" t="str">
        <f t="shared" si="321"/>
        <v/>
      </c>
      <c r="ME660" s="357" t="str">
        <f t="shared" si="322"/>
        <v/>
      </c>
      <c r="MF660" s="1750">
        <f t="shared" si="323"/>
        <v>0</v>
      </c>
      <c r="MG660" s="1750">
        <f t="shared" si="324"/>
        <v>0</v>
      </c>
      <c r="MH660" s="1750">
        <f t="shared" si="325"/>
        <v>0</v>
      </c>
      <c r="MI660" s="1750">
        <f t="shared" si="326"/>
        <v>0</v>
      </c>
      <c r="MJ660" s="1750">
        <f t="shared" si="327"/>
        <v>0</v>
      </c>
      <c r="MK660" s="1750">
        <f t="shared" si="333"/>
        <v>0</v>
      </c>
      <c r="ML660" s="1750">
        <f t="shared" si="334"/>
        <v>0</v>
      </c>
      <c r="MM660" s="1750">
        <f t="shared" si="335"/>
        <v>15</v>
      </c>
      <c r="MN660" s="1750">
        <f t="shared" si="336"/>
        <v>0</v>
      </c>
      <c r="MO660" s="1750">
        <f t="shared" si="337"/>
        <v>0</v>
      </c>
      <c r="MP660" s="1750">
        <f t="shared" si="328"/>
        <v>0</v>
      </c>
      <c r="MQ660" s="1750">
        <f t="shared" si="329"/>
        <v>0</v>
      </c>
      <c r="MR660" s="1750">
        <f t="shared" si="330"/>
        <v>0</v>
      </c>
      <c r="MS660" s="1750">
        <f t="shared" si="331"/>
        <v>0</v>
      </c>
      <c r="MT660" s="1750">
        <f t="shared" si="332"/>
        <v>0</v>
      </c>
      <c r="NP660" s="357" t="s">
        <v>6425</v>
      </c>
    </row>
    <row r="661" spans="1:380" ht="13.9" customHeight="1">
      <c r="A661" s="1901" t="str">
        <f t="shared" si="0"/>
        <v/>
      </c>
      <c r="B661" s="2238">
        <f>'Part V-Revenues &amp; Expenses'!B23</f>
        <v>60</v>
      </c>
      <c r="C661" s="2229">
        <f>'Part V-Revenues &amp; Expenses'!C23</f>
        <v>2</v>
      </c>
      <c r="D661" s="2230">
        <f>'Part V-Revenues &amp; Expenses'!D23</f>
        <v>2</v>
      </c>
      <c r="E661" s="2231">
        <f>'Part V-Revenues &amp; Expenses'!E23</f>
        <v>2</v>
      </c>
      <c r="F661" s="2231">
        <f>'Part V-Revenues &amp; Expenses'!F23</f>
        <v>1156</v>
      </c>
      <c r="G661" s="2231">
        <f>'Part V-Revenues &amp; Expenses'!G23</f>
        <v>1180</v>
      </c>
      <c r="H661" s="2231">
        <f>'Part V-Revenues &amp; Expenses'!H23</f>
        <v>1080</v>
      </c>
      <c r="I661" s="2231">
        <f>'Part V-Revenues &amp; Expenses'!I23</f>
        <v>0</v>
      </c>
      <c r="J661" s="2231">
        <f>'Part V-Revenues &amp; Expenses'!J23</f>
        <v>77</v>
      </c>
      <c r="K661" s="2232">
        <f>'Part V-Revenues &amp; Expenses'!K23</f>
        <v>0</v>
      </c>
      <c r="L661" s="2233">
        <f t="shared" si="338"/>
        <v>1003</v>
      </c>
      <c r="M661" s="2233">
        <f t="shared" si="339"/>
        <v>2006</v>
      </c>
      <c r="N661" s="2094" t="str">
        <f>'Part V-Revenues &amp; Expenses'!N23</f>
        <v>No</v>
      </c>
      <c r="O661" s="2234" t="str">
        <f>'Part V-Revenues &amp; Expenses'!O23</f>
        <v>Low-Rise Apt</v>
      </c>
      <c r="P661" s="2094" t="str">
        <f>'Part V-Revenues &amp; Expenses'!P23</f>
        <v>New Construction</v>
      </c>
      <c r="Q661" s="2235" t="str">
        <f>'Part V-Revenues &amp; Expenses'!Q23</f>
        <v>No</v>
      </c>
      <c r="R661" s="2236"/>
      <c r="S661" s="2237"/>
      <c r="T661" s="2160"/>
      <c r="U661" s="2160"/>
      <c r="V661" s="2160"/>
      <c r="W661" s="2160"/>
      <c r="X661" s="357" t="str">
        <f t="shared" si="3"/>
        <v/>
      </c>
      <c r="Y661" s="357" t="str">
        <f t="shared" si="4"/>
        <v/>
      </c>
      <c r="Z661" s="357" t="str">
        <f t="shared" si="5"/>
        <v/>
      </c>
      <c r="AA661" s="357" t="str">
        <f t="shared" si="6"/>
        <v/>
      </c>
      <c r="AB661" s="357" t="str">
        <f t="shared" si="7"/>
        <v/>
      </c>
      <c r="AC661" s="357" t="str">
        <f t="shared" si="8"/>
        <v/>
      </c>
      <c r="AD661" s="357" t="str">
        <f t="shared" si="9"/>
        <v/>
      </c>
      <c r="AE661" s="357" t="str">
        <f t="shared" si="10"/>
        <v/>
      </c>
      <c r="AF661" s="357" t="str">
        <f t="shared" si="11"/>
        <v/>
      </c>
      <c r="AG661" s="357" t="str">
        <f t="shared" si="12"/>
        <v/>
      </c>
      <c r="AH661" s="357" t="str">
        <f t="shared" si="13"/>
        <v/>
      </c>
      <c r="AI661" s="357" t="str">
        <f t="shared" si="14"/>
        <v/>
      </c>
      <c r="AJ661" s="357">
        <f t="shared" si="15"/>
        <v>2</v>
      </c>
      <c r="AK661" s="357" t="str">
        <f t="shared" si="16"/>
        <v/>
      </c>
      <c r="AL661" s="357" t="str">
        <f t="shared" si="17"/>
        <v/>
      </c>
      <c r="AM661" s="357" t="str">
        <f t="shared" si="18"/>
        <v/>
      </c>
      <c r="AN661" s="357" t="str">
        <f t="shared" si="19"/>
        <v/>
      </c>
      <c r="AO661" s="357" t="str">
        <f t="shared" si="20"/>
        <v/>
      </c>
      <c r="AP661" s="357" t="str">
        <f t="shared" si="21"/>
        <v/>
      </c>
      <c r="AQ661" s="357" t="str">
        <f t="shared" si="22"/>
        <v/>
      </c>
      <c r="AR661" s="357" t="str">
        <f t="shared" si="23"/>
        <v/>
      </c>
      <c r="AS661" s="357" t="str">
        <f t="shared" si="24"/>
        <v/>
      </c>
      <c r="AT661" s="357" t="str">
        <f t="shared" si="25"/>
        <v/>
      </c>
      <c r="AU661" s="357" t="str">
        <f t="shared" si="26"/>
        <v/>
      </c>
      <c r="AV661" s="357" t="str">
        <f t="shared" si="27"/>
        <v/>
      </c>
      <c r="AW661" s="357" t="str">
        <f t="shared" si="28"/>
        <v/>
      </c>
      <c r="AX661" s="357" t="str">
        <f t="shared" si="29"/>
        <v/>
      </c>
      <c r="AY661" s="357" t="str">
        <f t="shared" si="30"/>
        <v/>
      </c>
      <c r="AZ661" s="357" t="str">
        <f t="shared" si="31"/>
        <v/>
      </c>
      <c r="BA661" s="357" t="str">
        <f t="shared" si="32"/>
        <v/>
      </c>
      <c r="BB661" s="357" t="str">
        <f t="shared" si="33"/>
        <v/>
      </c>
      <c r="BC661" s="357" t="str">
        <f t="shared" si="34"/>
        <v/>
      </c>
      <c r="BD661" s="357" t="str">
        <f t="shared" si="35"/>
        <v/>
      </c>
      <c r="BE661" s="357" t="str">
        <f t="shared" si="36"/>
        <v/>
      </c>
      <c r="BF661" s="357" t="str">
        <f t="shared" si="37"/>
        <v/>
      </c>
      <c r="BG661" s="357" t="str">
        <f t="shared" si="38"/>
        <v/>
      </c>
      <c r="BH661" s="357" t="str">
        <f t="shared" si="39"/>
        <v/>
      </c>
      <c r="BI661" s="357" t="str">
        <f t="shared" si="40"/>
        <v/>
      </c>
      <c r="BJ661" s="357" t="str">
        <f t="shared" si="41"/>
        <v/>
      </c>
      <c r="BK661" s="357" t="str">
        <f t="shared" si="42"/>
        <v/>
      </c>
      <c r="BL661" s="357" t="str">
        <f t="shared" si="43"/>
        <v/>
      </c>
      <c r="BM661" s="357" t="str">
        <f t="shared" si="44"/>
        <v/>
      </c>
      <c r="BN661" s="357" t="str">
        <f t="shared" si="45"/>
        <v/>
      </c>
      <c r="BO661" s="357" t="str">
        <f t="shared" si="46"/>
        <v/>
      </c>
      <c r="BP661" s="357" t="str">
        <f t="shared" si="47"/>
        <v/>
      </c>
      <c r="BQ661" s="357" t="str">
        <f t="shared" si="48"/>
        <v/>
      </c>
      <c r="BR661" s="357" t="str">
        <f t="shared" si="49"/>
        <v/>
      </c>
      <c r="BS661" s="357" t="str">
        <f t="shared" si="50"/>
        <v/>
      </c>
      <c r="BT661" s="357" t="str">
        <f t="shared" si="51"/>
        <v/>
      </c>
      <c r="BU661" s="357" t="str">
        <f t="shared" si="52"/>
        <v/>
      </c>
      <c r="BV661" s="357" t="str">
        <f t="shared" si="53"/>
        <v/>
      </c>
      <c r="BW661" s="357" t="str">
        <f t="shared" si="54"/>
        <v/>
      </c>
      <c r="BX661" s="357" t="str">
        <f t="shared" si="55"/>
        <v/>
      </c>
      <c r="BY661" s="357" t="str">
        <f t="shared" si="56"/>
        <v/>
      </c>
      <c r="BZ661" s="357" t="str">
        <f t="shared" si="57"/>
        <v/>
      </c>
      <c r="CA661" s="357" t="str">
        <f t="shared" si="58"/>
        <v/>
      </c>
      <c r="CB661" s="357" t="str">
        <f t="shared" si="59"/>
        <v/>
      </c>
      <c r="CC661" s="357" t="str">
        <f t="shared" si="60"/>
        <v/>
      </c>
      <c r="CD661" s="357" t="str">
        <f t="shared" si="61"/>
        <v/>
      </c>
      <c r="CE661" s="357" t="str">
        <f t="shared" si="62"/>
        <v/>
      </c>
      <c r="CF661" s="357" t="str">
        <f t="shared" si="63"/>
        <v/>
      </c>
      <c r="CG661" s="357" t="str">
        <f t="shared" si="64"/>
        <v/>
      </c>
      <c r="CH661" s="357" t="str">
        <f t="shared" si="65"/>
        <v/>
      </c>
      <c r="CI661" s="357" t="str">
        <f t="shared" si="66"/>
        <v/>
      </c>
      <c r="CJ661" s="357" t="str">
        <f t="shared" si="67"/>
        <v/>
      </c>
      <c r="CK661" s="357" t="str">
        <f t="shared" si="68"/>
        <v/>
      </c>
      <c r="CL661" s="357" t="str">
        <f t="shared" si="69"/>
        <v/>
      </c>
      <c r="CM661" s="357" t="str">
        <f t="shared" si="70"/>
        <v/>
      </c>
      <c r="CN661" s="357" t="str">
        <f t="shared" si="71"/>
        <v/>
      </c>
      <c r="CO661" s="357" t="str">
        <f t="shared" si="72"/>
        <v/>
      </c>
      <c r="CP661" s="357" t="str">
        <f t="shared" si="73"/>
        <v/>
      </c>
      <c r="CQ661" s="357" t="str">
        <f t="shared" si="74"/>
        <v/>
      </c>
      <c r="CR661" s="357" t="str">
        <f t="shared" si="75"/>
        <v/>
      </c>
      <c r="CS661" s="357" t="str">
        <f t="shared" si="76"/>
        <v/>
      </c>
      <c r="CT661" s="357" t="str">
        <f t="shared" si="77"/>
        <v/>
      </c>
      <c r="CU661" s="357" t="str">
        <f t="shared" si="78"/>
        <v/>
      </c>
      <c r="CV661" s="357" t="str">
        <f t="shared" si="79"/>
        <v/>
      </c>
      <c r="CW661" s="357" t="str">
        <f t="shared" si="80"/>
        <v/>
      </c>
      <c r="CX661" s="357" t="str">
        <f t="shared" si="81"/>
        <v/>
      </c>
      <c r="CY661" s="357" t="str">
        <f t="shared" si="82"/>
        <v/>
      </c>
      <c r="CZ661" s="357" t="str">
        <f t="shared" si="83"/>
        <v/>
      </c>
      <c r="DA661" s="357" t="str">
        <f t="shared" si="84"/>
        <v/>
      </c>
      <c r="DB661" s="357" t="str">
        <f t="shared" si="85"/>
        <v/>
      </c>
      <c r="DC661" s="357" t="str">
        <f t="shared" si="86"/>
        <v/>
      </c>
      <c r="DD661" s="357" t="str">
        <f t="shared" si="87"/>
        <v/>
      </c>
      <c r="DE661" s="357" t="str">
        <f t="shared" si="88"/>
        <v/>
      </c>
      <c r="DF661" s="357" t="str">
        <f t="shared" si="89"/>
        <v/>
      </c>
      <c r="DG661" s="357" t="str">
        <f t="shared" si="90"/>
        <v/>
      </c>
      <c r="DH661" s="357" t="str">
        <f t="shared" si="91"/>
        <v/>
      </c>
      <c r="DI661" s="357" t="str">
        <f t="shared" si="92"/>
        <v/>
      </c>
      <c r="DJ661" s="357" t="str">
        <f t="shared" si="93"/>
        <v/>
      </c>
      <c r="DK661" s="357" t="str">
        <f t="shared" si="94"/>
        <v/>
      </c>
      <c r="DL661" s="357" t="str">
        <f t="shared" si="95"/>
        <v/>
      </c>
      <c r="DM661" s="357" t="str">
        <f t="shared" si="96"/>
        <v/>
      </c>
      <c r="DN661" s="357" t="str">
        <f t="shared" si="97"/>
        <v/>
      </c>
      <c r="DO661" s="357" t="str">
        <f t="shared" si="98"/>
        <v/>
      </c>
      <c r="DP661" s="357" t="str">
        <f t="shared" si="99"/>
        <v/>
      </c>
      <c r="DQ661" s="357" t="str">
        <f t="shared" si="100"/>
        <v/>
      </c>
      <c r="DR661" s="357" t="str">
        <f t="shared" si="101"/>
        <v/>
      </c>
      <c r="DS661" s="357" t="str">
        <f t="shared" si="102"/>
        <v/>
      </c>
      <c r="DT661" s="357" t="str">
        <f t="shared" si="103"/>
        <v/>
      </c>
      <c r="DU661" s="357" t="str">
        <f t="shared" si="104"/>
        <v/>
      </c>
      <c r="DV661" s="357" t="str">
        <f t="shared" si="105"/>
        <v/>
      </c>
      <c r="DW661" s="357" t="str">
        <f t="shared" si="106"/>
        <v/>
      </c>
      <c r="DX661" s="357" t="str">
        <f t="shared" si="107"/>
        <v/>
      </c>
      <c r="DY661" s="357" t="str">
        <f t="shared" si="108"/>
        <v/>
      </c>
      <c r="DZ661" s="357" t="str">
        <f t="shared" si="109"/>
        <v/>
      </c>
      <c r="EA661" s="357" t="str">
        <f t="shared" si="110"/>
        <v/>
      </c>
      <c r="EB661" s="357" t="str">
        <f t="shared" si="111"/>
        <v/>
      </c>
      <c r="EC661" s="357" t="str">
        <f t="shared" si="112"/>
        <v/>
      </c>
      <c r="ED661" s="357" t="str">
        <f t="shared" si="113"/>
        <v/>
      </c>
      <c r="EE661" s="357" t="str">
        <f t="shared" si="114"/>
        <v/>
      </c>
      <c r="EF661" s="357" t="str">
        <f t="shared" si="115"/>
        <v/>
      </c>
      <c r="EG661" s="357" t="str">
        <f t="shared" si="116"/>
        <v/>
      </c>
      <c r="EH661" s="357" t="str">
        <f t="shared" si="117"/>
        <v/>
      </c>
      <c r="EI661" s="357" t="str">
        <f t="shared" si="118"/>
        <v/>
      </c>
      <c r="EJ661" s="357" t="str">
        <f t="shared" si="119"/>
        <v/>
      </c>
      <c r="EK661" s="357" t="str">
        <f t="shared" si="120"/>
        <v/>
      </c>
      <c r="EL661" s="357" t="str">
        <f t="shared" si="121"/>
        <v/>
      </c>
      <c r="EM661" s="357" t="str">
        <f t="shared" si="122"/>
        <v/>
      </c>
      <c r="EN661" s="357" t="str">
        <f t="shared" si="123"/>
        <v/>
      </c>
      <c r="EO661" s="357" t="str">
        <f t="shared" si="124"/>
        <v/>
      </c>
      <c r="EP661" s="357" t="str">
        <f t="shared" si="125"/>
        <v/>
      </c>
      <c r="EQ661" s="357" t="str">
        <f t="shared" si="126"/>
        <v/>
      </c>
      <c r="ER661" s="357" t="str">
        <f t="shared" si="127"/>
        <v/>
      </c>
      <c r="ES661" s="357" t="str">
        <f t="shared" si="128"/>
        <v/>
      </c>
      <c r="ET661" s="357" t="str">
        <f t="shared" si="129"/>
        <v/>
      </c>
      <c r="EU661" s="357">
        <f t="shared" si="130"/>
        <v>2312</v>
      </c>
      <c r="EV661" s="357" t="str">
        <f t="shared" si="131"/>
        <v/>
      </c>
      <c r="EW661" s="357" t="str">
        <f t="shared" si="132"/>
        <v/>
      </c>
      <c r="EX661" s="357" t="str">
        <f t="shared" si="133"/>
        <v/>
      </c>
      <c r="EY661" s="357" t="str">
        <f t="shared" si="134"/>
        <v/>
      </c>
      <c r="EZ661" s="357" t="str">
        <f t="shared" si="135"/>
        <v/>
      </c>
      <c r="FA661" s="357" t="str">
        <f t="shared" si="136"/>
        <v/>
      </c>
      <c r="FB661" s="357" t="str">
        <f t="shared" si="137"/>
        <v/>
      </c>
      <c r="FC661" s="357" t="str">
        <f t="shared" si="138"/>
        <v/>
      </c>
      <c r="FD661" s="357" t="str">
        <f t="shared" si="139"/>
        <v/>
      </c>
      <c r="FE661" s="357" t="str">
        <f t="shared" si="140"/>
        <v/>
      </c>
      <c r="FF661" s="357" t="str">
        <f t="shared" si="141"/>
        <v/>
      </c>
      <c r="FG661" s="357" t="str">
        <f t="shared" si="142"/>
        <v/>
      </c>
      <c r="FH661" s="357" t="str">
        <f t="shared" si="143"/>
        <v/>
      </c>
      <c r="FI661" s="357" t="str">
        <f t="shared" si="144"/>
        <v/>
      </c>
      <c r="FJ661" s="357" t="str">
        <f t="shared" si="145"/>
        <v/>
      </c>
      <c r="FK661" s="357" t="str">
        <f t="shared" si="146"/>
        <v/>
      </c>
      <c r="FL661" s="357" t="str">
        <f t="shared" si="147"/>
        <v/>
      </c>
      <c r="FM661" s="357" t="str">
        <f t="shared" si="148"/>
        <v/>
      </c>
      <c r="FN661" s="357" t="str">
        <f t="shared" si="149"/>
        <v/>
      </c>
      <c r="FO661" s="357" t="str">
        <f t="shared" si="150"/>
        <v/>
      </c>
      <c r="FP661" s="357" t="str">
        <f t="shared" si="151"/>
        <v/>
      </c>
      <c r="FQ661" s="357" t="str">
        <f t="shared" si="152"/>
        <v/>
      </c>
      <c r="FR661" s="357" t="str">
        <f t="shared" si="153"/>
        <v/>
      </c>
      <c r="FS661" s="357" t="str">
        <f t="shared" si="154"/>
        <v/>
      </c>
      <c r="FT661" s="357" t="str">
        <f t="shared" si="155"/>
        <v/>
      </c>
      <c r="FU661" s="357" t="str">
        <f t="shared" si="156"/>
        <v/>
      </c>
      <c r="FV661" s="357" t="str">
        <f t="shared" si="157"/>
        <v/>
      </c>
      <c r="FW661" s="357" t="str">
        <f t="shared" si="158"/>
        <v/>
      </c>
      <c r="FX661" s="357" t="str">
        <f t="shared" si="159"/>
        <v/>
      </c>
      <c r="FY661" s="357" t="str">
        <f t="shared" si="160"/>
        <v/>
      </c>
      <c r="FZ661" s="357" t="str">
        <f t="shared" si="161"/>
        <v/>
      </c>
      <c r="GA661" s="357" t="str">
        <f t="shared" si="162"/>
        <v/>
      </c>
      <c r="GB661" s="357" t="str">
        <f t="shared" si="163"/>
        <v/>
      </c>
      <c r="GC661" s="357" t="str">
        <f t="shared" si="164"/>
        <v/>
      </c>
      <c r="GD661" s="357" t="str">
        <f t="shared" si="165"/>
        <v/>
      </c>
      <c r="GE661" s="357" t="str">
        <f t="shared" si="166"/>
        <v/>
      </c>
      <c r="GF661" s="357" t="str">
        <f t="shared" si="167"/>
        <v/>
      </c>
      <c r="GG661" s="357" t="str">
        <f t="shared" si="168"/>
        <v/>
      </c>
      <c r="GH661" s="357" t="str">
        <f t="shared" si="169"/>
        <v/>
      </c>
      <c r="GI661" s="357">
        <f t="shared" si="170"/>
        <v>2</v>
      </c>
      <c r="GJ661" s="357" t="str">
        <f t="shared" si="171"/>
        <v/>
      </c>
      <c r="GK661" s="357" t="str">
        <f t="shared" si="172"/>
        <v/>
      </c>
      <c r="GL661" s="357" t="str">
        <f t="shared" si="173"/>
        <v/>
      </c>
      <c r="GM661" s="357" t="str">
        <f t="shared" si="174"/>
        <v/>
      </c>
      <c r="GN661" s="357" t="str">
        <f t="shared" si="175"/>
        <v/>
      </c>
      <c r="GO661" s="357" t="str">
        <f t="shared" si="176"/>
        <v/>
      </c>
      <c r="GP661" s="357" t="str">
        <f t="shared" si="177"/>
        <v/>
      </c>
      <c r="GQ661" s="357" t="str">
        <f t="shared" si="178"/>
        <v/>
      </c>
      <c r="GR661" s="357" t="str">
        <f t="shared" si="179"/>
        <v/>
      </c>
      <c r="GS661" s="357" t="str">
        <f t="shared" si="180"/>
        <v/>
      </c>
      <c r="GT661" s="357" t="str">
        <f t="shared" si="181"/>
        <v/>
      </c>
      <c r="GU661" s="357" t="str">
        <f t="shared" si="182"/>
        <v/>
      </c>
      <c r="GV661" s="357" t="str">
        <f t="shared" si="183"/>
        <v/>
      </c>
      <c r="GW661" s="357" t="str">
        <f t="shared" si="184"/>
        <v/>
      </c>
      <c r="GX661" s="357" t="str">
        <f t="shared" si="185"/>
        <v/>
      </c>
      <c r="GY661" s="357" t="str">
        <f t="shared" si="186"/>
        <v/>
      </c>
      <c r="GZ661" s="357" t="str">
        <f t="shared" si="187"/>
        <v/>
      </c>
      <c r="HA661" s="357" t="str">
        <f t="shared" si="188"/>
        <v/>
      </c>
      <c r="HB661" s="357" t="str">
        <f t="shared" si="189"/>
        <v/>
      </c>
      <c r="HC661" s="357" t="str">
        <f t="shared" si="190"/>
        <v/>
      </c>
      <c r="HD661" s="357" t="str">
        <f t="shared" si="191"/>
        <v/>
      </c>
      <c r="HE661" s="357" t="str">
        <f t="shared" si="192"/>
        <v/>
      </c>
      <c r="HF661" s="357" t="str">
        <f t="shared" si="193"/>
        <v/>
      </c>
      <c r="HG661" s="357" t="str">
        <f t="shared" si="194"/>
        <v/>
      </c>
      <c r="HH661" s="357" t="str">
        <f t="shared" si="195"/>
        <v/>
      </c>
      <c r="HI661" s="357" t="str">
        <f t="shared" si="196"/>
        <v/>
      </c>
      <c r="HJ661" s="357" t="str">
        <f t="shared" si="197"/>
        <v/>
      </c>
      <c r="HK661" s="357" t="str">
        <f t="shared" si="198"/>
        <v/>
      </c>
      <c r="HL661" s="357" t="str">
        <f t="shared" si="199"/>
        <v/>
      </c>
      <c r="HM661" s="357" t="str">
        <f t="shared" si="200"/>
        <v/>
      </c>
      <c r="HN661" s="357" t="str">
        <f t="shared" si="201"/>
        <v/>
      </c>
      <c r="HO661" s="357" t="str">
        <f t="shared" si="202"/>
        <v/>
      </c>
      <c r="HP661" s="357" t="str">
        <f t="shared" si="203"/>
        <v/>
      </c>
      <c r="HQ661" s="357" t="str">
        <f t="shared" si="204"/>
        <v/>
      </c>
      <c r="HR661" s="357" t="str">
        <f t="shared" si="205"/>
        <v/>
      </c>
      <c r="HS661" s="357" t="str">
        <f t="shared" si="206"/>
        <v/>
      </c>
      <c r="HT661" s="357" t="str">
        <f t="shared" si="207"/>
        <v/>
      </c>
      <c r="HU661" s="357" t="str">
        <f t="shared" si="208"/>
        <v/>
      </c>
      <c r="HV661" s="357" t="str">
        <f t="shared" si="209"/>
        <v/>
      </c>
      <c r="HW661" s="357" t="str">
        <f t="shared" si="210"/>
        <v/>
      </c>
      <c r="HX661" s="357" t="str">
        <f t="shared" si="211"/>
        <v/>
      </c>
      <c r="HY661" s="357" t="str">
        <f t="shared" si="212"/>
        <v/>
      </c>
      <c r="HZ661" s="1903" t="str">
        <f t="shared" si="213"/>
        <v/>
      </c>
      <c r="IA661" s="1903" t="str">
        <f t="shared" si="214"/>
        <v/>
      </c>
      <c r="IB661" s="1903">
        <f t="shared" si="215"/>
        <v>2</v>
      </c>
      <c r="IC661" s="1903" t="str">
        <f t="shared" si="216"/>
        <v/>
      </c>
      <c r="ID661" s="1903" t="str">
        <f t="shared" si="217"/>
        <v/>
      </c>
      <c r="IE661" s="1903" t="str">
        <f t="shared" si="218"/>
        <v/>
      </c>
      <c r="IF661" s="1903" t="str">
        <f t="shared" si="219"/>
        <v/>
      </c>
      <c r="IG661" s="1903" t="str">
        <f t="shared" si="220"/>
        <v/>
      </c>
      <c r="IH661" s="1903" t="str">
        <f t="shared" si="221"/>
        <v/>
      </c>
      <c r="II661" s="1903" t="str">
        <f t="shared" si="222"/>
        <v/>
      </c>
      <c r="IJ661" s="1903" t="str">
        <f t="shared" si="223"/>
        <v/>
      </c>
      <c r="IK661" s="1903" t="str">
        <f t="shared" si="224"/>
        <v/>
      </c>
      <c r="IL661" s="1903" t="str">
        <f t="shared" si="225"/>
        <v/>
      </c>
      <c r="IM661" s="1903" t="str">
        <f t="shared" si="226"/>
        <v/>
      </c>
      <c r="IN661" s="1903" t="str">
        <f t="shared" si="227"/>
        <v/>
      </c>
      <c r="IO661" s="1903" t="str">
        <f t="shared" si="228"/>
        <v/>
      </c>
      <c r="IP661" s="1903" t="str">
        <f t="shared" si="229"/>
        <v/>
      </c>
      <c r="IQ661" s="1903" t="str">
        <f t="shared" si="230"/>
        <v/>
      </c>
      <c r="IR661" s="1903" t="str">
        <f t="shared" si="231"/>
        <v/>
      </c>
      <c r="IS661" s="1903" t="str">
        <f t="shared" si="232"/>
        <v/>
      </c>
      <c r="IT661" s="1903" t="str">
        <f t="shared" si="233"/>
        <v/>
      </c>
      <c r="IU661" s="1903" t="str">
        <f t="shared" si="234"/>
        <v/>
      </c>
      <c r="IV661" s="1903" t="str">
        <f t="shared" si="235"/>
        <v/>
      </c>
      <c r="IW661" s="1903" t="str">
        <f t="shared" si="236"/>
        <v/>
      </c>
      <c r="IX661" s="1903" t="str">
        <f t="shared" si="237"/>
        <v/>
      </c>
      <c r="IY661" s="1903" t="str">
        <f t="shared" si="238"/>
        <v/>
      </c>
      <c r="IZ661" s="1903" t="str">
        <f t="shared" si="239"/>
        <v/>
      </c>
      <c r="JA661" s="1903" t="str">
        <f t="shared" si="240"/>
        <v/>
      </c>
      <c r="JB661" s="1903" t="str">
        <f t="shared" si="241"/>
        <v/>
      </c>
      <c r="JC661" s="1903" t="str">
        <f t="shared" si="242"/>
        <v/>
      </c>
      <c r="JD661" s="1903" t="str">
        <f t="shared" si="243"/>
        <v/>
      </c>
      <c r="JE661" s="1903" t="str">
        <f t="shared" si="244"/>
        <v/>
      </c>
      <c r="JF661" s="1903" t="str">
        <f t="shared" si="245"/>
        <v/>
      </c>
      <c r="JG661" s="1903" t="str">
        <f t="shared" si="246"/>
        <v/>
      </c>
      <c r="JH661" s="1903" t="str">
        <f t="shared" si="247"/>
        <v/>
      </c>
      <c r="JI661" s="1903" t="str">
        <f t="shared" si="248"/>
        <v/>
      </c>
      <c r="JJ661" s="1903" t="str">
        <f t="shared" si="249"/>
        <v/>
      </c>
      <c r="JK661" s="1903" t="str">
        <f t="shared" si="250"/>
        <v/>
      </c>
      <c r="JL661" s="1903" t="str">
        <f t="shared" si="251"/>
        <v/>
      </c>
      <c r="JM661" s="1903" t="str">
        <f t="shared" si="252"/>
        <v/>
      </c>
      <c r="JN661" s="1903" t="str">
        <f t="shared" si="253"/>
        <v/>
      </c>
      <c r="JO661" s="1903" t="str">
        <f t="shared" si="254"/>
        <v/>
      </c>
      <c r="JP661" s="1903" t="str">
        <f t="shared" si="255"/>
        <v/>
      </c>
      <c r="JQ661" s="1903" t="str">
        <f t="shared" si="256"/>
        <v/>
      </c>
      <c r="JR661" s="1903" t="str">
        <f t="shared" si="257"/>
        <v/>
      </c>
      <c r="JS661" s="1903" t="str">
        <f t="shared" si="258"/>
        <v/>
      </c>
      <c r="JT661" s="1903" t="str">
        <f t="shared" si="259"/>
        <v/>
      </c>
      <c r="JU661" s="1903">
        <f t="shared" si="260"/>
        <v>2</v>
      </c>
      <c r="JV661" s="1903" t="str">
        <f t="shared" si="261"/>
        <v/>
      </c>
      <c r="JW661" s="1903" t="str">
        <f t="shared" si="262"/>
        <v/>
      </c>
      <c r="JX661" s="1903" t="str">
        <f t="shared" si="263"/>
        <v/>
      </c>
      <c r="JY661" s="1903" t="str">
        <f t="shared" si="264"/>
        <v/>
      </c>
      <c r="JZ661" s="1903" t="str">
        <f t="shared" si="265"/>
        <v/>
      </c>
      <c r="KA661" s="1903" t="str">
        <f t="shared" si="266"/>
        <v/>
      </c>
      <c r="KB661" s="1903" t="str">
        <f t="shared" si="267"/>
        <v/>
      </c>
      <c r="KC661" s="1903" t="str">
        <f t="shared" si="268"/>
        <v/>
      </c>
      <c r="KD661" s="1903" t="str">
        <f t="shared" si="269"/>
        <v/>
      </c>
      <c r="KE661" s="1903" t="str">
        <f t="shared" si="270"/>
        <v/>
      </c>
      <c r="KF661" s="1903" t="str">
        <f t="shared" si="271"/>
        <v/>
      </c>
      <c r="KG661" s="1903" t="str">
        <f t="shared" si="272"/>
        <v/>
      </c>
      <c r="KH661" s="1903" t="str">
        <f t="shared" si="273"/>
        <v/>
      </c>
      <c r="KI661" s="1903" t="str">
        <f t="shared" si="274"/>
        <v/>
      </c>
      <c r="KJ661" s="1903" t="str">
        <f t="shared" si="275"/>
        <v/>
      </c>
      <c r="KK661" s="1903" t="str">
        <f t="shared" si="276"/>
        <v/>
      </c>
      <c r="KL661" s="1903" t="str">
        <f t="shared" si="277"/>
        <v/>
      </c>
      <c r="KM661" s="1903" t="str">
        <f t="shared" si="278"/>
        <v/>
      </c>
      <c r="KN661" s="1903" t="str">
        <f t="shared" si="279"/>
        <v/>
      </c>
      <c r="KO661" s="1903" t="str">
        <f t="shared" si="280"/>
        <v/>
      </c>
      <c r="KP661" s="1903" t="str">
        <f t="shared" si="281"/>
        <v/>
      </c>
      <c r="KQ661" s="1903" t="str">
        <f t="shared" si="282"/>
        <v/>
      </c>
      <c r="KR661" s="1903" t="str">
        <f t="shared" si="283"/>
        <v/>
      </c>
      <c r="KS661" s="1903" t="str">
        <f t="shared" si="284"/>
        <v/>
      </c>
      <c r="KT661" s="1903" t="str">
        <f t="shared" si="285"/>
        <v/>
      </c>
      <c r="KU661" s="1903" t="str">
        <f t="shared" si="286"/>
        <v/>
      </c>
      <c r="KV661" s="1903" t="str">
        <f t="shared" si="287"/>
        <v/>
      </c>
      <c r="KW661" s="1903" t="str">
        <f t="shared" si="288"/>
        <v/>
      </c>
      <c r="KX661" s="1903" t="str">
        <f t="shared" si="289"/>
        <v/>
      </c>
      <c r="KY661" s="1903" t="str">
        <f t="shared" si="290"/>
        <v/>
      </c>
      <c r="KZ661" s="1903" t="str">
        <f t="shared" si="291"/>
        <v/>
      </c>
      <c r="LA661" s="1903" t="str">
        <f t="shared" si="292"/>
        <v/>
      </c>
      <c r="LB661" s="1903" t="str">
        <f t="shared" si="293"/>
        <v/>
      </c>
      <c r="LC661" s="1903" t="str">
        <f t="shared" si="294"/>
        <v/>
      </c>
      <c r="LD661" s="1903" t="str">
        <f t="shared" si="295"/>
        <v/>
      </c>
      <c r="LE661" s="1903" t="str">
        <f t="shared" si="296"/>
        <v/>
      </c>
      <c r="LF661" s="1903" t="str">
        <f t="shared" si="297"/>
        <v/>
      </c>
      <c r="LG661" s="1750" t="str">
        <f t="shared" si="298"/>
        <v/>
      </c>
      <c r="LH661" s="1750" t="str">
        <f t="shared" si="299"/>
        <v/>
      </c>
      <c r="LI661" s="1750" t="str">
        <f t="shared" si="300"/>
        <v/>
      </c>
      <c r="LJ661" s="1750" t="str">
        <f t="shared" si="301"/>
        <v/>
      </c>
      <c r="LK661" s="1750" t="str">
        <f t="shared" si="302"/>
        <v/>
      </c>
      <c r="LL661" s="357" t="str">
        <f t="shared" si="303"/>
        <v/>
      </c>
      <c r="LM661" s="357" t="str">
        <f t="shared" si="304"/>
        <v/>
      </c>
      <c r="LN661" s="357" t="str">
        <f t="shared" si="305"/>
        <v/>
      </c>
      <c r="LO661" s="357" t="str">
        <f t="shared" si="306"/>
        <v/>
      </c>
      <c r="LP661" s="357" t="str">
        <f t="shared" si="307"/>
        <v/>
      </c>
      <c r="LQ661" s="357" t="str">
        <f t="shared" si="308"/>
        <v/>
      </c>
      <c r="LR661" s="357" t="str">
        <f t="shared" si="309"/>
        <v/>
      </c>
      <c r="LS661" s="357" t="str">
        <f t="shared" si="310"/>
        <v/>
      </c>
      <c r="LT661" s="357" t="str">
        <f t="shared" si="311"/>
        <v/>
      </c>
      <c r="LU661" s="357" t="str">
        <f t="shared" si="312"/>
        <v/>
      </c>
      <c r="LV661" s="357" t="str">
        <f t="shared" si="313"/>
        <v/>
      </c>
      <c r="LW661" s="357" t="str">
        <f t="shared" si="314"/>
        <v/>
      </c>
      <c r="LX661" s="357" t="str">
        <f t="shared" si="315"/>
        <v/>
      </c>
      <c r="LY661" s="357" t="str">
        <f t="shared" si="316"/>
        <v/>
      </c>
      <c r="LZ661" s="357" t="str">
        <f t="shared" si="317"/>
        <v/>
      </c>
      <c r="MA661" s="357" t="str">
        <f t="shared" si="318"/>
        <v/>
      </c>
      <c r="MB661" s="357" t="str">
        <f t="shared" si="319"/>
        <v/>
      </c>
      <c r="MC661" s="357" t="str">
        <f t="shared" si="320"/>
        <v/>
      </c>
      <c r="MD661" s="357" t="str">
        <f t="shared" si="321"/>
        <v/>
      </c>
      <c r="ME661" s="357" t="str">
        <f t="shared" si="322"/>
        <v/>
      </c>
      <c r="MF661" s="1750">
        <f t="shared" si="323"/>
        <v>0</v>
      </c>
      <c r="MG661" s="1750">
        <f t="shared" si="324"/>
        <v>0</v>
      </c>
      <c r="MH661" s="1750">
        <f t="shared" si="325"/>
        <v>0</v>
      </c>
      <c r="MI661" s="1750">
        <f t="shared" si="326"/>
        <v>0</v>
      </c>
      <c r="MJ661" s="1750">
        <f t="shared" si="327"/>
        <v>0</v>
      </c>
      <c r="MK661" s="1750">
        <f t="shared" si="333"/>
        <v>0</v>
      </c>
      <c r="ML661" s="1750">
        <f t="shared" si="334"/>
        <v>0</v>
      </c>
      <c r="MM661" s="1750">
        <f t="shared" si="335"/>
        <v>2</v>
      </c>
      <c r="MN661" s="1750">
        <f t="shared" si="336"/>
        <v>0</v>
      </c>
      <c r="MO661" s="1750">
        <f t="shared" si="337"/>
        <v>0</v>
      </c>
      <c r="MP661" s="1750">
        <f t="shared" si="328"/>
        <v>0</v>
      </c>
      <c r="MQ661" s="1750">
        <f t="shared" si="329"/>
        <v>0</v>
      </c>
      <c r="MR661" s="1750">
        <f t="shared" si="330"/>
        <v>0</v>
      </c>
      <c r="MS661" s="1750">
        <f t="shared" si="331"/>
        <v>0</v>
      </c>
      <c r="MT661" s="1750">
        <f t="shared" si="332"/>
        <v>0</v>
      </c>
      <c r="NP661" s="357" t="s">
        <v>6426</v>
      </c>
    </row>
    <row r="662" spans="1:380" ht="13.9" customHeight="1">
      <c r="A662" s="1901" t="str">
        <f t="shared" si="0"/>
        <v/>
      </c>
      <c r="B662" s="2238">
        <f>'Part V-Revenues &amp; Expenses'!B24</f>
        <v>80</v>
      </c>
      <c r="C662" s="2229">
        <f>'Part V-Revenues &amp; Expenses'!C24</f>
        <v>2</v>
      </c>
      <c r="D662" s="2230">
        <f>'Part V-Revenues &amp; Expenses'!D24</f>
        <v>2</v>
      </c>
      <c r="E662" s="2231">
        <f>'Part V-Revenues &amp; Expenses'!E24</f>
        <v>7</v>
      </c>
      <c r="F662" s="2231">
        <f>'Part V-Revenues &amp; Expenses'!F24</f>
        <v>1156</v>
      </c>
      <c r="G662" s="2231">
        <f>'Part V-Revenues &amp; Expenses'!G24</f>
        <v>1574</v>
      </c>
      <c r="H662" s="2231">
        <f>'Part V-Revenues &amp; Expenses'!H24</f>
        <v>1324</v>
      </c>
      <c r="I662" s="2231">
        <f>'Part V-Revenues &amp; Expenses'!I24</f>
        <v>0</v>
      </c>
      <c r="J662" s="2231">
        <f>'Part V-Revenues &amp; Expenses'!J24</f>
        <v>77</v>
      </c>
      <c r="K662" s="2232">
        <f>'Part V-Revenues &amp; Expenses'!K24</f>
        <v>0</v>
      </c>
      <c r="L662" s="2233">
        <f t="shared" si="338"/>
        <v>1247</v>
      </c>
      <c r="M662" s="2233">
        <f t="shared" si="339"/>
        <v>8729</v>
      </c>
      <c r="N662" s="2094" t="str">
        <f>'Part V-Revenues &amp; Expenses'!N24</f>
        <v>No</v>
      </c>
      <c r="O662" s="2234" t="str">
        <f>'Part V-Revenues &amp; Expenses'!O24</f>
        <v>Low-Rise Apt</v>
      </c>
      <c r="P662" s="2094" t="str">
        <f>'Part V-Revenues &amp; Expenses'!P24</f>
        <v>New Construction</v>
      </c>
      <c r="Q662" s="2235" t="str">
        <f>'Part V-Revenues &amp; Expenses'!Q24</f>
        <v>No</v>
      </c>
      <c r="R662" s="2236"/>
      <c r="S662" s="2237"/>
      <c r="T662" s="2160"/>
      <c r="U662" s="2160"/>
      <c r="V662" s="2160"/>
      <c r="W662" s="2160"/>
      <c r="X662" s="357" t="str">
        <f t="shared" si="3"/>
        <v/>
      </c>
      <c r="Y662" s="357" t="str">
        <f t="shared" si="4"/>
        <v/>
      </c>
      <c r="Z662" s="357">
        <f t="shared" si="5"/>
        <v>7</v>
      </c>
      <c r="AA662" s="357" t="str">
        <f t="shared" si="6"/>
        <v/>
      </c>
      <c r="AB662" s="357" t="str">
        <f t="shared" si="7"/>
        <v/>
      </c>
      <c r="AC662" s="357" t="str">
        <f t="shared" si="8"/>
        <v/>
      </c>
      <c r="AD662" s="357" t="str">
        <f t="shared" si="9"/>
        <v/>
      </c>
      <c r="AE662" s="357" t="str">
        <f t="shared" si="10"/>
        <v/>
      </c>
      <c r="AF662" s="357" t="str">
        <f t="shared" si="11"/>
        <v/>
      </c>
      <c r="AG662" s="357" t="str">
        <f t="shared" si="12"/>
        <v/>
      </c>
      <c r="AH662" s="357" t="str">
        <f t="shared" si="13"/>
        <v/>
      </c>
      <c r="AI662" s="357" t="str">
        <f t="shared" si="14"/>
        <v/>
      </c>
      <c r="AJ662" s="357" t="str">
        <f t="shared" si="15"/>
        <v/>
      </c>
      <c r="AK662" s="357" t="str">
        <f t="shared" si="16"/>
        <v/>
      </c>
      <c r="AL662" s="357" t="str">
        <f t="shared" si="17"/>
        <v/>
      </c>
      <c r="AM662" s="357" t="str">
        <f t="shared" si="18"/>
        <v/>
      </c>
      <c r="AN662" s="357" t="str">
        <f t="shared" si="19"/>
        <v/>
      </c>
      <c r="AO662" s="357" t="str">
        <f t="shared" si="20"/>
        <v/>
      </c>
      <c r="AP662" s="357" t="str">
        <f t="shared" si="21"/>
        <v/>
      </c>
      <c r="AQ662" s="357" t="str">
        <f t="shared" si="22"/>
        <v/>
      </c>
      <c r="AR662" s="357" t="str">
        <f t="shared" si="23"/>
        <v/>
      </c>
      <c r="AS662" s="357" t="str">
        <f t="shared" si="24"/>
        <v/>
      </c>
      <c r="AT662" s="357" t="str">
        <f t="shared" si="25"/>
        <v/>
      </c>
      <c r="AU662" s="357" t="str">
        <f t="shared" si="26"/>
        <v/>
      </c>
      <c r="AV662" s="357" t="str">
        <f t="shared" si="27"/>
        <v/>
      </c>
      <c r="AW662" s="357" t="str">
        <f t="shared" si="28"/>
        <v/>
      </c>
      <c r="AX662" s="357" t="str">
        <f t="shared" si="29"/>
        <v/>
      </c>
      <c r="AY662" s="357" t="str">
        <f t="shared" si="30"/>
        <v/>
      </c>
      <c r="AZ662" s="357" t="str">
        <f t="shared" si="31"/>
        <v/>
      </c>
      <c r="BA662" s="357" t="str">
        <f t="shared" si="32"/>
        <v/>
      </c>
      <c r="BB662" s="357" t="str">
        <f t="shared" si="33"/>
        <v/>
      </c>
      <c r="BC662" s="357" t="str">
        <f t="shared" si="34"/>
        <v/>
      </c>
      <c r="BD662" s="357" t="str">
        <f t="shared" si="35"/>
        <v/>
      </c>
      <c r="BE662" s="357" t="str">
        <f t="shared" si="36"/>
        <v/>
      </c>
      <c r="BF662" s="357" t="str">
        <f t="shared" si="37"/>
        <v/>
      </c>
      <c r="BG662" s="357" t="str">
        <f t="shared" si="38"/>
        <v/>
      </c>
      <c r="BH662" s="357" t="str">
        <f t="shared" si="39"/>
        <v/>
      </c>
      <c r="BI662" s="357" t="str">
        <f t="shared" si="40"/>
        <v/>
      </c>
      <c r="BJ662" s="357" t="str">
        <f t="shared" si="41"/>
        <v/>
      </c>
      <c r="BK662" s="357" t="str">
        <f t="shared" si="42"/>
        <v/>
      </c>
      <c r="BL662" s="357" t="str">
        <f t="shared" si="43"/>
        <v/>
      </c>
      <c r="BM662" s="357" t="str">
        <f t="shared" si="44"/>
        <v/>
      </c>
      <c r="BN662" s="357" t="str">
        <f t="shared" si="45"/>
        <v/>
      </c>
      <c r="BO662" s="357" t="str">
        <f t="shared" si="46"/>
        <v/>
      </c>
      <c r="BP662" s="357" t="str">
        <f t="shared" si="47"/>
        <v/>
      </c>
      <c r="BQ662" s="357" t="str">
        <f t="shared" si="48"/>
        <v/>
      </c>
      <c r="BR662" s="357" t="str">
        <f t="shared" si="49"/>
        <v/>
      </c>
      <c r="BS662" s="357" t="str">
        <f t="shared" si="50"/>
        <v/>
      </c>
      <c r="BT662" s="357" t="str">
        <f t="shared" si="51"/>
        <v/>
      </c>
      <c r="BU662" s="357" t="str">
        <f t="shared" si="52"/>
        <v/>
      </c>
      <c r="BV662" s="357" t="str">
        <f t="shared" si="53"/>
        <v/>
      </c>
      <c r="BW662" s="357" t="str">
        <f t="shared" si="54"/>
        <v/>
      </c>
      <c r="BX662" s="357" t="str">
        <f t="shared" si="55"/>
        <v/>
      </c>
      <c r="BY662" s="357" t="str">
        <f t="shared" si="56"/>
        <v/>
      </c>
      <c r="BZ662" s="357" t="str">
        <f t="shared" si="57"/>
        <v/>
      </c>
      <c r="CA662" s="357" t="str">
        <f t="shared" si="58"/>
        <v/>
      </c>
      <c r="CB662" s="357" t="str">
        <f t="shared" si="59"/>
        <v/>
      </c>
      <c r="CC662" s="357" t="str">
        <f t="shared" si="60"/>
        <v/>
      </c>
      <c r="CD662" s="357" t="str">
        <f t="shared" si="61"/>
        <v/>
      </c>
      <c r="CE662" s="357" t="str">
        <f t="shared" si="62"/>
        <v/>
      </c>
      <c r="CF662" s="357" t="str">
        <f t="shared" si="63"/>
        <v/>
      </c>
      <c r="CG662" s="357" t="str">
        <f t="shared" si="64"/>
        <v/>
      </c>
      <c r="CH662" s="357" t="str">
        <f t="shared" si="65"/>
        <v/>
      </c>
      <c r="CI662" s="357" t="str">
        <f t="shared" si="66"/>
        <v/>
      </c>
      <c r="CJ662" s="357" t="str">
        <f t="shared" si="67"/>
        <v/>
      </c>
      <c r="CK662" s="357" t="str">
        <f t="shared" si="68"/>
        <v/>
      </c>
      <c r="CL662" s="357" t="str">
        <f t="shared" si="69"/>
        <v/>
      </c>
      <c r="CM662" s="357" t="str">
        <f t="shared" si="70"/>
        <v/>
      </c>
      <c r="CN662" s="357" t="str">
        <f t="shared" si="71"/>
        <v/>
      </c>
      <c r="CO662" s="357" t="str">
        <f t="shared" si="72"/>
        <v/>
      </c>
      <c r="CP662" s="357" t="str">
        <f t="shared" si="73"/>
        <v/>
      </c>
      <c r="CQ662" s="357" t="str">
        <f t="shared" si="74"/>
        <v/>
      </c>
      <c r="CR662" s="357">
        <f t="shared" si="75"/>
        <v>7</v>
      </c>
      <c r="CS662" s="357" t="str">
        <f t="shared" si="76"/>
        <v/>
      </c>
      <c r="CT662" s="357" t="str">
        <f t="shared" si="77"/>
        <v/>
      </c>
      <c r="CU662" s="357" t="str">
        <f t="shared" si="78"/>
        <v/>
      </c>
      <c r="CV662" s="357" t="str">
        <f t="shared" si="79"/>
        <v/>
      </c>
      <c r="CW662" s="357" t="str">
        <f t="shared" si="80"/>
        <v/>
      </c>
      <c r="CX662" s="357" t="str">
        <f t="shared" si="81"/>
        <v/>
      </c>
      <c r="CY662" s="357" t="str">
        <f t="shared" si="82"/>
        <v/>
      </c>
      <c r="CZ662" s="357" t="str">
        <f t="shared" si="83"/>
        <v/>
      </c>
      <c r="DA662" s="357" t="str">
        <f t="shared" si="84"/>
        <v/>
      </c>
      <c r="DB662" s="357" t="str">
        <f t="shared" si="85"/>
        <v/>
      </c>
      <c r="DC662" s="357" t="str">
        <f t="shared" si="86"/>
        <v/>
      </c>
      <c r="DD662" s="357" t="str">
        <f t="shared" si="87"/>
        <v/>
      </c>
      <c r="DE662" s="357" t="str">
        <f t="shared" si="88"/>
        <v/>
      </c>
      <c r="DF662" s="357" t="str">
        <f t="shared" si="89"/>
        <v/>
      </c>
      <c r="DG662" s="357" t="str">
        <f t="shared" si="90"/>
        <v/>
      </c>
      <c r="DH662" s="357" t="str">
        <f t="shared" si="91"/>
        <v/>
      </c>
      <c r="DI662" s="357" t="str">
        <f t="shared" si="92"/>
        <v/>
      </c>
      <c r="DJ662" s="357" t="str">
        <f t="shared" si="93"/>
        <v/>
      </c>
      <c r="DK662" s="357" t="str">
        <f t="shared" si="94"/>
        <v/>
      </c>
      <c r="DL662" s="357" t="str">
        <f t="shared" si="95"/>
        <v/>
      </c>
      <c r="DM662" s="357" t="str">
        <f t="shared" si="96"/>
        <v/>
      </c>
      <c r="DN662" s="357" t="str">
        <f t="shared" si="97"/>
        <v/>
      </c>
      <c r="DO662" s="357" t="str">
        <f t="shared" si="98"/>
        <v/>
      </c>
      <c r="DP662" s="357" t="str">
        <f t="shared" si="99"/>
        <v/>
      </c>
      <c r="DQ662" s="357" t="str">
        <f t="shared" si="100"/>
        <v/>
      </c>
      <c r="DR662" s="357" t="str">
        <f t="shared" si="101"/>
        <v/>
      </c>
      <c r="DS662" s="357" t="str">
        <f t="shared" si="102"/>
        <v/>
      </c>
      <c r="DT662" s="357" t="str">
        <f t="shared" si="103"/>
        <v/>
      </c>
      <c r="DU662" s="357" t="str">
        <f t="shared" si="104"/>
        <v/>
      </c>
      <c r="DV662" s="357" t="str">
        <f t="shared" si="105"/>
        <v/>
      </c>
      <c r="DW662" s="357" t="str">
        <f t="shared" si="106"/>
        <v/>
      </c>
      <c r="DX662" s="357" t="str">
        <f t="shared" si="107"/>
        <v/>
      </c>
      <c r="DY662" s="357" t="str">
        <f t="shared" si="108"/>
        <v/>
      </c>
      <c r="DZ662" s="357" t="str">
        <f t="shared" si="109"/>
        <v/>
      </c>
      <c r="EA662" s="357" t="str">
        <f t="shared" si="110"/>
        <v/>
      </c>
      <c r="EB662" s="357" t="str">
        <f t="shared" si="111"/>
        <v/>
      </c>
      <c r="EC662" s="357" t="str">
        <f t="shared" si="112"/>
        <v/>
      </c>
      <c r="ED662" s="357" t="str">
        <f t="shared" si="113"/>
        <v/>
      </c>
      <c r="EE662" s="357" t="str">
        <f t="shared" si="114"/>
        <v/>
      </c>
      <c r="EF662" s="357" t="str">
        <f t="shared" si="115"/>
        <v/>
      </c>
      <c r="EG662" s="357" t="str">
        <f t="shared" si="116"/>
        <v/>
      </c>
      <c r="EH662" s="357" t="str">
        <f t="shared" si="117"/>
        <v/>
      </c>
      <c r="EI662" s="357" t="str">
        <f t="shared" si="118"/>
        <v/>
      </c>
      <c r="EJ662" s="357" t="str">
        <f t="shared" si="119"/>
        <v/>
      </c>
      <c r="EK662" s="357">
        <f t="shared" si="120"/>
        <v>8092</v>
      </c>
      <c r="EL662" s="357" t="str">
        <f t="shared" si="121"/>
        <v/>
      </c>
      <c r="EM662" s="357" t="str">
        <f t="shared" si="122"/>
        <v/>
      </c>
      <c r="EN662" s="357" t="str">
        <f t="shared" si="123"/>
        <v/>
      </c>
      <c r="EO662" s="357" t="str">
        <f t="shared" si="124"/>
        <v/>
      </c>
      <c r="EP662" s="357" t="str">
        <f t="shared" si="125"/>
        <v/>
      </c>
      <c r="EQ662" s="357" t="str">
        <f t="shared" si="126"/>
        <v/>
      </c>
      <c r="ER662" s="357" t="str">
        <f t="shared" si="127"/>
        <v/>
      </c>
      <c r="ES662" s="357" t="str">
        <f t="shared" si="128"/>
        <v/>
      </c>
      <c r="ET662" s="357" t="str">
        <f t="shared" si="129"/>
        <v/>
      </c>
      <c r="EU662" s="357" t="str">
        <f t="shared" si="130"/>
        <v/>
      </c>
      <c r="EV662" s="357" t="str">
        <f t="shared" si="131"/>
        <v/>
      </c>
      <c r="EW662" s="357" t="str">
        <f t="shared" si="132"/>
        <v/>
      </c>
      <c r="EX662" s="357" t="str">
        <f t="shared" si="133"/>
        <v/>
      </c>
      <c r="EY662" s="357" t="str">
        <f t="shared" si="134"/>
        <v/>
      </c>
      <c r="EZ662" s="357" t="str">
        <f t="shared" si="135"/>
        <v/>
      </c>
      <c r="FA662" s="357" t="str">
        <f t="shared" si="136"/>
        <v/>
      </c>
      <c r="FB662" s="357" t="str">
        <f t="shared" si="137"/>
        <v/>
      </c>
      <c r="FC662" s="357" t="str">
        <f t="shared" si="138"/>
        <v/>
      </c>
      <c r="FD662" s="357" t="str">
        <f t="shared" si="139"/>
        <v/>
      </c>
      <c r="FE662" s="357" t="str">
        <f t="shared" si="140"/>
        <v/>
      </c>
      <c r="FF662" s="357" t="str">
        <f t="shared" si="141"/>
        <v/>
      </c>
      <c r="FG662" s="357" t="str">
        <f t="shared" si="142"/>
        <v/>
      </c>
      <c r="FH662" s="357" t="str">
        <f t="shared" si="143"/>
        <v/>
      </c>
      <c r="FI662" s="357" t="str">
        <f t="shared" si="144"/>
        <v/>
      </c>
      <c r="FJ662" s="357" t="str">
        <f t="shared" si="145"/>
        <v/>
      </c>
      <c r="FK662" s="357" t="str">
        <f t="shared" si="146"/>
        <v/>
      </c>
      <c r="FL662" s="357" t="str">
        <f t="shared" si="147"/>
        <v/>
      </c>
      <c r="FM662" s="357" t="str">
        <f t="shared" si="148"/>
        <v/>
      </c>
      <c r="FN662" s="357" t="str">
        <f t="shared" si="149"/>
        <v/>
      </c>
      <c r="FO662" s="357" t="str">
        <f t="shared" si="150"/>
        <v/>
      </c>
      <c r="FP662" s="357" t="str">
        <f t="shared" si="151"/>
        <v/>
      </c>
      <c r="FQ662" s="357" t="str">
        <f t="shared" si="152"/>
        <v/>
      </c>
      <c r="FR662" s="357" t="str">
        <f t="shared" si="153"/>
        <v/>
      </c>
      <c r="FS662" s="357" t="str">
        <f t="shared" si="154"/>
        <v/>
      </c>
      <c r="FT662" s="357" t="str">
        <f t="shared" si="155"/>
        <v/>
      </c>
      <c r="FU662" s="357" t="str">
        <f t="shared" si="156"/>
        <v/>
      </c>
      <c r="FV662" s="357" t="str">
        <f t="shared" si="157"/>
        <v/>
      </c>
      <c r="FW662" s="357" t="str">
        <f t="shared" si="158"/>
        <v/>
      </c>
      <c r="FX662" s="357" t="str">
        <f t="shared" si="159"/>
        <v/>
      </c>
      <c r="FY662" s="357" t="str">
        <f t="shared" si="160"/>
        <v/>
      </c>
      <c r="FZ662" s="357" t="str">
        <f t="shared" si="161"/>
        <v/>
      </c>
      <c r="GA662" s="357" t="str">
        <f t="shared" si="162"/>
        <v/>
      </c>
      <c r="GB662" s="357" t="str">
        <f t="shared" si="163"/>
        <v/>
      </c>
      <c r="GC662" s="357" t="str">
        <f t="shared" si="164"/>
        <v/>
      </c>
      <c r="GD662" s="357" t="str">
        <f t="shared" si="165"/>
        <v/>
      </c>
      <c r="GE662" s="357" t="str">
        <f t="shared" si="166"/>
        <v/>
      </c>
      <c r="GF662" s="357" t="str">
        <f t="shared" si="167"/>
        <v/>
      </c>
      <c r="GG662" s="357" t="str">
        <f t="shared" si="168"/>
        <v/>
      </c>
      <c r="GH662" s="357" t="str">
        <f t="shared" si="169"/>
        <v/>
      </c>
      <c r="GI662" s="357">
        <f t="shared" si="170"/>
        <v>7</v>
      </c>
      <c r="GJ662" s="357" t="str">
        <f t="shared" si="171"/>
        <v/>
      </c>
      <c r="GK662" s="357" t="str">
        <f t="shared" si="172"/>
        <v/>
      </c>
      <c r="GL662" s="357" t="str">
        <f t="shared" si="173"/>
        <v/>
      </c>
      <c r="GM662" s="357" t="str">
        <f t="shared" si="174"/>
        <v/>
      </c>
      <c r="GN662" s="357" t="str">
        <f t="shared" si="175"/>
        <v/>
      </c>
      <c r="GO662" s="357" t="str">
        <f t="shared" si="176"/>
        <v/>
      </c>
      <c r="GP662" s="357" t="str">
        <f t="shared" si="177"/>
        <v/>
      </c>
      <c r="GQ662" s="357" t="str">
        <f t="shared" si="178"/>
        <v/>
      </c>
      <c r="GR662" s="357" t="str">
        <f t="shared" si="179"/>
        <v/>
      </c>
      <c r="GS662" s="357" t="str">
        <f t="shared" si="180"/>
        <v/>
      </c>
      <c r="GT662" s="357" t="str">
        <f t="shared" si="181"/>
        <v/>
      </c>
      <c r="GU662" s="357" t="str">
        <f t="shared" si="182"/>
        <v/>
      </c>
      <c r="GV662" s="357" t="str">
        <f t="shared" si="183"/>
        <v/>
      </c>
      <c r="GW662" s="357" t="str">
        <f t="shared" si="184"/>
        <v/>
      </c>
      <c r="GX662" s="357" t="str">
        <f t="shared" si="185"/>
        <v/>
      </c>
      <c r="GY662" s="357" t="str">
        <f t="shared" si="186"/>
        <v/>
      </c>
      <c r="GZ662" s="357" t="str">
        <f t="shared" si="187"/>
        <v/>
      </c>
      <c r="HA662" s="357" t="str">
        <f t="shared" si="188"/>
        <v/>
      </c>
      <c r="HB662" s="357" t="str">
        <f t="shared" si="189"/>
        <v/>
      </c>
      <c r="HC662" s="357" t="str">
        <f t="shared" si="190"/>
        <v/>
      </c>
      <c r="HD662" s="357" t="str">
        <f t="shared" si="191"/>
        <v/>
      </c>
      <c r="HE662" s="357" t="str">
        <f t="shared" si="192"/>
        <v/>
      </c>
      <c r="HF662" s="357" t="str">
        <f t="shared" si="193"/>
        <v/>
      </c>
      <c r="HG662" s="357" t="str">
        <f t="shared" si="194"/>
        <v/>
      </c>
      <c r="HH662" s="357" t="str">
        <f t="shared" si="195"/>
        <v/>
      </c>
      <c r="HI662" s="357" t="str">
        <f t="shared" si="196"/>
        <v/>
      </c>
      <c r="HJ662" s="357" t="str">
        <f t="shared" si="197"/>
        <v/>
      </c>
      <c r="HK662" s="357" t="str">
        <f t="shared" si="198"/>
        <v/>
      </c>
      <c r="HL662" s="357" t="str">
        <f t="shared" si="199"/>
        <v/>
      </c>
      <c r="HM662" s="357" t="str">
        <f t="shared" si="200"/>
        <v/>
      </c>
      <c r="HN662" s="357" t="str">
        <f t="shared" si="201"/>
        <v/>
      </c>
      <c r="HO662" s="357" t="str">
        <f t="shared" si="202"/>
        <v/>
      </c>
      <c r="HP662" s="357" t="str">
        <f t="shared" si="203"/>
        <v/>
      </c>
      <c r="HQ662" s="357" t="str">
        <f t="shared" si="204"/>
        <v/>
      </c>
      <c r="HR662" s="357" t="str">
        <f t="shared" si="205"/>
        <v/>
      </c>
      <c r="HS662" s="357" t="str">
        <f t="shared" si="206"/>
        <v/>
      </c>
      <c r="HT662" s="357" t="str">
        <f t="shared" si="207"/>
        <v/>
      </c>
      <c r="HU662" s="357" t="str">
        <f t="shared" si="208"/>
        <v/>
      </c>
      <c r="HV662" s="357" t="str">
        <f t="shared" si="209"/>
        <v/>
      </c>
      <c r="HW662" s="357" t="str">
        <f t="shared" si="210"/>
        <v/>
      </c>
      <c r="HX662" s="357" t="str">
        <f t="shared" si="211"/>
        <v/>
      </c>
      <c r="HY662" s="357" t="str">
        <f t="shared" si="212"/>
        <v/>
      </c>
      <c r="HZ662" s="1903" t="str">
        <f t="shared" si="213"/>
        <v/>
      </c>
      <c r="IA662" s="1903" t="str">
        <f t="shared" si="214"/>
        <v/>
      </c>
      <c r="IB662" s="1903">
        <f t="shared" si="215"/>
        <v>7</v>
      </c>
      <c r="IC662" s="1903" t="str">
        <f t="shared" si="216"/>
        <v/>
      </c>
      <c r="ID662" s="1903" t="str">
        <f t="shared" si="217"/>
        <v/>
      </c>
      <c r="IE662" s="1903" t="str">
        <f t="shared" si="218"/>
        <v/>
      </c>
      <c r="IF662" s="1903" t="str">
        <f t="shared" si="219"/>
        <v/>
      </c>
      <c r="IG662" s="1903" t="str">
        <f t="shared" si="220"/>
        <v/>
      </c>
      <c r="IH662" s="1903" t="str">
        <f t="shared" si="221"/>
        <v/>
      </c>
      <c r="II662" s="1903" t="str">
        <f t="shared" si="222"/>
        <v/>
      </c>
      <c r="IJ662" s="1903" t="str">
        <f t="shared" si="223"/>
        <v/>
      </c>
      <c r="IK662" s="1903" t="str">
        <f t="shared" si="224"/>
        <v/>
      </c>
      <c r="IL662" s="1903" t="str">
        <f t="shared" si="225"/>
        <v/>
      </c>
      <c r="IM662" s="1903" t="str">
        <f t="shared" si="226"/>
        <v/>
      </c>
      <c r="IN662" s="1903" t="str">
        <f t="shared" si="227"/>
        <v/>
      </c>
      <c r="IO662" s="1903" t="str">
        <f t="shared" si="228"/>
        <v/>
      </c>
      <c r="IP662" s="1903" t="str">
        <f t="shared" si="229"/>
        <v/>
      </c>
      <c r="IQ662" s="1903" t="str">
        <f t="shared" si="230"/>
        <v/>
      </c>
      <c r="IR662" s="1903" t="str">
        <f t="shared" si="231"/>
        <v/>
      </c>
      <c r="IS662" s="1903" t="str">
        <f t="shared" si="232"/>
        <v/>
      </c>
      <c r="IT662" s="1903" t="str">
        <f t="shared" si="233"/>
        <v/>
      </c>
      <c r="IU662" s="1903" t="str">
        <f t="shared" si="234"/>
        <v/>
      </c>
      <c r="IV662" s="1903" t="str">
        <f t="shared" si="235"/>
        <v/>
      </c>
      <c r="IW662" s="1903" t="str">
        <f t="shared" si="236"/>
        <v/>
      </c>
      <c r="IX662" s="1903" t="str">
        <f t="shared" si="237"/>
        <v/>
      </c>
      <c r="IY662" s="1903" t="str">
        <f t="shared" si="238"/>
        <v/>
      </c>
      <c r="IZ662" s="1903" t="str">
        <f t="shared" si="239"/>
        <v/>
      </c>
      <c r="JA662" s="1903" t="str">
        <f t="shared" si="240"/>
        <v/>
      </c>
      <c r="JB662" s="1903" t="str">
        <f t="shared" si="241"/>
        <v/>
      </c>
      <c r="JC662" s="1903" t="str">
        <f t="shared" si="242"/>
        <v/>
      </c>
      <c r="JD662" s="1903" t="str">
        <f t="shared" si="243"/>
        <v/>
      </c>
      <c r="JE662" s="1903" t="str">
        <f t="shared" si="244"/>
        <v/>
      </c>
      <c r="JF662" s="1903" t="str">
        <f t="shared" si="245"/>
        <v/>
      </c>
      <c r="JG662" s="1903" t="str">
        <f t="shared" si="246"/>
        <v/>
      </c>
      <c r="JH662" s="1903" t="str">
        <f t="shared" si="247"/>
        <v/>
      </c>
      <c r="JI662" s="1903" t="str">
        <f t="shared" si="248"/>
        <v/>
      </c>
      <c r="JJ662" s="1903" t="str">
        <f t="shared" si="249"/>
        <v/>
      </c>
      <c r="JK662" s="1903" t="str">
        <f t="shared" si="250"/>
        <v/>
      </c>
      <c r="JL662" s="1903" t="str">
        <f t="shared" si="251"/>
        <v/>
      </c>
      <c r="JM662" s="1903" t="str">
        <f t="shared" si="252"/>
        <v/>
      </c>
      <c r="JN662" s="1903" t="str">
        <f t="shared" si="253"/>
        <v/>
      </c>
      <c r="JO662" s="1903" t="str">
        <f t="shared" si="254"/>
        <v/>
      </c>
      <c r="JP662" s="1903" t="str">
        <f t="shared" si="255"/>
        <v/>
      </c>
      <c r="JQ662" s="1903" t="str">
        <f t="shared" si="256"/>
        <v/>
      </c>
      <c r="JR662" s="1903" t="str">
        <f t="shared" si="257"/>
        <v/>
      </c>
      <c r="JS662" s="1903" t="str">
        <f t="shared" si="258"/>
        <v/>
      </c>
      <c r="JT662" s="1903" t="str">
        <f t="shared" si="259"/>
        <v/>
      </c>
      <c r="JU662" s="1903">
        <f t="shared" si="260"/>
        <v>7</v>
      </c>
      <c r="JV662" s="1903" t="str">
        <f t="shared" si="261"/>
        <v/>
      </c>
      <c r="JW662" s="1903" t="str">
        <f t="shared" si="262"/>
        <v/>
      </c>
      <c r="JX662" s="1903" t="str">
        <f t="shared" si="263"/>
        <v/>
      </c>
      <c r="JY662" s="1903" t="str">
        <f t="shared" si="264"/>
        <v/>
      </c>
      <c r="JZ662" s="1903" t="str">
        <f t="shared" si="265"/>
        <v/>
      </c>
      <c r="KA662" s="1903" t="str">
        <f t="shared" si="266"/>
        <v/>
      </c>
      <c r="KB662" s="1903" t="str">
        <f t="shared" si="267"/>
        <v/>
      </c>
      <c r="KC662" s="1903" t="str">
        <f t="shared" si="268"/>
        <v/>
      </c>
      <c r="KD662" s="1903" t="str">
        <f t="shared" si="269"/>
        <v/>
      </c>
      <c r="KE662" s="1903" t="str">
        <f t="shared" si="270"/>
        <v/>
      </c>
      <c r="KF662" s="1903" t="str">
        <f t="shared" si="271"/>
        <v/>
      </c>
      <c r="KG662" s="1903" t="str">
        <f t="shared" si="272"/>
        <v/>
      </c>
      <c r="KH662" s="1903" t="str">
        <f t="shared" si="273"/>
        <v/>
      </c>
      <c r="KI662" s="1903" t="str">
        <f t="shared" si="274"/>
        <v/>
      </c>
      <c r="KJ662" s="1903" t="str">
        <f t="shared" si="275"/>
        <v/>
      </c>
      <c r="KK662" s="1903" t="str">
        <f t="shared" si="276"/>
        <v/>
      </c>
      <c r="KL662" s="1903" t="str">
        <f t="shared" si="277"/>
        <v/>
      </c>
      <c r="KM662" s="1903" t="str">
        <f t="shared" si="278"/>
        <v/>
      </c>
      <c r="KN662" s="1903" t="str">
        <f t="shared" si="279"/>
        <v/>
      </c>
      <c r="KO662" s="1903" t="str">
        <f t="shared" si="280"/>
        <v/>
      </c>
      <c r="KP662" s="1903" t="str">
        <f t="shared" si="281"/>
        <v/>
      </c>
      <c r="KQ662" s="1903" t="str">
        <f t="shared" si="282"/>
        <v/>
      </c>
      <c r="KR662" s="1903" t="str">
        <f t="shared" si="283"/>
        <v/>
      </c>
      <c r="KS662" s="1903" t="str">
        <f t="shared" si="284"/>
        <v/>
      </c>
      <c r="KT662" s="1903" t="str">
        <f t="shared" si="285"/>
        <v/>
      </c>
      <c r="KU662" s="1903" t="str">
        <f t="shared" si="286"/>
        <v/>
      </c>
      <c r="KV662" s="1903" t="str">
        <f t="shared" si="287"/>
        <v/>
      </c>
      <c r="KW662" s="1903" t="str">
        <f t="shared" si="288"/>
        <v/>
      </c>
      <c r="KX662" s="1903" t="str">
        <f t="shared" si="289"/>
        <v/>
      </c>
      <c r="KY662" s="1903" t="str">
        <f t="shared" si="290"/>
        <v/>
      </c>
      <c r="KZ662" s="1903" t="str">
        <f t="shared" si="291"/>
        <v/>
      </c>
      <c r="LA662" s="1903" t="str">
        <f t="shared" si="292"/>
        <v/>
      </c>
      <c r="LB662" s="1903" t="str">
        <f t="shared" si="293"/>
        <v/>
      </c>
      <c r="LC662" s="1903" t="str">
        <f t="shared" si="294"/>
        <v/>
      </c>
      <c r="LD662" s="1903" t="str">
        <f t="shared" si="295"/>
        <v/>
      </c>
      <c r="LE662" s="1903" t="str">
        <f t="shared" si="296"/>
        <v/>
      </c>
      <c r="LF662" s="1903" t="str">
        <f t="shared" si="297"/>
        <v/>
      </c>
      <c r="LG662" s="1750" t="str">
        <f t="shared" si="298"/>
        <v/>
      </c>
      <c r="LH662" s="1750" t="str">
        <f t="shared" si="299"/>
        <v/>
      </c>
      <c r="LI662" s="1750" t="str">
        <f t="shared" si="300"/>
        <v/>
      </c>
      <c r="LJ662" s="1750" t="str">
        <f t="shared" si="301"/>
        <v/>
      </c>
      <c r="LK662" s="1750" t="str">
        <f t="shared" si="302"/>
        <v/>
      </c>
      <c r="LL662" s="357" t="str">
        <f t="shared" si="303"/>
        <v/>
      </c>
      <c r="LM662" s="357" t="str">
        <f t="shared" si="304"/>
        <v/>
      </c>
      <c r="LN662" s="357" t="str">
        <f t="shared" si="305"/>
        <v/>
      </c>
      <c r="LO662" s="357" t="str">
        <f t="shared" si="306"/>
        <v/>
      </c>
      <c r="LP662" s="357" t="str">
        <f t="shared" si="307"/>
        <v/>
      </c>
      <c r="LQ662" s="357" t="str">
        <f t="shared" si="308"/>
        <v/>
      </c>
      <c r="LR662" s="357" t="str">
        <f t="shared" si="309"/>
        <v/>
      </c>
      <c r="LS662" s="357" t="str">
        <f t="shared" si="310"/>
        <v/>
      </c>
      <c r="LT662" s="357" t="str">
        <f t="shared" si="311"/>
        <v/>
      </c>
      <c r="LU662" s="357" t="str">
        <f t="shared" si="312"/>
        <v/>
      </c>
      <c r="LV662" s="357" t="str">
        <f t="shared" si="313"/>
        <v/>
      </c>
      <c r="LW662" s="357" t="str">
        <f t="shared" si="314"/>
        <v/>
      </c>
      <c r="LX662" s="357" t="str">
        <f t="shared" si="315"/>
        <v/>
      </c>
      <c r="LY662" s="357" t="str">
        <f t="shared" si="316"/>
        <v/>
      </c>
      <c r="LZ662" s="357" t="str">
        <f t="shared" si="317"/>
        <v/>
      </c>
      <c r="MA662" s="357" t="str">
        <f t="shared" si="318"/>
        <v/>
      </c>
      <c r="MB662" s="357" t="str">
        <f t="shared" si="319"/>
        <v/>
      </c>
      <c r="MC662" s="357" t="str">
        <f t="shared" si="320"/>
        <v/>
      </c>
      <c r="MD662" s="357" t="str">
        <f t="shared" si="321"/>
        <v/>
      </c>
      <c r="ME662" s="357" t="str">
        <f t="shared" si="322"/>
        <v/>
      </c>
      <c r="MF662" s="1750">
        <f t="shared" si="323"/>
        <v>0</v>
      </c>
      <c r="MG662" s="1750">
        <f t="shared" si="324"/>
        <v>0</v>
      </c>
      <c r="MH662" s="1750">
        <f t="shared" si="325"/>
        <v>0</v>
      </c>
      <c r="MI662" s="1750">
        <f t="shared" si="326"/>
        <v>0</v>
      </c>
      <c r="MJ662" s="1750">
        <f t="shared" si="327"/>
        <v>0</v>
      </c>
      <c r="MK662" s="1750">
        <f t="shared" si="333"/>
        <v>0</v>
      </c>
      <c r="ML662" s="1750">
        <f t="shared" si="334"/>
        <v>0</v>
      </c>
      <c r="MM662" s="1750">
        <f t="shared" si="335"/>
        <v>7</v>
      </c>
      <c r="MN662" s="1750">
        <f t="shared" si="336"/>
        <v>0</v>
      </c>
      <c r="MO662" s="1750">
        <f t="shared" si="337"/>
        <v>0</v>
      </c>
      <c r="MP662" s="1750">
        <f t="shared" si="328"/>
        <v>0</v>
      </c>
      <c r="MQ662" s="1750">
        <f t="shared" si="329"/>
        <v>0</v>
      </c>
      <c r="MR662" s="1750">
        <f t="shared" si="330"/>
        <v>0</v>
      </c>
      <c r="MS662" s="1750">
        <f t="shared" si="331"/>
        <v>0</v>
      </c>
      <c r="MT662" s="1750">
        <f t="shared" si="332"/>
        <v>0</v>
      </c>
      <c r="NP662" s="357" t="s">
        <v>6427</v>
      </c>
    </row>
    <row r="663" spans="1:380" ht="13.9" customHeight="1">
      <c r="A663" s="1901" t="str">
        <f t="shared" si="0"/>
        <v/>
      </c>
      <c r="B663" s="2238">
        <f>'Part V-Revenues &amp; Expenses'!B25</f>
        <v>30</v>
      </c>
      <c r="C663" s="2229">
        <f>'Part V-Revenues &amp; Expenses'!C25</f>
        <v>3</v>
      </c>
      <c r="D663" s="2230">
        <f>'Part V-Revenues &amp; Expenses'!D25</f>
        <v>2</v>
      </c>
      <c r="E663" s="2231">
        <f>'Part V-Revenues &amp; Expenses'!E25</f>
        <v>12</v>
      </c>
      <c r="F663" s="2231">
        <f>'Part V-Revenues &amp; Expenses'!F25</f>
        <v>1364</v>
      </c>
      <c r="G663" s="2231">
        <f>'Part V-Revenues &amp; Expenses'!G25</f>
        <v>681</v>
      </c>
      <c r="H663" s="2231">
        <f>'Part V-Revenues &amp; Expenses'!H25</f>
        <v>1673</v>
      </c>
      <c r="I663" s="2231">
        <f>'Part V-Revenues &amp; Expenses'!I25</f>
        <v>0</v>
      </c>
      <c r="J663" s="2231">
        <f>'Part V-Revenues &amp; Expenses'!J25</f>
        <v>98</v>
      </c>
      <c r="K663" s="2232" t="str">
        <f>'Part V-Revenues &amp; Expenses'!K25</f>
        <v>HUD</v>
      </c>
      <c r="L663" s="2233">
        <f t="shared" ref="L663:L686" si="340">MAX(0,H663-I663-J663)</f>
        <v>1575</v>
      </c>
      <c r="M663" s="2233">
        <f t="shared" ref="M663:M686" si="341">MAX(0,E663*L663)</f>
        <v>18900</v>
      </c>
      <c r="N663" s="2094" t="str">
        <f>'Part V-Revenues &amp; Expenses'!N25</f>
        <v>No</v>
      </c>
      <c r="O663" s="2234" t="str">
        <f>'Part V-Revenues &amp; Expenses'!O25</f>
        <v>Low-Rise Apt</v>
      </c>
      <c r="P663" s="2094" t="str">
        <f>'Part V-Revenues &amp; Expenses'!P25</f>
        <v>New Construction</v>
      </c>
      <c r="Q663" s="2235" t="str">
        <f>'Part V-Revenues &amp; Expenses'!Q25</f>
        <v>No</v>
      </c>
      <c r="R663" s="2236"/>
      <c r="S663" s="2237"/>
      <c r="T663" s="2160"/>
      <c r="U663" s="2160"/>
      <c r="V663" s="2160"/>
      <c r="W663" s="2160"/>
      <c r="X663" s="357" t="str">
        <f t="shared" si="3"/>
        <v/>
      </c>
      <c r="Y663" s="357" t="str">
        <f t="shared" si="4"/>
        <v/>
      </c>
      <c r="Z663" s="357" t="str">
        <f t="shared" si="5"/>
        <v/>
      </c>
      <c r="AA663" s="357" t="str">
        <f t="shared" si="6"/>
        <v/>
      </c>
      <c r="AB663" s="357" t="str">
        <f t="shared" si="7"/>
        <v/>
      </c>
      <c r="AC663" s="357" t="str">
        <f t="shared" si="8"/>
        <v/>
      </c>
      <c r="AD663" s="357" t="str">
        <f t="shared" si="9"/>
        <v/>
      </c>
      <c r="AE663" s="357" t="str">
        <f t="shared" si="10"/>
        <v/>
      </c>
      <c r="AF663" s="357" t="str">
        <f t="shared" si="11"/>
        <v/>
      </c>
      <c r="AG663" s="357" t="str">
        <f t="shared" si="12"/>
        <v/>
      </c>
      <c r="AH663" s="357" t="str">
        <f t="shared" si="13"/>
        <v/>
      </c>
      <c r="AI663" s="357" t="str">
        <f t="shared" si="14"/>
        <v/>
      </c>
      <c r="AJ663" s="357" t="str">
        <f t="shared" si="15"/>
        <v/>
      </c>
      <c r="AK663" s="357" t="str">
        <f t="shared" si="16"/>
        <v/>
      </c>
      <c r="AL663" s="357" t="str">
        <f t="shared" si="17"/>
        <v/>
      </c>
      <c r="AM663" s="357" t="str">
        <f t="shared" si="18"/>
        <v/>
      </c>
      <c r="AN663" s="357" t="str">
        <f t="shared" si="19"/>
        <v/>
      </c>
      <c r="AO663" s="357" t="str">
        <f t="shared" si="20"/>
        <v/>
      </c>
      <c r="AP663" s="357" t="str">
        <f t="shared" si="21"/>
        <v/>
      </c>
      <c r="AQ663" s="357" t="str">
        <f t="shared" si="22"/>
        <v/>
      </c>
      <c r="AR663" s="357" t="str">
        <f t="shared" si="23"/>
        <v/>
      </c>
      <c r="AS663" s="357" t="str">
        <f t="shared" si="24"/>
        <v/>
      </c>
      <c r="AT663" s="357" t="str">
        <f t="shared" si="25"/>
        <v/>
      </c>
      <c r="AU663" s="357" t="str">
        <f t="shared" si="26"/>
        <v/>
      </c>
      <c r="AV663" s="357" t="str">
        <f t="shared" si="27"/>
        <v/>
      </c>
      <c r="AW663" s="357" t="str">
        <f t="shared" si="28"/>
        <v/>
      </c>
      <c r="AX663" s="357" t="str">
        <f t="shared" si="29"/>
        <v/>
      </c>
      <c r="AY663" s="357" t="str">
        <f t="shared" si="30"/>
        <v/>
      </c>
      <c r="AZ663" s="357">
        <f t="shared" si="31"/>
        <v>12</v>
      </c>
      <c r="BA663" s="357" t="str">
        <f t="shared" si="32"/>
        <v/>
      </c>
      <c r="BB663" s="357" t="str">
        <f t="shared" si="33"/>
        <v/>
      </c>
      <c r="BC663" s="357" t="str">
        <f t="shared" si="34"/>
        <v/>
      </c>
      <c r="BD663" s="357" t="str">
        <f t="shared" si="35"/>
        <v/>
      </c>
      <c r="BE663" s="357" t="str">
        <f t="shared" si="36"/>
        <v/>
      </c>
      <c r="BF663" s="357" t="str">
        <f t="shared" si="37"/>
        <v/>
      </c>
      <c r="BG663" s="357" t="str">
        <f t="shared" si="38"/>
        <v/>
      </c>
      <c r="BH663" s="357" t="str">
        <f t="shared" si="39"/>
        <v/>
      </c>
      <c r="BI663" s="357" t="str">
        <f t="shared" si="40"/>
        <v/>
      </c>
      <c r="BJ663" s="357" t="str">
        <f t="shared" si="41"/>
        <v/>
      </c>
      <c r="BK663" s="357" t="str">
        <f t="shared" si="42"/>
        <v/>
      </c>
      <c r="BL663" s="357" t="str">
        <f t="shared" si="43"/>
        <v/>
      </c>
      <c r="BM663" s="357" t="str">
        <f t="shared" si="44"/>
        <v/>
      </c>
      <c r="BN663" s="357" t="str">
        <f t="shared" si="45"/>
        <v/>
      </c>
      <c r="BO663" s="357" t="str">
        <f t="shared" si="46"/>
        <v/>
      </c>
      <c r="BP663" s="357" t="str">
        <f t="shared" si="47"/>
        <v/>
      </c>
      <c r="BQ663" s="357" t="str">
        <f t="shared" si="48"/>
        <v/>
      </c>
      <c r="BR663" s="357" t="str">
        <f t="shared" si="49"/>
        <v/>
      </c>
      <c r="BS663" s="357" t="str">
        <f t="shared" si="50"/>
        <v/>
      </c>
      <c r="BT663" s="357">
        <f t="shared" si="51"/>
        <v>12</v>
      </c>
      <c r="BU663" s="357" t="str">
        <f t="shared" si="52"/>
        <v/>
      </c>
      <c r="BV663" s="357" t="str">
        <f t="shared" si="53"/>
        <v/>
      </c>
      <c r="BW663" s="357" t="str">
        <f t="shared" si="54"/>
        <v/>
      </c>
      <c r="BX663" s="357" t="str">
        <f t="shared" si="55"/>
        <v/>
      </c>
      <c r="BY663" s="357" t="str">
        <f t="shared" si="56"/>
        <v/>
      </c>
      <c r="BZ663" s="357" t="str">
        <f t="shared" si="57"/>
        <v/>
      </c>
      <c r="CA663" s="357" t="str">
        <f t="shared" si="58"/>
        <v/>
      </c>
      <c r="CB663" s="357" t="str">
        <f t="shared" si="59"/>
        <v/>
      </c>
      <c r="CC663" s="357" t="str">
        <f t="shared" si="60"/>
        <v/>
      </c>
      <c r="CD663" s="357" t="str">
        <f t="shared" si="61"/>
        <v/>
      </c>
      <c r="CE663" s="357" t="str">
        <f t="shared" si="62"/>
        <v/>
      </c>
      <c r="CF663" s="357" t="str">
        <f t="shared" si="63"/>
        <v/>
      </c>
      <c r="CG663" s="357" t="str">
        <f t="shared" si="64"/>
        <v/>
      </c>
      <c r="CH663" s="357" t="str">
        <f t="shared" si="65"/>
        <v/>
      </c>
      <c r="CI663" s="357" t="str">
        <f t="shared" si="66"/>
        <v/>
      </c>
      <c r="CJ663" s="357" t="str">
        <f t="shared" si="67"/>
        <v/>
      </c>
      <c r="CK663" s="357" t="str">
        <f t="shared" si="68"/>
        <v/>
      </c>
      <c r="CL663" s="357" t="str">
        <f t="shared" si="69"/>
        <v/>
      </c>
      <c r="CM663" s="357" t="str">
        <f t="shared" si="70"/>
        <v/>
      </c>
      <c r="CN663" s="357" t="str">
        <f t="shared" si="71"/>
        <v/>
      </c>
      <c r="CO663" s="357" t="str">
        <f t="shared" si="72"/>
        <v/>
      </c>
      <c r="CP663" s="357" t="str">
        <f t="shared" si="73"/>
        <v/>
      </c>
      <c r="CQ663" s="357" t="str">
        <f t="shared" si="74"/>
        <v/>
      </c>
      <c r="CR663" s="357" t="str">
        <f t="shared" si="75"/>
        <v/>
      </c>
      <c r="CS663" s="357" t="str">
        <f t="shared" si="76"/>
        <v/>
      </c>
      <c r="CT663" s="357" t="str">
        <f t="shared" si="77"/>
        <v/>
      </c>
      <c r="CU663" s="357" t="str">
        <f t="shared" si="78"/>
        <v/>
      </c>
      <c r="CV663" s="357" t="str">
        <f t="shared" si="79"/>
        <v/>
      </c>
      <c r="CW663" s="357" t="str">
        <f t="shared" si="80"/>
        <v/>
      </c>
      <c r="CX663" s="357" t="str">
        <f t="shared" si="81"/>
        <v/>
      </c>
      <c r="CY663" s="357" t="str">
        <f t="shared" si="82"/>
        <v/>
      </c>
      <c r="CZ663" s="357" t="str">
        <f t="shared" si="83"/>
        <v/>
      </c>
      <c r="DA663" s="357" t="str">
        <f t="shared" si="84"/>
        <v/>
      </c>
      <c r="DB663" s="357" t="str">
        <f t="shared" si="85"/>
        <v/>
      </c>
      <c r="DC663" s="357" t="str">
        <f t="shared" si="86"/>
        <v/>
      </c>
      <c r="DD663" s="357" t="str">
        <f t="shared" si="87"/>
        <v/>
      </c>
      <c r="DE663" s="357" t="str">
        <f t="shared" si="88"/>
        <v/>
      </c>
      <c r="DF663" s="357" t="str">
        <f t="shared" si="89"/>
        <v/>
      </c>
      <c r="DG663" s="357" t="str">
        <f t="shared" si="90"/>
        <v/>
      </c>
      <c r="DH663" s="357" t="str">
        <f t="shared" si="91"/>
        <v/>
      </c>
      <c r="DI663" s="357" t="str">
        <f t="shared" si="92"/>
        <v/>
      </c>
      <c r="DJ663" s="357" t="str">
        <f t="shared" si="93"/>
        <v/>
      </c>
      <c r="DK663" s="357" t="str">
        <f t="shared" si="94"/>
        <v/>
      </c>
      <c r="DL663" s="357" t="str">
        <f t="shared" si="95"/>
        <v/>
      </c>
      <c r="DM663" s="357" t="str">
        <f t="shared" si="96"/>
        <v/>
      </c>
      <c r="DN663" s="357" t="str">
        <f t="shared" si="97"/>
        <v/>
      </c>
      <c r="DO663" s="357" t="str">
        <f t="shared" si="98"/>
        <v/>
      </c>
      <c r="DP663" s="357" t="str">
        <f t="shared" si="99"/>
        <v/>
      </c>
      <c r="DQ663" s="357" t="str">
        <f t="shared" si="100"/>
        <v/>
      </c>
      <c r="DR663" s="357" t="str">
        <f t="shared" si="101"/>
        <v/>
      </c>
      <c r="DS663" s="357" t="str">
        <f t="shared" si="102"/>
        <v/>
      </c>
      <c r="DT663" s="357" t="str">
        <f t="shared" si="103"/>
        <v/>
      </c>
      <c r="DU663" s="357" t="str">
        <f t="shared" si="104"/>
        <v/>
      </c>
      <c r="DV663" s="357" t="str">
        <f t="shared" si="105"/>
        <v/>
      </c>
      <c r="DW663" s="357" t="str">
        <f t="shared" si="106"/>
        <v/>
      </c>
      <c r="DX663" s="357" t="str">
        <f t="shared" si="107"/>
        <v/>
      </c>
      <c r="DY663" s="357" t="str">
        <f t="shared" si="108"/>
        <v/>
      </c>
      <c r="DZ663" s="357" t="str">
        <f t="shared" si="109"/>
        <v/>
      </c>
      <c r="EA663" s="357" t="str">
        <f t="shared" si="110"/>
        <v/>
      </c>
      <c r="EB663" s="357" t="str">
        <f t="shared" si="111"/>
        <v/>
      </c>
      <c r="EC663" s="357" t="str">
        <f t="shared" si="112"/>
        <v/>
      </c>
      <c r="ED663" s="357" t="str">
        <f t="shared" si="113"/>
        <v/>
      </c>
      <c r="EE663" s="357" t="str">
        <f t="shared" si="114"/>
        <v/>
      </c>
      <c r="EF663" s="357" t="str">
        <f t="shared" si="115"/>
        <v/>
      </c>
      <c r="EG663" s="357" t="str">
        <f t="shared" si="116"/>
        <v/>
      </c>
      <c r="EH663" s="357" t="str">
        <f t="shared" si="117"/>
        <v/>
      </c>
      <c r="EI663" s="357" t="str">
        <f t="shared" si="118"/>
        <v/>
      </c>
      <c r="EJ663" s="357" t="str">
        <f t="shared" si="119"/>
        <v/>
      </c>
      <c r="EK663" s="357" t="str">
        <f t="shared" si="120"/>
        <v/>
      </c>
      <c r="EL663" s="357" t="str">
        <f t="shared" si="121"/>
        <v/>
      </c>
      <c r="EM663" s="357" t="str">
        <f t="shared" si="122"/>
        <v/>
      </c>
      <c r="EN663" s="357" t="str">
        <f t="shared" si="123"/>
        <v/>
      </c>
      <c r="EO663" s="357" t="str">
        <f t="shared" si="124"/>
        <v/>
      </c>
      <c r="EP663" s="357" t="str">
        <f t="shared" si="125"/>
        <v/>
      </c>
      <c r="EQ663" s="357" t="str">
        <f t="shared" si="126"/>
        <v/>
      </c>
      <c r="ER663" s="357" t="str">
        <f t="shared" si="127"/>
        <v/>
      </c>
      <c r="ES663" s="357" t="str">
        <f t="shared" si="128"/>
        <v/>
      </c>
      <c r="ET663" s="357" t="str">
        <f t="shared" si="129"/>
        <v/>
      </c>
      <c r="EU663" s="357" t="str">
        <f t="shared" si="130"/>
        <v/>
      </c>
      <c r="EV663" s="357" t="str">
        <f t="shared" si="131"/>
        <v/>
      </c>
      <c r="EW663" s="357" t="str">
        <f t="shared" si="132"/>
        <v/>
      </c>
      <c r="EX663" s="357" t="str">
        <f t="shared" si="133"/>
        <v/>
      </c>
      <c r="EY663" s="357" t="str">
        <f t="shared" si="134"/>
        <v/>
      </c>
      <c r="EZ663" s="357" t="str">
        <f t="shared" si="135"/>
        <v/>
      </c>
      <c r="FA663" s="357" t="str">
        <f t="shared" si="136"/>
        <v/>
      </c>
      <c r="FB663" s="357" t="str">
        <f t="shared" si="137"/>
        <v/>
      </c>
      <c r="FC663" s="357" t="str">
        <f t="shared" si="138"/>
        <v/>
      </c>
      <c r="FD663" s="357" t="str">
        <f t="shared" si="139"/>
        <v/>
      </c>
      <c r="FE663" s="357" t="str">
        <f t="shared" si="140"/>
        <v/>
      </c>
      <c r="FF663" s="357" t="str">
        <f t="shared" si="141"/>
        <v/>
      </c>
      <c r="FG663" s="357" t="str">
        <f t="shared" si="142"/>
        <v/>
      </c>
      <c r="FH663" s="357" t="str">
        <f t="shared" si="143"/>
        <v/>
      </c>
      <c r="FI663" s="357" t="str">
        <f t="shared" si="144"/>
        <v/>
      </c>
      <c r="FJ663" s="357" t="str">
        <f t="shared" si="145"/>
        <v/>
      </c>
      <c r="FK663" s="357">
        <f t="shared" si="146"/>
        <v>16368</v>
      </c>
      <c r="FL663" s="357" t="str">
        <f t="shared" si="147"/>
        <v/>
      </c>
      <c r="FM663" s="357" t="str">
        <f t="shared" si="148"/>
        <v/>
      </c>
      <c r="FN663" s="357" t="str">
        <f t="shared" si="149"/>
        <v/>
      </c>
      <c r="FO663" s="357" t="str">
        <f t="shared" si="150"/>
        <v/>
      </c>
      <c r="FP663" s="357" t="str">
        <f t="shared" si="151"/>
        <v/>
      </c>
      <c r="FQ663" s="357" t="str">
        <f t="shared" si="152"/>
        <v/>
      </c>
      <c r="FR663" s="357" t="str">
        <f t="shared" si="153"/>
        <v/>
      </c>
      <c r="FS663" s="357" t="str">
        <f t="shared" si="154"/>
        <v/>
      </c>
      <c r="FT663" s="357" t="str">
        <f t="shared" si="155"/>
        <v/>
      </c>
      <c r="FU663" s="357" t="str">
        <f t="shared" si="156"/>
        <v/>
      </c>
      <c r="FV663" s="357" t="str">
        <f t="shared" si="157"/>
        <v/>
      </c>
      <c r="FW663" s="357" t="str">
        <f t="shared" si="158"/>
        <v/>
      </c>
      <c r="FX663" s="357" t="str">
        <f t="shared" si="159"/>
        <v/>
      </c>
      <c r="FY663" s="357" t="str">
        <f t="shared" si="160"/>
        <v/>
      </c>
      <c r="FZ663" s="357">
        <f t="shared" si="161"/>
        <v>16368</v>
      </c>
      <c r="GA663" s="357" t="str">
        <f t="shared" si="162"/>
        <v/>
      </c>
      <c r="GB663" s="357" t="str">
        <f t="shared" si="163"/>
        <v/>
      </c>
      <c r="GC663" s="357" t="str">
        <f t="shared" si="164"/>
        <v/>
      </c>
      <c r="GD663" s="357" t="str">
        <f t="shared" si="165"/>
        <v/>
      </c>
      <c r="GE663" s="357" t="str">
        <f t="shared" si="166"/>
        <v/>
      </c>
      <c r="GF663" s="357" t="str">
        <f t="shared" si="167"/>
        <v/>
      </c>
      <c r="GG663" s="357" t="str">
        <f t="shared" si="168"/>
        <v/>
      </c>
      <c r="GH663" s="357" t="str">
        <f t="shared" si="169"/>
        <v/>
      </c>
      <c r="GI663" s="357" t="str">
        <f t="shared" si="170"/>
        <v/>
      </c>
      <c r="GJ663" s="357">
        <f t="shared" si="171"/>
        <v>12</v>
      </c>
      <c r="GK663" s="357" t="str">
        <f t="shared" si="172"/>
        <v/>
      </c>
      <c r="GL663" s="357" t="str">
        <f t="shared" si="173"/>
        <v/>
      </c>
      <c r="GM663" s="357" t="str">
        <f t="shared" si="174"/>
        <v/>
      </c>
      <c r="GN663" s="357" t="str">
        <f t="shared" si="175"/>
        <v/>
      </c>
      <c r="GO663" s="357" t="str">
        <f t="shared" si="176"/>
        <v/>
      </c>
      <c r="GP663" s="357" t="str">
        <f t="shared" si="177"/>
        <v/>
      </c>
      <c r="GQ663" s="357" t="str">
        <f t="shared" si="178"/>
        <v/>
      </c>
      <c r="GR663" s="357" t="str">
        <f t="shared" si="179"/>
        <v/>
      </c>
      <c r="GS663" s="357" t="str">
        <f t="shared" si="180"/>
        <v/>
      </c>
      <c r="GT663" s="357" t="str">
        <f t="shared" si="181"/>
        <v/>
      </c>
      <c r="GU663" s="357" t="str">
        <f t="shared" si="182"/>
        <v/>
      </c>
      <c r="GV663" s="357" t="str">
        <f t="shared" si="183"/>
        <v/>
      </c>
      <c r="GW663" s="357" t="str">
        <f t="shared" si="184"/>
        <v/>
      </c>
      <c r="GX663" s="357" t="str">
        <f t="shared" si="185"/>
        <v/>
      </c>
      <c r="GY663" s="357" t="str">
        <f t="shared" si="186"/>
        <v/>
      </c>
      <c r="GZ663" s="357" t="str">
        <f t="shared" si="187"/>
        <v/>
      </c>
      <c r="HA663" s="357" t="str">
        <f t="shared" si="188"/>
        <v/>
      </c>
      <c r="HB663" s="357" t="str">
        <f t="shared" si="189"/>
        <v/>
      </c>
      <c r="HC663" s="357" t="str">
        <f t="shared" si="190"/>
        <v/>
      </c>
      <c r="HD663" s="357" t="str">
        <f t="shared" si="191"/>
        <v/>
      </c>
      <c r="HE663" s="357" t="str">
        <f t="shared" si="192"/>
        <v/>
      </c>
      <c r="HF663" s="357" t="str">
        <f t="shared" si="193"/>
        <v/>
      </c>
      <c r="HG663" s="357" t="str">
        <f t="shared" si="194"/>
        <v/>
      </c>
      <c r="HH663" s="357" t="str">
        <f t="shared" si="195"/>
        <v/>
      </c>
      <c r="HI663" s="357" t="str">
        <f t="shared" si="196"/>
        <v/>
      </c>
      <c r="HJ663" s="357" t="str">
        <f t="shared" si="197"/>
        <v/>
      </c>
      <c r="HK663" s="357" t="str">
        <f t="shared" si="198"/>
        <v/>
      </c>
      <c r="HL663" s="357" t="str">
        <f t="shared" si="199"/>
        <v/>
      </c>
      <c r="HM663" s="357" t="str">
        <f t="shared" si="200"/>
        <v/>
      </c>
      <c r="HN663" s="357" t="str">
        <f t="shared" si="201"/>
        <v/>
      </c>
      <c r="HO663" s="357" t="str">
        <f t="shared" si="202"/>
        <v/>
      </c>
      <c r="HP663" s="357" t="str">
        <f t="shared" si="203"/>
        <v/>
      </c>
      <c r="HQ663" s="357" t="str">
        <f t="shared" si="204"/>
        <v/>
      </c>
      <c r="HR663" s="357" t="str">
        <f t="shared" si="205"/>
        <v/>
      </c>
      <c r="HS663" s="357" t="str">
        <f t="shared" si="206"/>
        <v/>
      </c>
      <c r="HT663" s="357" t="str">
        <f t="shared" si="207"/>
        <v/>
      </c>
      <c r="HU663" s="357" t="str">
        <f t="shared" si="208"/>
        <v/>
      </c>
      <c r="HV663" s="357" t="str">
        <f t="shared" si="209"/>
        <v/>
      </c>
      <c r="HW663" s="357" t="str">
        <f t="shared" si="210"/>
        <v/>
      </c>
      <c r="HX663" s="357" t="str">
        <f t="shared" si="211"/>
        <v/>
      </c>
      <c r="HY663" s="357" t="str">
        <f t="shared" si="212"/>
        <v/>
      </c>
      <c r="HZ663" s="1903" t="str">
        <f t="shared" si="213"/>
        <v/>
      </c>
      <c r="IA663" s="1903" t="str">
        <f t="shared" si="214"/>
        <v/>
      </c>
      <c r="IB663" s="1903" t="str">
        <f t="shared" si="215"/>
        <v/>
      </c>
      <c r="IC663" s="1903">
        <f t="shared" si="216"/>
        <v>12</v>
      </c>
      <c r="ID663" s="1903" t="str">
        <f t="shared" si="217"/>
        <v/>
      </c>
      <c r="IE663" s="1903" t="str">
        <f t="shared" si="218"/>
        <v/>
      </c>
      <c r="IF663" s="1903" t="str">
        <f t="shared" si="219"/>
        <v/>
      </c>
      <c r="IG663" s="1903" t="str">
        <f t="shared" si="220"/>
        <v/>
      </c>
      <c r="IH663" s="1903" t="str">
        <f t="shared" si="221"/>
        <v/>
      </c>
      <c r="II663" s="1903" t="str">
        <f t="shared" si="222"/>
        <v/>
      </c>
      <c r="IJ663" s="1903" t="str">
        <f t="shared" si="223"/>
        <v/>
      </c>
      <c r="IK663" s="1903" t="str">
        <f t="shared" si="224"/>
        <v/>
      </c>
      <c r="IL663" s="1903" t="str">
        <f t="shared" si="225"/>
        <v/>
      </c>
      <c r="IM663" s="1903" t="str">
        <f t="shared" si="226"/>
        <v/>
      </c>
      <c r="IN663" s="1903" t="str">
        <f t="shared" si="227"/>
        <v/>
      </c>
      <c r="IO663" s="1903" t="str">
        <f t="shared" si="228"/>
        <v/>
      </c>
      <c r="IP663" s="1903" t="str">
        <f t="shared" si="229"/>
        <v/>
      </c>
      <c r="IQ663" s="1903" t="str">
        <f t="shared" si="230"/>
        <v/>
      </c>
      <c r="IR663" s="1903" t="str">
        <f t="shared" si="231"/>
        <v/>
      </c>
      <c r="IS663" s="1903" t="str">
        <f t="shared" si="232"/>
        <v/>
      </c>
      <c r="IT663" s="1903" t="str">
        <f t="shared" si="233"/>
        <v/>
      </c>
      <c r="IU663" s="1903" t="str">
        <f t="shared" si="234"/>
        <v/>
      </c>
      <c r="IV663" s="1903" t="str">
        <f t="shared" si="235"/>
        <v/>
      </c>
      <c r="IW663" s="1903" t="str">
        <f t="shared" si="236"/>
        <v/>
      </c>
      <c r="IX663" s="1903" t="str">
        <f t="shared" si="237"/>
        <v/>
      </c>
      <c r="IY663" s="1903" t="str">
        <f t="shared" si="238"/>
        <v/>
      </c>
      <c r="IZ663" s="1903" t="str">
        <f t="shared" si="239"/>
        <v/>
      </c>
      <c r="JA663" s="1903" t="str">
        <f t="shared" si="240"/>
        <v/>
      </c>
      <c r="JB663" s="1903" t="str">
        <f t="shared" si="241"/>
        <v/>
      </c>
      <c r="JC663" s="1903" t="str">
        <f t="shared" si="242"/>
        <v/>
      </c>
      <c r="JD663" s="1903" t="str">
        <f t="shared" si="243"/>
        <v/>
      </c>
      <c r="JE663" s="1903" t="str">
        <f t="shared" si="244"/>
        <v/>
      </c>
      <c r="JF663" s="1903" t="str">
        <f t="shared" si="245"/>
        <v/>
      </c>
      <c r="JG663" s="1903" t="str">
        <f t="shared" si="246"/>
        <v/>
      </c>
      <c r="JH663" s="1903" t="str">
        <f t="shared" si="247"/>
        <v/>
      </c>
      <c r="JI663" s="1903" t="str">
        <f t="shared" si="248"/>
        <v/>
      </c>
      <c r="JJ663" s="1903" t="str">
        <f t="shared" si="249"/>
        <v/>
      </c>
      <c r="JK663" s="1903" t="str">
        <f t="shared" si="250"/>
        <v/>
      </c>
      <c r="JL663" s="1903" t="str">
        <f t="shared" si="251"/>
        <v/>
      </c>
      <c r="JM663" s="1903" t="str">
        <f t="shared" si="252"/>
        <v/>
      </c>
      <c r="JN663" s="1903" t="str">
        <f t="shared" si="253"/>
        <v/>
      </c>
      <c r="JO663" s="1903" t="str">
        <f t="shared" si="254"/>
        <v/>
      </c>
      <c r="JP663" s="1903" t="str">
        <f t="shared" si="255"/>
        <v/>
      </c>
      <c r="JQ663" s="1903" t="str">
        <f t="shared" si="256"/>
        <v/>
      </c>
      <c r="JR663" s="1903" t="str">
        <f t="shared" si="257"/>
        <v/>
      </c>
      <c r="JS663" s="1903" t="str">
        <f t="shared" si="258"/>
        <v/>
      </c>
      <c r="JT663" s="1903" t="str">
        <f t="shared" si="259"/>
        <v/>
      </c>
      <c r="JU663" s="1903" t="str">
        <f t="shared" si="260"/>
        <v/>
      </c>
      <c r="JV663" s="1903">
        <f t="shared" si="261"/>
        <v>12</v>
      </c>
      <c r="JW663" s="1903" t="str">
        <f t="shared" si="262"/>
        <v/>
      </c>
      <c r="JX663" s="1903" t="str">
        <f t="shared" si="263"/>
        <v/>
      </c>
      <c r="JY663" s="1903" t="str">
        <f t="shared" si="264"/>
        <v/>
      </c>
      <c r="JZ663" s="1903" t="str">
        <f t="shared" si="265"/>
        <v/>
      </c>
      <c r="KA663" s="1903" t="str">
        <f t="shared" si="266"/>
        <v/>
      </c>
      <c r="KB663" s="1903" t="str">
        <f t="shared" si="267"/>
        <v/>
      </c>
      <c r="KC663" s="1903" t="str">
        <f t="shared" si="268"/>
        <v/>
      </c>
      <c r="KD663" s="1903" t="str">
        <f t="shared" si="269"/>
        <v/>
      </c>
      <c r="KE663" s="1903" t="str">
        <f t="shared" si="270"/>
        <v/>
      </c>
      <c r="KF663" s="1903" t="str">
        <f t="shared" si="271"/>
        <v/>
      </c>
      <c r="KG663" s="1903" t="str">
        <f t="shared" si="272"/>
        <v/>
      </c>
      <c r="KH663" s="1903" t="str">
        <f t="shared" si="273"/>
        <v/>
      </c>
      <c r="KI663" s="1903" t="str">
        <f t="shared" si="274"/>
        <v/>
      </c>
      <c r="KJ663" s="1903" t="str">
        <f t="shared" si="275"/>
        <v/>
      </c>
      <c r="KK663" s="1903" t="str">
        <f t="shared" si="276"/>
        <v/>
      </c>
      <c r="KL663" s="1903" t="str">
        <f t="shared" si="277"/>
        <v/>
      </c>
      <c r="KM663" s="1903" t="str">
        <f t="shared" si="278"/>
        <v/>
      </c>
      <c r="KN663" s="1903" t="str">
        <f t="shared" si="279"/>
        <v/>
      </c>
      <c r="KO663" s="1903" t="str">
        <f t="shared" si="280"/>
        <v/>
      </c>
      <c r="KP663" s="1903" t="str">
        <f t="shared" si="281"/>
        <v/>
      </c>
      <c r="KQ663" s="1903" t="str">
        <f t="shared" si="282"/>
        <v/>
      </c>
      <c r="KR663" s="1903" t="str">
        <f t="shared" si="283"/>
        <v/>
      </c>
      <c r="KS663" s="1903" t="str">
        <f t="shared" si="284"/>
        <v/>
      </c>
      <c r="KT663" s="1903" t="str">
        <f t="shared" si="285"/>
        <v/>
      </c>
      <c r="KU663" s="1903" t="str">
        <f t="shared" si="286"/>
        <v/>
      </c>
      <c r="KV663" s="1903" t="str">
        <f t="shared" si="287"/>
        <v/>
      </c>
      <c r="KW663" s="1903" t="str">
        <f t="shared" si="288"/>
        <v/>
      </c>
      <c r="KX663" s="1903" t="str">
        <f t="shared" si="289"/>
        <v/>
      </c>
      <c r="KY663" s="1903" t="str">
        <f t="shared" si="290"/>
        <v/>
      </c>
      <c r="KZ663" s="1903" t="str">
        <f t="shared" si="291"/>
        <v/>
      </c>
      <c r="LA663" s="1903" t="str">
        <f t="shared" si="292"/>
        <v/>
      </c>
      <c r="LB663" s="1903" t="str">
        <f t="shared" si="293"/>
        <v/>
      </c>
      <c r="LC663" s="1903" t="str">
        <f t="shared" si="294"/>
        <v/>
      </c>
      <c r="LD663" s="1903" t="str">
        <f t="shared" si="295"/>
        <v/>
      </c>
      <c r="LE663" s="1903" t="str">
        <f t="shared" si="296"/>
        <v/>
      </c>
      <c r="LF663" s="1903" t="str">
        <f t="shared" si="297"/>
        <v/>
      </c>
      <c r="LG663" s="1750" t="str">
        <f t="shared" si="298"/>
        <v/>
      </c>
      <c r="LH663" s="1750" t="str">
        <f t="shared" si="299"/>
        <v/>
      </c>
      <c r="LI663" s="1750" t="str">
        <f t="shared" si="300"/>
        <v/>
      </c>
      <c r="LJ663" s="1750" t="str">
        <f t="shared" si="301"/>
        <v/>
      </c>
      <c r="LK663" s="1750" t="str">
        <f t="shared" si="302"/>
        <v/>
      </c>
      <c r="LL663" s="357" t="str">
        <f t="shared" si="303"/>
        <v/>
      </c>
      <c r="LM663" s="357" t="str">
        <f t="shared" si="304"/>
        <v/>
      </c>
      <c r="LN663" s="357" t="str">
        <f t="shared" si="305"/>
        <v/>
      </c>
      <c r="LO663" s="357" t="str">
        <f t="shared" si="306"/>
        <v/>
      </c>
      <c r="LP663" s="357" t="str">
        <f t="shared" si="307"/>
        <v/>
      </c>
      <c r="LQ663" s="357" t="str">
        <f t="shared" si="308"/>
        <v/>
      </c>
      <c r="LR663" s="357" t="str">
        <f t="shared" si="309"/>
        <v/>
      </c>
      <c r="LS663" s="357" t="str">
        <f t="shared" si="310"/>
        <v/>
      </c>
      <c r="LT663" s="357" t="str">
        <f t="shared" si="311"/>
        <v/>
      </c>
      <c r="LU663" s="357" t="str">
        <f t="shared" si="312"/>
        <v/>
      </c>
      <c r="LV663" s="357" t="str">
        <f t="shared" si="313"/>
        <v/>
      </c>
      <c r="LW663" s="357" t="str">
        <f t="shared" si="314"/>
        <v/>
      </c>
      <c r="LX663" s="357" t="str">
        <f t="shared" si="315"/>
        <v/>
      </c>
      <c r="LY663" s="357" t="str">
        <f t="shared" si="316"/>
        <v/>
      </c>
      <c r="LZ663" s="357" t="str">
        <f t="shared" si="317"/>
        <v/>
      </c>
      <c r="MA663" s="357" t="str">
        <f t="shared" si="318"/>
        <v/>
      </c>
      <c r="MB663" s="357" t="str">
        <f t="shared" si="319"/>
        <v/>
      </c>
      <c r="MC663" s="357" t="str">
        <f t="shared" si="320"/>
        <v/>
      </c>
      <c r="MD663" s="357" t="str">
        <f t="shared" si="321"/>
        <v/>
      </c>
      <c r="ME663" s="357" t="str">
        <f t="shared" si="322"/>
        <v/>
      </c>
      <c r="MF663" s="1750">
        <f t="shared" si="323"/>
        <v>0</v>
      </c>
      <c r="MG663" s="1750">
        <f t="shared" si="324"/>
        <v>0</v>
      </c>
      <c r="MH663" s="1750">
        <f t="shared" si="325"/>
        <v>0</v>
      </c>
      <c r="MI663" s="1750">
        <f t="shared" si="326"/>
        <v>0</v>
      </c>
      <c r="MJ663" s="1750">
        <f t="shared" si="327"/>
        <v>0</v>
      </c>
      <c r="MK663" s="1750">
        <f t="shared" si="333"/>
        <v>0</v>
      </c>
      <c r="ML663" s="1750">
        <f t="shared" si="334"/>
        <v>0</v>
      </c>
      <c r="MM663" s="1750">
        <f t="shared" si="335"/>
        <v>0</v>
      </c>
      <c r="MN663" s="1750">
        <f t="shared" si="336"/>
        <v>12</v>
      </c>
      <c r="MO663" s="1750">
        <f t="shared" si="337"/>
        <v>0</v>
      </c>
      <c r="MP663" s="1750">
        <f t="shared" si="328"/>
        <v>0</v>
      </c>
      <c r="MQ663" s="1750">
        <f t="shared" si="329"/>
        <v>0</v>
      </c>
      <c r="MR663" s="1750">
        <f t="shared" si="330"/>
        <v>0</v>
      </c>
      <c r="MS663" s="1750">
        <f t="shared" si="331"/>
        <v>0</v>
      </c>
      <c r="MT663" s="1750">
        <f t="shared" si="332"/>
        <v>0</v>
      </c>
      <c r="NP663" s="357" t="s">
        <v>6428</v>
      </c>
    </row>
    <row r="664" spans="1:380" ht="13.9" customHeight="1">
      <c r="A664" s="1901" t="str">
        <f t="shared" si="0"/>
        <v/>
      </c>
      <c r="B664" s="2238">
        <f>'Part V-Revenues &amp; Expenses'!B26</f>
        <v>60</v>
      </c>
      <c r="C664" s="2229">
        <f>'Part V-Revenues &amp; Expenses'!C26</f>
        <v>3</v>
      </c>
      <c r="D664" s="2230">
        <f>'Part V-Revenues &amp; Expenses'!D26</f>
        <v>2</v>
      </c>
      <c r="E664" s="2231">
        <f>'Part V-Revenues &amp; Expenses'!E26</f>
        <v>17</v>
      </c>
      <c r="F664" s="2231">
        <f>'Part V-Revenues &amp; Expenses'!F26</f>
        <v>1364</v>
      </c>
      <c r="G664" s="2231">
        <f>'Part V-Revenues &amp; Expenses'!G26</f>
        <v>1363</v>
      </c>
      <c r="H664" s="2231">
        <f>'Part V-Revenues &amp; Expenses'!H26</f>
        <v>1673</v>
      </c>
      <c r="I664" s="2231">
        <f>'Part V-Revenues &amp; Expenses'!I26</f>
        <v>0</v>
      </c>
      <c r="J664" s="2231">
        <f>'Part V-Revenues &amp; Expenses'!J26</f>
        <v>98</v>
      </c>
      <c r="K664" s="2232" t="str">
        <f>'Part V-Revenues &amp; Expenses'!K26</f>
        <v>HUD</v>
      </c>
      <c r="L664" s="2233">
        <f t="shared" si="340"/>
        <v>1575</v>
      </c>
      <c r="M664" s="2233">
        <f t="shared" si="341"/>
        <v>26775</v>
      </c>
      <c r="N664" s="2094" t="str">
        <f>'Part V-Revenues &amp; Expenses'!N26</f>
        <v>No</v>
      </c>
      <c r="O664" s="2234" t="str">
        <f>'Part V-Revenues &amp; Expenses'!O26</f>
        <v>Low-Rise Apt</v>
      </c>
      <c r="P664" s="2094" t="str">
        <f>'Part V-Revenues &amp; Expenses'!P26</f>
        <v>New Construction</v>
      </c>
      <c r="Q664" s="2235" t="str">
        <f>'Part V-Revenues &amp; Expenses'!Q26</f>
        <v>No</v>
      </c>
      <c r="R664" s="2236"/>
      <c r="S664" s="2237"/>
      <c r="T664" s="2160"/>
      <c r="U664" s="2160"/>
      <c r="V664" s="2160"/>
      <c r="W664" s="2160"/>
      <c r="X664" s="357" t="str">
        <f t="shared" si="3"/>
        <v/>
      </c>
      <c r="Y664" s="357" t="str">
        <f t="shared" si="4"/>
        <v/>
      </c>
      <c r="Z664" s="357" t="str">
        <f t="shared" si="5"/>
        <v/>
      </c>
      <c r="AA664" s="357" t="str">
        <f t="shared" si="6"/>
        <v/>
      </c>
      <c r="AB664" s="357" t="str">
        <f t="shared" si="7"/>
        <v/>
      </c>
      <c r="AC664" s="357" t="str">
        <f t="shared" si="8"/>
        <v/>
      </c>
      <c r="AD664" s="357" t="str">
        <f t="shared" si="9"/>
        <v/>
      </c>
      <c r="AE664" s="357" t="str">
        <f t="shared" si="10"/>
        <v/>
      </c>
      <c r="AF664" s="357" t="str">
        <f t="shared" si="11"/>
        <v/>
      </c>
      <c r="AG664" s="357" t="str">
        <f t="shared" si="12"/>
        <v/>
      </c>
      <c r="AH664" s="357" t="str">
        <f t="shared" si="13"/>
        <v/>
      </c>
      <c r="AI664" s="357" t="str">
        <f t="shared" si="14"/>
        <v/>
      </c>
      <c r="AJ664" s="357" t="str">
        <f t="shared" si="15"/>
        <v/>
      </c>
      <c r="AK664" s="357">
        <f t="shared" si="16"/>
        <v>17</v>
      </c>
      <c r="AL664" s="357" t="str">
        <f t="shared" si="17"/>
        <v/>
      </c>
      <c r="AM664" s="357" t="str">
        <f t="shared" si="18"/>
        <v/>
      </c>
      <c r="AN664" s="357" t="str">
        <f t="shared" si="19"/>
        <v/>
      </c>
      <c r="AO664" s="357" t="str">
        <f t="shared" si="20"/>
        <v/>
      </c>
      <c r="AP664" s="357" t="str">
        <f t="shared" si="21"/>
        <v/>
      </c>
      <c r="AQ664" s="357" t="str">
        <f t="shared" si="22"/>
        <v/>
      </c>
      <c r="AR664" s="357" t="str">
        <f t="shared" si="23"/>
        <v/>
      </c>
      <c r="AS664" s="357" t="str">
        <f t="shared" si="24"/>
        <v/>
      </c>
      <c r="AT664" s="357" t="str">
        <f t="shared" si="25"/>
        <v/>
      </c>
      <c r="AU664" s="357" t="str">
        <f t="shared" si="26"/>
        <v/>
      </c>
      <c r="AV664" s="357" t="str">
        <f t="shared" si="27"/>
        <v/>
      </c>
      <c r="AW664" s="357" t="str">
        <f t="shared" si="28"/>
        <v/>
      </c>
      <c r="AX664" s="357" t="str">
        <f t="shared" si="29"/>
        <v/>
      </c>
      <c r="AY664" s="357" t="str">
        <f t="shared" si="30"/>
        <v/>
      </c>
      <c r="AZ664" s="357" t="str">
        <f t="shared" si="31"/>
        <v/>
      </c>
      <c r="BA664" s="357" t="str">
        <f t="shared" si="32"/>
        <v/>
      </c>
      <c r="BB664" s="357" t="str">
        <f t="shared" si="33"/>
        <v/>
      </c>
      <c r="BC664" s="357" t="str">
        <f t="shared" si="34"/>
        <v/>
      </c>
      <c r="BD664" s="357" t="str">
        <f t="shared" si="35"/>
        <v/>
      </c>
      <c r="BE664" s="357" t="str">
        <f t="shared" si="36"/>
        <v/>
      </c>
      <c r="BF664" s="357" t="str">
        <f t="shared" si="37"/>
        <v/>
      </c>
      <c r="BG664" s="357" t="str">
        <f t="shared" si="38"/>
        <v/>
      </c>
      <c r="BH664" s="357" t="str">
        <f t="shared" si="39"/>
        <v/>
      </c>
      <c r="BI664" s="357" t="str">
        <f t="shared" si="40"/>
        <v/>
      </c>
      <c r="BJ664" s="357" t="str">
        <f t="shared" si="41"/>
        <v/>
      </c>
      <c r="BK664" s="357" t="str">
        <f t="shared" si="42"/>
        <v/>
      </c>
      <c r="BL664" s="357" t="str">
        <f t="shared" si="43"/>
        <v/>
      </c>
      <c r="BM664" s="357" t="str">
        <f t="shared" si="44"/>
        <v/>
      </c>
      <c r="BN664" s="357" t="str">
        <f t="shared" si="45"/>
        <v/>
      </c>
      <c r="BO664" s="357" t="str">
        <f t="shared" si="46"/>
        <v/>
      </c>
      <c r="BP664" s="357" t="str">
        <f t="shared" si="47"/>
        <v/>
      </c>
      <c r="BQ664" s="357" t="str">
        <f t="shared" si="48"/>
        <v/>
      </c>
      <c r="BR664" s="357" t="str">
        <f t="shared" si="49"/>
        <v/>
      </c>
      <c r="BS664" s="357" t="str">
        <f t="shared" si="50"/>
        <v/>
      </c>
      <c r="BT664" s="357" t="str">
        <f t="shared" si="51"/>
        <v/>
      </c>
      <c r="BU664" s="357" t="str">
        <f t="shared" si="52"/>
        <v/>
      </c>
      <c r="BV664" s="357" t="str">
        <f t="shared" si="53"/>
        <v/>
      </c>
      <c r="BW664" s="357" t="str">
        <f t="shared" si="54"/>
        <v/>
      </c>
      <c r="BX664" s="357" t="str">
        <f t="shared" si="55"/>
        <v/>
      </c>
      <c r="BY664" s="357" t="str">
        <f t="shared" si="56"/>
        <v/>
      </c>
      <c r="BZ664" s="357" t="str">
        <f t="shared" si="57"/>
        <v/>
      </c>
      <c r="CA664" s="357" t="str">
        <f t="shared" si="58"/>
        <v/>
      </c>
      <c r="CB664" s="357" t="str">
        <f t="shared" si="59"/>
        <v/>
      </c>
      <c r="CC664" s="357" t="str">
        <f t="shared" si="60"/>
        <v/>
      </c>
      <c r="CD664" s="357" t="str">
        <f t="shared" si="61"/>
        <v/>
      </c>
      <c r="CE664" s="357" t="str">
        <f t="shared" si="62"/>
        <v/>
      </c>
      <c r="CF664" s="357" t="str">
        <f t="shared" si="63"/>
        <v/>
      </c>
      <c r="CG664" s="357" t="str">
        <f t="shared" si="64"/>
        <v/>
      </c>
      <c r="CH664" s="357" t="str">
        <f t="shared" si="65"/>
        <v/>
      </c>
      <c r="CI664" s="357">
        <f t="shared" si="66"/>
        <v>17</v>
      </c>
      <c r="CJ664" s="357" t="str">
        <f t="shared" si="67"/>
        <v/>
      </c>
      <c r="CK664" s="357" t="str">
        <f t="shared" si="68"/>
        <v/>
      </c>
      <c r="CL664" s="357" t="str">
        <f t="shared" si="69"/>
        <v/>
      </c>
      <c r="CM664" s="357" t="str">
        <f t="shared" si="70"/>
        <v/>
      </c>
      <c r="CN664" s="357" t="str">
        <f t="shared" si="71"/>
        <v/>
      </c>
      <c r="CO664" s="357" t="str">
        <f t="shared" si="72"/>
        <v/>
      </c>
      <c r="CP664" s="357" t="str">
        <f t="shared" si="73"/>
        <v/>
      </c>
      <c r="CQ664" s="357" t="str">
        <f t="shared" si="74"/>
        <v/>
      </c>
      <c r="CR664" s="357" t="str">
        <f t="shared" si="75"/>
        <v/>
      </c>
      <c r="CS664" s="357" t="str">
        <f t="shared" si="76"/>
        <v/>
      </c>
      <c r="CT664" s="357" t="str">
        <f t="shared" si="77"/>
        <v/>
      </c>
      <c r="CU664" s="357" t="str">
        <f t="shared" si="78"/>
        <v/>
      </c>
      <c r="CV664" s="357" t="str">
        <f t="shared" si="79"/>
        <v/>
      </c>
      <c r="CW664" s="357" t="str">
        <f t="shared" si="80"/>
        <v/>
      </c>
      <c r="CX664" s="357" t="str">
        <f t="shared" si="81"/>
        <v/>
      </c>
      <c r="CY664" s="357" t="str">
        <f t="shared" si="82"/>
        <v/>
      </c>
      <c r="CZ664" s="357" t="str">
        <f t="shared" si="83"/>
        <v/>
      </c>
      <c r="DA664" s="357" t="str">
        <f t="shared" si="84"/>
        <v/>
      </c>
      <c r="DB664" s="357" t="str">
        <f t="shared" si="85"/>
        <v/>
      </c>
      <c r="DC664" s="357" t="str">
        <f t="shared" si="86"/>
        <v/>
      </c>
      <c r="DD664" s="357" t="str">
        <f t="shared" si="87"/>
        <v/>
      </c>
      <c r="DE664" s="357" t="str">
        <f t="shared" si="88"/>
        <v/>
      </c>
      <c r="DF664" s="357" t="str">
        <f t="shared" si="89"/>
        <v/>
      </c>
      <c r="DG664" s="357" t="str">
        <f t="shared" si="90"/>
        <v/>
      </c>
      <c r="DH664" s="357" t="str">
        <f t="shared" si="91"/>
        <v/>
      </c>
      <c r="DI664" s="357" t="str">
        <f t="shared" si="92"/>
        <v/>
      </c>
      <c r="DJ664" s="357" t="str">
        <f t="shared" si="93"/>
        <v/>
      </c>
      <c r="DK664" s="357" t="str">
        <f t="shared" si="94"/>
        <v/>
      </c>
      <c r="DL664" s="357" t="str">
        <f t="shared" si="95"/>
        <v/>
      </c>
      <c r="DM664" s="357" t="str">
        <f t="shared" si="96"/>
        <v/>
      </c>
      <c r="DN664" s="357" t="str">
        <f t="shared" si="97"/>
        <v/>
      </c>
      <c r="DO664" s="357" t="str">
        <f t="shared" si="98"/>
        <v/>
      </c>
      <c r="DP664" s="357" t="str">
        <f t="shared" si="99"/>
        <v/>
      </c>
      <c r="DQ664" s="357" t="str">
        <f t="shared" si="100"/>
        <v/>
      </c>
      <c r="DR664" s="357" t="str">
        <f t="shared" si="101"/>
        <v/>
      </c>
      <c r="DS664" s="357" t="str">
        <f t="shared" si="102"/>
        <v/>
      </c>
      <c r="DT664" s="357" t="str">
        <f t="shared" si="103"/>
        <v/>
      </c>
      <c r="DU664" s="357" t="str">
        <f t="shared" si="104"/>
        <v/>
      </c>
      <c r="DV664" s="357" t="str">
        <f t="shared" si="105"/>
        <v/>
      </c>
      <c r="DW664" s="357" t="str">
        <f t="shared" si="106"/>
        <v/>
      </c>
      <c r="DX664" s="357" t="str">
        <f t="shared" si="107"/>
        <v/>
      </c>
      <c r="DY664" s="357" t="str">
        <f t="shared" si="108"/>
        <v/>
      </c>
      <c r="DZ664" s="357" t="str">
        <f t="shared" si="109"/>
        <v/>
      </c>
      <c r="EA664" s="357" t="str">
        <f t="shared" si="110"/>
        <v/>
      </c>
      <c r="EB664" s="357" t="str">
        <f t="shared" si="111"/>
        <v/>
      </c>
      <c r="EC664" s="357" t="str">
        <f t="shared" si="112"/>
        <v/>
      </c>
      <c r="ED664" s="357" t="str">
        <f t="shared" si="113"/>
        <v/>
      </c>
      <c r="EE664" s="357" t="str">
        <f t="shared" si="114"/>
        <v/>
      </c>
      <c r="EF664" s="357" t="str">
        <f t="shared" si="115"/>
        <v/>
      </c>
      <c r="EG664" s="357" t="str">
        <f t="shared" si="116"/>
        <v/>
      </c>
      <c r="EH664" s="357" t="str">
        <f t="shared" si="117"/>
        <v/>
      </c>
      <c r="EI664" s="357" t="str">
        <f t="shared" si="118"/>
        <v/>
      </c>
      <c r="EJ664" s="357" t="str">
        <f t="shared" si="119"/>
        <v/>
      </c>
      <c r="EK664" s="357" t="str">
        <f t="shared" si="120"/>
        <v/>
      </c>
      <c r="EL664" s="357" t="str">
        <f t="shared" si="121"/>
        <v/>
      </c>
      <c r="EM664" s="357" t="str">
        <f t="shared" si="122"/>
        <v/>
      </c>
      <c r="EN664" s="357" t="str">
        <f t="shared" si="123"/>
        <v/>
      </c>
      <c r="EO664" s="357" t="str">
        <f t="shared" si="124"/>
        <v/>
      </c>
      <c r="EP664" s="357" t="str">
        <f t="shared" si="125"/>
        <v/>
      </c>
      <c r="EQ664" s="357" t="str">
        <f t="shared" si="126"/>
        <v/>
      </c>
      <c r="ER664" s="357" t="str">
        <f t="shared" si="127"/>
        <v/>
      </c>
      <c r="ES664" s="357" t="str">
        <f t="shared" si="128"/>
        <v/>
      </c>
      <c r="ET664" s="357" t="str">
        <f t="shared" si="129"/>
        <v/>
      </c>
      <c r="EU664" s="357" t="str">
        <f t="shared" si="130"/>
        <v/>
      </c>
      <c r="EV664" s="357">
        <f t="shared" si="131"/>
        <v>23188</v>
      </c>
      <c r="EW664" s="357" t="str">
        <f t="shared" si="132"/>
        <v/>
      </c>
      <c r="EX664" s="357" t="str">
        <f t="shared" si="133"/>
        <v/>
      </c>
      <c r="EY664" s="357" t="str">
        <f t="shared" si="134"/>
        <v/>
      </c>
      <c r="EZ664" s="357" t="str">
        <f t="shared" si="135"/>
        <v/>
      </c>
      <c r="FA664" s="357" t="str">
        <f t="shared" si="136"/>
        <v/>
      </c>
      <c r="FB664" s="357" t="str">
        <f t="shared" si="137"/>
        <v/>
      </c>
      <c r="FC664" s="357" t="str">
        <f t="shared" si="138"/>
        <v/>
      </c>
      <c r="FD664" s="357" t="str">
        <f t="shared" si="139"/>
        <v/>
      </c>
      <c r="FE664" s="357" t="str">
        <f t="shared" si="140"/>
        <v/>
      </c>
      <c r="FF664" s="357" t="str">
        <f t="shared" si="141"/>
        <v/>
      </c>
      <c r="FG664" s="357" t="str">
        <f t="shared" si="142"/>
        <v/>
      </c>
      <c r="FH664" s="357" t="str">
        <f t="shared" si="143"/>
        <v/>
      </c>
      <c r="FI664" s="357" t="str">
        <f t="shared" si="144"/>
        <v/>
      </c>
      <c r="FJ664" s="357" t="str">
        <f t="shared" si="145"/>
        <v/>
      </c>
      <c r="FK664" s="357" t="str">
        <f t="shared" si="146"/>
        <v/>
      </c>
      <c r="FL664" s="357" t="str">
        <f t="shared" si="147"/>
        <v/>
      </c>
      <c r="FM664" s="357" t="str">
        <f t="shared" si="148"/>
        <v/>
      </c>
      <c r="FN664" s="357" t="str">
        <f t="shared" si="149"/>
        <v/>
      </c>
      <c r="FO664" s="357" t="str">
        <f t="shared" si="150"/>
        <v/>
      </c>
      <c r="FP664" s="357" t="str">
        <f t="shared" si="151"/>
        <v/>
      </c>
      <c r="FQ664" s="357" t="str">
        <f t="shared" si="152"/>
        <v/>
      </c>
      <c r="FR664" s="357" t="str">
        <f t="shared" si="153"/>
        <v/>
      </c>
      <c r="FS664" s="357" t="str">
        <f t="shared" si="154"/>
        <v/>
      </c>
      <c r="FT664" s="357" t="str">
        <f t="shared" si="155"/>
        <v/>
      </c>
      <c r="FU664" s="357" t="str">
        <f t="shared" si="156"/>
        <v/>
      </c>
      <c r="FV664" s="357" t="str">
        <f t="shared" si="157"/>
        <v/>
      </c>
      <c r="FW664" s="357" t="str">
        <f t="shared" si="158"/>
        <v/>
      </c>
      <c r="FX664" s="357" t="str">
        <f t="shared" si="159"/>
        <v/>
      </c>
      <c r="FY664" s="357" t="str">
        <f t="shared" si="160"/>
        <v/>
      </c>
      <c r="FZ664" s="357">
        <f t="shared" si="161"/>
        <v>23188</v>
      </c>
      <c r="GA664" s="357" t="str">
        <f t="shared" si="162"/>
        <v/>
      </c>
      <c r="GB664" s="357" t="str">
        <f t="shared" si="163"/>
        <v/>
      </c>
      <c r="GC664" s="357" t="str">
        <f t="shared" si="164"/>
        <v/>
      </c>
      <c r="GD664" s="357" t="str">
        <f t="shared" si="165"/>
        <v/>
      </c>
      <c r="GE664" s="357" t="str">
        <f t="shared" si="166"/>
        <v/>
      </c>
      <c r="GF664" s="357" t="str">
        <f t="shared" si="167"/>
        <v/>
      </c>
      <c r="GG664" s="357" t="str">
        <f t="shared" si="168"/>
        <v/>
      </c>
      <c r="GH664" s="357" t="str">
        <f t="shared" si="169"/>
        <v/>
      </c>
      <c r="GI664" s="357" t="str">
        <f t="shared" si="170"/>
        <v/>
      </c>
      <c r="GJ664" s="357">
        <f t="shared" si="171"/>
        <v>17</v>
      </c>
      <c r="GK664" s="357" t="str">
        <f t="shared" si="172"/>
        <v/>
      </c>
      <c r="GL664" s="357" t="str">
        <f t="shared" si="173"/>
        <v/>
      </c>
      <c r="GM664" s="357" t="str">
        <f t="shared" si="174"/>
        <v/>
      </c>
      <c r="GN664" s="357" t="str">
        <f t="shared" si="175"/>
        <v/>
      </c>
      <c r="GO664" s="357" t="str">
        <f t="shared" si="176"/>
        <v/>
      </c>
      <c r="GP664" s="357" t="str">
        <f t="shared" si="177"/>
        <v/>
      </c>
      <c r="GQ664" s="357" t="str">
        <f t="shared" si="178"/>
        <v/>
      </c>
      <c r="GR664" s="357" t="str">
        <f t="shared" si="179"/>
        <v/>
      </c>
      <c r="GS664" s="357" t="str">
        <f t="shared" si="180"/>
        <v/>
      </c>
      <c r="GT664" s="357" t="str">
        <f t="shared" si="181"/>
        <v/>
      </c>
      <c r="GU664" s="357" t="str">
        <f t="shared" si="182"/>
        <v/>
      </c>
      <c r="GV664" s="357" t="str">
        <f t="shared" si="183"/>
        <v/>
      </c>
      <c r="GW664" s="357" t="str">
        <f t="shared" si="184"/>
        <v/>
      </c>
      <c r="GX664" s="357" t="str">
        <f t="shared" si="185"/>
        <v/>
      </c>
      <c r="GY664" s="357" t="str">
        <f t="shared" si="186"/>
        <v/>
      </c>
      <c r="GZ664" s="357" t="str">
        <f t="shared" si="187"/>
        <v/>
      </c>
      <c r="HA664" s="357" t="str">
        <f t="shared" si="188"/>
        <v/>
      </c>
      <c r="HB664" s="357" t="str">
        <f t="shared" si="189"/>
        <v/>
      </c>
      <c r="HC664" s="357" t="str">
        <f t="shared" si="190"/>
        <v/>
      </c>
      <c r="HD664" s="357" t="str">
        <f t="shared" si="191"/>
        <v/>
      </c>
      <c r="HE664" s="357" t="str">
        <f t="shared" si="192"/>
        <v/>
      </c>
      <c r="HF664" s="357" t="str">
        <f t="shared" si="193"/>
        <v/>
      </c>
      <c r="HG664" s="357" t="str">
        <f t="shared" si="194"/>
        <v/>
      </c>
      <c r="HH664" s="357" t="str">
        <f t="shared" si="195"/>
        <v/>
      </c>
      <c r="HI664" s="357" t="str">
        <f t="shared" si="196"/>
        <v/>
      </c>
      <c r="HJ664" s="357" t="str">
        <f t="shared" si="197"/>
        <v/>
      </c>
      <c r="HK664" s="357" t="str">
        <f t="shared" si="198"/>
        <v/>
      </c>
      <c r="HL664" s="357" t="str">
        <f t="shared" si="199"/>
        <v/>
      </c>
      <c r="HM664" s="357" t="str">
        <f t="shared" si="200"/>
        <v/>
      </c>
      <c r="HN664" s="357" t="str">
        <f t="shared" si="201"/>
        <v/>
      </c>
      <c r="HO664" s="357" t="str">
        <f t="shared" si="202"/>
        <v/>
      </c>
      <c r="HP664" s="357" t="str">
        <f t="shared" si="203"/>
        <v/>
      </c>
      <c r="HQ664" s="357" t="str">
        <f t="shared" si="204"/>
        <v/>
      </c>
      <c r="HR664" s="357" t="str">
        <f t="shared" si="205"/>
        <v/>
      </c>
      <c r="HS664" s="357" t="str">
        <f t="shared" si="206"/>
        <v/>
      </c>
      <c r="HT664" s="357" t="str">
        <f t="shared" si="207"/>
        <v/>
      </c>
      <c r="HU664" s="357" t="str">
        <f t="shared" si="208"/>
        <v/>
      </c>
      <c r="HV664" s="357" t="str">
        <f t="shared" si="209"/>
        <v/>
      </c>
      <c r="HW664" s="357" t="str">
        <f t="shared" si="210"/>
        <v/>
      </c>
      <c r="HX664" s="357" t="str">
        <f t="shared" si="211"/>
        <v/>
      </c>
      <c r="HY664" s="357" t="str">
        <f t="shared" si="212"/>
        <v/>
      </c>
      <c r="HZ664" s="1903" t="str">
        <f t="shared" si="213"/>
        <v/>
      </c>
      <c r="IA664" s="1903" t="str">
        <f t="shared" si="214"/>
        <v/>
      </c>
      <c r="IB664" s="1903" t="str">
        <f t="shared" si="215"/>
        <v/>
      </c>
      <c r="IC664" s="1903">
        <f t="shared" si="216"/>
        <v>17</v>
      </c>
      <c r="ID664" s="1903" t="str">
        <f t="shared" si="217"/>
        <v/>
      </c>
      <c r="IE664" s="1903" t="str">
        <f t="shared" si="218"/>
        <v/>
      </c>
      <c r="IF664" s="1903" t="str">
        <f t="shared" si="219"/>
        <v/>
      </c>
      <c r="IG664" s="1903" t="str">
        <f t="shared" si="220"/>
        <v/>
      </c>
      <c r="IH664" s="1903" t="str">
        <f t="shared" si="221"/>
        <v/>
      </c>
      <c r="II664" s="1903" t="str">
        <f t="shared" si="222"/>
        <v/>
      </c>
      <c r="IJ664" s="1903" t="str">
        <f t="shared" si="223"/>
        <v/>
      </c>
      <c r="IK664" s="1903" t="str">
        <f t="shared" si="224"/>
        <v/>
      </c>
      <c r="IL664" s="1903" t="str">
        <f t="shared" si="225"/>
        <v/>
      </c>
      <c r="IM664" s="1903" t="str">
        <f t="shared" si="226"/>
        <v/>
      </c>
      <c r="IN664" s="1903" t="str">
        <f t="shared" si="227"/>
        <v/>
      </c>
      <c r="IO664" s="1903" t="str">
        <f t="shared" si="228"/>
        <v/>
      </c>
      <c r="IP664" s="1903" t="str">
        <f t="shared" si="229"/>
        <v/>
      </c>
      <c r="IQ664" s="1903" t="str">
        <f t="shared" si="230"/>
        <v/>
      </c>
      <c r="IR664" s="1903" t="str">
        <f t="shared" si="231"/>
        <v/>
      </c>
      <c r="IS664" s="1903" t="str">
        <f t="shared" si="232"/>
        <v/>
      </c>
      <c r="IT664" s="1903" t="str">
        <f t="shared" si="233"/>
        <v/>
      </c>
      <c r="IU664" s="1903" t="str">
        <f t="shared" si="234"/>
        <v/>
      </c>
      <c r="IV664" s="1903" t="str">
        <f t="shared" si="235"/>
        <v/>
      </c>
      <c r="IW664" s="1903" t="str">
        <f t="shared" si="236"/>
        <v/>
      </c>
      <c r="IX664" s="1903" t="str">
        <f t="shared" si="237"/>
        <v/>
      </c>
      <c r="IY664" s="1903" t="str">
        <f t="shared" si="238"/>
        <v/>
      </c>
      <c r="IZ664" s="1903" t="str">
        <f t="shared" si="239"/>
        <v/>
      </c>
      <c r="JA664" s="1903" t="str">
        <f t="shared" si="240"/>
        <v/>
      </c>
      <c r="JB664" s="1903" t="str">
        <f t="shared" si="241"/>
        <v/>
      </c>
      <c r="JC664" s="1903" t="str">
        <f t="shared" si="242"/>
        <v/>
      </c>
      <c r="JD664" s="1903" t="str">
        <f t="shared" si="243"/>
        <v/>
      </c>
      <c r="JE664" s="1903" t="str">
        <f t="shared" si="244"/>
        <v/>
      </c>
      <c r="JF664" s="1903" t="str">
        <f t="shared" si="245"/>
        <v/>
      </c>
      <c r="JG664" s="1903" t="str">
        <f t="shared" si="246"/>
        <v/>
      </c>
      <c r="JH664" s="1903" t="str">
        <f t="shared" si="247"/>
        <v/>
      </c>
      <c r="JI664" s="1903" t="str">
        <f t="shared" si="248"/>
        <v/>
      </c>
      <c r="JJ664" s="1903" t="str">
        <f t="shared" si="249"/>
        <v/>
      </c>
      <c r="JK664" s="1903" t="str">
        <f t="shared" si="250"/>
        <v/>
      </c>
      <c r="JL664" s="1903" t="str">
        <f t="shared" si="251"/>
        <v/>
      </c>
      <c r="JM664" s="1903" t="str">
        <f t="shared" si="252"/>
        <v/>
      </c>
      <c r="JN664" s="1903" t="str">
        <f t="shared" si="253"/>
        <v/>
      </c>
      <c r="JO664" s="1903" t="str">
        <f t="shared" si="254"/>
        <v/>
      </c>
      <c r="JP664" s="1903" t="str">
        <f t="shared" si="255"/>
        <v/>
      </c>
      <c r="JQ664" s="1903" t="str">
        <f t="shared" si="256"/>
        <v/>
      </c>
      <c r="JR664" s="1903" t="str">
        <f t="shared" si="257"/>
        <v/>
      </c>
      <c r="JS664" s="1903" t="str">
        <f t="shared" si="258"/>
        <v/>
      </c>
      <c r="JT664" s="1903" t="str">
        <f t="shared" si="259"/>
        <v/>
      </c>
      <c r="JU664" s="1903" t="str">
        <f t="shared" si="260"/>
        <v/>
      </c>
      <c r="JV664" s="1903">
        <f t="shared" si="261"/>
        <v>17</v>
      </c>
      <c r="JW664" s="1903" t="str">
        <f t="shared" si="262"/>
        <v/>
      </c>
      <c r="JX664" s="1903" t="str">
        <f t="shared" si="263"/>
        <v/>
      </c>
      <c r="JY664" s="1903" t="str">
        <f t="shared" si="264"/>
        <v/>
      </c>
      <c r="JZ664" s="1903" t="str">
        <f t="shared" si="265"/>
        <v/>
      </c>
      <c r="KA664" s="1903" t="str">
        <f t="shared" si="266"/>
        <v/>
      </c>
      <c r="KB664" s="1903" t="str">
        <f t="shared" si="267"/>
        <v/>
      </c>
      <c r="KC664" s="1903" t="str">
        <f t="shared" si="268"/>
        <v/>
      </c>
      <c r="KD664" s="1903" t="str">
        <f t="shared" si="269"/>
        <v/>
      </c>
      <c r="KE664" s="1903" t="str">
        <f t="shared" si="270"/>
        <v/>
      </c>
      <c r="KF664" s="1903" t="str">
        <f t="shared" si="271"/>
        <v/>
      </c>
      <c r="KG664" s="1903" t="str">
        <f t="shared" si="272"/>
        <v/>
      </c>
      <c r="KH664" s="1903" t="str">
        <f t="shared" si="273"/>
        <v/>
      </c>
      <c r="KI664" s="1903" t="str">
        <f t="shared" si="274"/>
        <v/>
      </c>
      <c r="KJ664" s="1903" t="str">
        <f t="shared" si="275"/>
        <v/>
      </c>
      <c r="KK664" s="1903" t="str">
        <f t="shared" si="276"/>
        <v/>
      </c>
      <c r="KL664" s="1903" t="str">
        <f t="shared" si="277"/>
        <v/>
      </c>
      <c r="KM664" s="1903" t="str">
        <f t="shared" si="278"/>
        <v/>
      </c>
      <c r="KN664" s="1903" t="str">
        <f t="shared" si="279"/>
        <v/>
      </c>
      <c r="KO664" s="1903" t="str">
        <f t="shared" si="280"/>
        <v/>
      </c>
      <c r="KP664" s="1903" t="str">
        <f t="shared" si="281"/>
        <v/>
      </c>
      <c r="KQ664" s="1903" t="str">
        <f t="shared" si="282"/>
        <v/>
      </c>
      <c r="KR664" s="1903" t="str">
        <f t="shared" si="283"/>
        <v/>
      </c>
      <c r="KS664" s="1903" t="str">
        <f t="shared" si="284"/>
        <v/>
      </c>
      <c r="KT664" s="1903" t="str">
        <f t="shared" si="285"/>
        <v/>
      </c>
      <c r="KU664" s="1903" t="str">
        <f t="shared" si="286"/>
        <v/>
      </c>
      <c r="KV664" s="1903" t="str">
        <f t="shared" si="287"/>
        <v/>
      </c>
      <c r="KW664" s="1903" t="str">
        <f t="shared" si="288"/>
        <v/>
      </c>
      <c r="KX664" s="1903" t="str">
        <f t="shared" si="289"/>
        <v/>
      </c>
      <c r="KY664" s="1903" t="str">
        <f t="shared" si="290"/>
        <v/>
      </c>
      <c r="KZ664" s="1903" t="str">
        <f t="shared" si="291"/>
        <v/>
      </c>
      <c r="LA664" s="1903" t="str">
        <f t="shared" si="292"/>
        <v/>
      </c>
      <c r="LB664" s="1903" t="str">
        <f t="shared" si="293"/>
        <v/>
      </c>
      <c r="LC664" s="1903" t="str">
        <f t="shared" si="294"/>
        <v/>
      </c>
      <c r="LD664" s="1903" t="str">
        <f t="shared" si="295"/>
        <v/>
      </c>
      <c r="LE664" s="1903" t="str">
        <f t="shared" si="296"/>
        <v/>
      </c>
      <c r="LF664" s="1903" t="str">
        <f t="shared" si="297"/>
        <v/>
      </c>
      <c r="LG664" s="1750" t="str">
        <f t="shared" si="298"/>
        <v/>
      </c>
      <c r="LH664" s="1750" t="str">
        <f t="shared" si="299"/>
        <v/>
      </c>
      <c r="LI664" s="1750" t="str">
        <f t="shared" si="300"/>
        <v/>
      </c>
      <c r="LJ664" s="1750" t="str">
        <f t="shared" si="301"/>
        <v/>
      </c>
      <c r="LK664" s="1750" t="str">
        <f t="shared" si="302"/>
        <v/>
      </c>
      <c r="LL664" s="357" t="str">
        <f t="shared" si="303"/>
        <v/>
      </c>
      <c r="LM664" s="357" t="str">
        <f t="shared" si="304"/>
        <v/>
      </c>
      <c r="LN664" s="357" t="str">
        <f t="shared" si="305"/>
        <v/>
      </c>
      <c r="LO664" s="357" t="str">
        <f t="shared" si="306"/>
        <v/>
      </c>
      <c r="LP664" s="357" t="str">
        <f t="shared" si="307"/>
        <v/>
      </c>
      <c r="LQ664" s="357" t="str">
        <f t="shared" si="308"/>
        <v/>
      </c>
      <c r="LR664" s="357" t="str">
        <f t="shared" si="309"/>
        <v/>
      </c>
      <c r="LS664" s="357" t="str">
        <f t="shared" si="310"/>
        <v/>
      </c>
      <c r="LT664" s="357" t="str">
        <f t="shared" si="311"/>
        <v/>
      </c>
      <c r="LU664" s="357" t="str">
        <f t="shared" si="312"/>
        <v/>
      </c>
      <c r="LV664" s="357" t="str">
        <f t="shared" si="313"/>
        <v/>
      </c>
      <c r="LW664" s="357" t="str">
        <f t="shared" si="314"/>
        <v/>
      </c>
      <c r="LX664" s="357" t="str">
        <f t="shared" si="315"/>
        <v/>
      </c>
      <c r="LY664" s="357" t="str">
        <f t="shared" si="316"/>
        <v/>
      </c>
      <c r="LZ664" s="357" t="str">
        <f t="shared" si="317"/>
        <v/>
      </c>
      <c r="MA664" s="357" t="str">
        <f t="shared" si="318"/>
        <v/>
      </c>
      <c r="MB664" s="357" t="str">
        <f t="shared" si="319"/>
        <v/>
      </c>
      <c r="MC664" s="357" t="str">
        <f t="shared" si="320"/>
        <v/>
      </c>
      <c r="MD664" s="357" t="str">
        <f t="shared" si="321"/>
        <v/>
      </c>
      <c r="ME664" s="357" t="str">
        <f t="shared" si="322"/>
        <v/>
      </c>
      <c r="MF664" s="1750">
        <f t="shared" si="323"/>
        <v>0</v>
      </c>
      <c r="MG664" s="1750">
        <f t="shared" si="324"/>
        <v>0</v>
      </c>
      <c r="MH664" s="1750">
        <f t="shared" si="325"/>
        <v>0</v>
      </c>
      <c r="MI664" s="1750">
        <f t="shared" si="326"/>
        <v>0</v>
      </c>
      <c r="MJ664" s="1750">
        <f t="shared" si="327"/>
        <v>0</v>
      </c>
      <c r="MK664" s="1750">
        <f t="shared" si="333"/>
        <v>0</v>
      </c>
      <c r="ML664" s="1750">
        <f t="shared" si="334"/>
        <v>0</v>
      </c>
      <c r="MM664" s="1750">
        <f t="shared" si="335"/>
        <v>0</v>
      </c>
      <c r="MN664" s="1750">
        <f t="shared" si="336"/>
        <v>17</v>
      </c>
      <c r="MO664" s="1750">
        <f t="shared" si="337"/>
        <v>0</v>
      </c>
      <c r="MP664" s="1750">
        <f t="shared" si="328"/>
        <v>0</v>
      </c>
      <c r="MQ664" s="1750">
        <f t="shared" si="329"/>
        <v>0</v>
      </c>
      <c r="MR664" s="1750">
        <f t="shared" si="330"/>
        <v>0</v>
      </c>
      <c r="MS664" s="1750">
        <f t="shared" si="331"/>
        <v>0</v>
      </c>
      <c r="MT664" s="1750">
        <f t="shared" si="332"/>
        <v>0</v>
      </c>
      <c r="NP664" s="357" t="s">
        <v>6429</v>
      </c>
    </row>
    <row r="665" spans="1:380" ht="13.9" customHeight="1">
      <c r="A665" s="1901" t="str">
        <f t="shared" si="0"/>
        <v/>
      </c>
      <c r="B665" s="2238">
        <f>'Part V-Revenues &amp; Expenses'!B27</f>
        <v>60</v>
      </c>
      <c r="C665" s="2229">
        <f>'Part V-Revenues &amp; Expenses'!C27</f>
        <v>3</v>
      </c>
      <c r="D665" s="2230">
        <f>'Part V-Revenues &amp; Expenses'!D27</f>
        <v>2</v>
      </c>
      <c r="E665" s="2231">
        <f>'Part V-Revenues &amp; Expenses'!E27</f>
        <v>6</v>
      </c>
      <c r="F665" s="2231">
        <f>'Part V-Revenues &amp; Expenses'!F27</f>
        <v>1364</v>
      </c>
      <c r="G665" s="2231">
        <f>'Part V-Revenues &amp; Expenses'!G27</f>
        <v>1363</v>
      </c>
      <c r="H665" s="2231">
        <f>'Part V-Revenues &amp; Expenses'!H27</f>
        <v>1263</v>
      </c>
      <c r="I665" s="2231">
        <f>'Part V-Revenues &amp; Expenses'!I27</f>
        <v>0</v>
      </c>
      <c r="J665" s="2231">
        <f>'Part V-Revenues &amp; Expenses'!J27</f>
        <v>98</v>
      </c>
      <c r="K665" s="2232">
        <f>'Part V-Revenues &amp; Expenses'!K27</f>
        <v>0</v>
      </c>
      <c r="L665" s="2233">
        <f t="shared" si="340"/>
        <v>1165</v>
      </c>
      <c r="M665" s="2233">
        <f t="shared" si="341"/>
        <v>6990</v>
      </c>
      <c r="N665" s="2094" t="str">
        <f>'Part V-Revenues &amp; Expenses'!N27</f>
        <v>No</v>
      </c>
      <c r="O665" s="2234" t="str">
        <f>'Part V-Revenues &amp; Expenses'!O27</f>
        <v>Low-Rise Apt</v>
      </c>
      <c r="P665" s="2094" t="str">
        <f>'Part V-Revenues &amp; Expenses'!P27</f>
        <v>New Construction</v>
      </c>
      <c r="Q665" s="2235" t="str">
        <f>'Part V-Revenues &amp; Expenses'!Q27</f>
        <v>No</v>
      </c>
      <c r="R665" s="2236"/>
      <c r="S665" s="2237"/>
      <c r="T665" s="2160"/>
      <c r="U665" s="2160"/>
      <c r="V665" s="2160"/>
      <c r="W665" s="2160"/>
      <c r="X665" s="357" t="str">
        <f t="shared" si="3"/>
        <v/>
      </c>
      <c r="Y665" s="357" t="str">
        <f t="shared" si="4"/>
        <v/>
      </c>
      <c r="Z665" s="357" t="str">
        <f t="shared" si="5"/>
        <v/>
      </c>
      <c r="AA665" s="357" t="str">
        <f t="shared" si="6"/>
        <v/>
      </c>
      <c r="AB665" s="357" t="str">
        <f t="shared" si="7"/>
        <v/>
      </c>
      <c r="AC665" s="357" t="str">
        <f t="shared" si="8"/>
        <v/>
      </c>
      <c r="AD665" s="357" t="str">
        <f t="shared" si="9"/>
        <v/>
      </c>
      <c r="AE665" s="357" t="str">
        <f t="shared" si="10"/>
        <v/>
      </c>
      <c r="AF665" s="357" t="str">
        <f t="shared" si="11"/>
        <v/>
      </c>
      <c r="AG665" s="357" t="str">
        <f t="shared" si="12"/>
        <v/>
      </c>
      <c r="AH665" s="357" t="str">
        <f t="shared" si="13"/>
        <v/>
      </c>
      <c r="AI665" s="357" t="str">
        <f t="shared" si="14"/>
        <v/>
      </c>
      <c r="AJ665" s="357" t="str">
        <f t="shared" si="15"/>
        <v/>
      </c>
      <c r="AK665" s="357">
        <f t="shared" si="16"/>
        <v>6</v>
      </c>
      <c r="AL665" s="357" t="str">
        <f t="shared" si="17"/>
        <v/>
      </c>
      <c r="AM665" s="357" t="str">
        <f t="shared" si="18"/>
        <v/>
      </c>
      <c r="AN665" s="357" t="str">
        <f t="shared" si="19"/>
        <v/>
      </c>
      <c r="AO665" s="357" t="str">
        <f t="shared" si="20"/>
        <v/>
      </c>
      <c r="AP665" s="357" t="str">
        <f t="shared" si="21"/>
        <v/>
      </c>
      <c r="AQ665" s="357" t="str">
        <f t="shared" si="22"/>
        <v/>
      </c>
      <c r="AR665" s="357" t="str">
        <f t="shared" si="23"/>
        <v/>
      </c>
      <c r="AS665" s="357" t="str">
        <f t="shared" si="24"/>
        <v/>
      </c>
      <c r="AT665" s="357" t="str">
        <f t="shared" si="25"/>
        <v/>
      </c>
      <c r="AU665" s="357" t="str">
        <f t="shared" si="26"/>
        <v/>
      </c>
      <c r="AV665" s="357" t="str">
        <f t="shared" si="27"/>
        <v/>
      </c>
      <c r="AW665" s="357" t="str">
        <f t="shared" si="28"/>
        <v/>
      </c>
      <c r="AX665" s="357" t="str">
        <f t="shared" si="29"/>
        <v/>
      </c>
      <c r="AY665" s="357" t="str">
        <f t="shared" si="30"/>
        <v/>
      </c>
      <c r="AZ665" s="357" t="str">
        <f t="shared" si="31"/>
        <v/>
      </c>
      <c r="BA665" s="357" t="str">
        <f t="shared" si="32"/>
        <v/>
      </c>
      <c r="BB665" s="357" t="str">
        <f t="shared" si="33"/>
        <v/>
      </c>
      <c r="BC665" s="357" t="str">
        <f t="shared" si="34"/>
        <v/>
      </c>
      <c r="BD665" s="357" t="str">
        <f t="shared" si="35"/>
        <v/>
      </c>
      <c r="BE665" s="357" t="str">
        <f t="shared" si="36"/>
        <v/>
      </c>
      <c r="BF665" s="357" t="str">
        <f t="shared" si="37"/>
        <v/>
      </c>
      <c r="BG665" s="357" t="str">
        <f t="shared" si="38"/>
        <v/>
      </c>
      <c r="BH665" s="357" t="str">
        <f t="shared" si="39"/>
        <v/>
      </c>
      <c r="BI665" s="357" t="str">
        <f t="shared" si="40"/>
        <v/>
      </c>
      <c r="BJ665" s="357" t="str">
        <f t="shared" si="41"/>
        <v/>
      </c>
      <c r="BK665" s="357" t="str">
        <f t="shared" si="42"/>
        <v/>
      </c>
      <c r="BL665" s="357" t="str">
        <f t="shared" si="43"/>
        <v/>
      </c>
      <c r="BM665" s="357" t="str">
        <f t="shared" si="44"/>
        <v/>
      </c>
      <c r="BN665" s="357" t="str">
        <f t="shared" si="45"/>
        <v/>
      </c>
      <c r="BO665" s="357" t="str">
        <f t="shared" si="46"/>
        <v/>
      </c>
      <c r="BP665" s="357" t="str">
        <f t="shared" si="47"/>
        <v/>
      </c>
      <c r="BQ665" s="357" t="str">
        <f t="shared" si="48"/>
        <v/>
      </c>
      <c r="BR665" s="357" t="str">
        <f t="shared" si="49"/>
        <v/>
      </c>
      <c r="BS665" s="357" t="str">
        <f t="shared" si="50"/>
        <v/>
      </c>
      <c r="BT665" s="357" t="str">
        <f t="shared" si="51"/>
        <v/>
      </c>
      <c r="BU665" s="357" t="str">
        <f t="shared" si="52"/>
        <v/>
      </c>
      <c r="BV665" s="357" t="str">
        <f t="shared" si="53"/>
        <v/>
      </c>
      <c r="BW665" s="357" t="str">
        <f t="shared" si="54"/>
        <v/>
      </c>
      <c r="BX665" s="357" t="str">
        <f t="shared" si="55"/>
        <v/>
      </c>
      <c r="BY665" s="357" t="str">
        <f t="shared" si="56"/>
        <v/>
      </c>
      <c r="BZ665" s="357" t="str">
        <f t="shared" si="57"/>
        <v/>
      </c>
      <c r="CA665" s="357" t="str">
        <f t="shared" si="58"/>
        <v/>
      </c>
      <c r="CB665" s="357" t="str">
        <f t="shared" si="59"/>
        <v/>
      </c>
      <c r="CC665" s="357" t="str">
        <f t="shared" si="60"/>
        <v/>
      </c>
      <c r="CD665" s="357" t="str">
        <f t="shared" si="61"/>
        <v/>
      </c>
      <c r="CE665" s="357" t="str">
        <f t="shared" si="62"/>
        <v/>
      </c>
      <c r="CF665" s="357" t="str">
        <f t="shared" si="63"/>
        <v/>
      </c>
      <c r="CG665" s="357" t="str">
        <f t="shared" si="64"/>
        <v/>
      </c>
      <c r="CH665" s="357" t="str">
        <f t="shared" si="65"/>
        <v/>
      </c>
      <c r="CI665" s="357" t="str">
        <f t="shared" si="66"/>
        <v/>
      </c>
      <c r="CJ665" s="357" t="str">
        <f t="shared" si="67"/>
        <v/>
      </c>
      <c r="CK665" s="357" t="str">
        <f t="shared" si="68"/>
        <v/>
      </c>
      <c r="CL665" s="357" t="str">
        <f t="shared" si="69"/>
        <v/>
      </c>
      <c r="CM665" s="357" t="str">
        <f t="shared" si="70"/>
        <v/>
      </c>
      <c r="CN665" s="357" t="str">
        <f t="shared" si="71"/>
        <v/>
      </c>
      <c r="CO665" s="357" t="str">
        <f t="shared" si="72"/>
        <v/>
      </c>
      <c r="CP665" s="357" t="str">
        <f t="shared" si="73"/>
        <v/>
      </c>
      <c r="CQ665" s="357" t="str">
        <f t="shared" si="74"/>
        <v/>
      </c>
      <c r="CR665" s="357" t="str">
        <f t="shared" si="75"/>
        <v/>
      </c>
      <c r="CS665" s="357" t="str">
        <f t="shared" si="76"/>
        <v/>
      </c>
      <c r="CT665" s="357" t="str">
        <f t="shared" si="77"/>
        <v/>
      </c>
      <c r="CU665" s="357" t="str">
        <f t="shared" si="78"/>
        <v/>
      </c>
      <c r="CV665" s="357" t="str">
        <f t="shared" si="79"/>
        <v/>
      </c>
      <c r="CW665" s="357" t="str">
        <f t="shared" si="80"/>
        <v/>
      </c>
      <c r="CX665" s="357" t="str">
        <f t="shared" si="81"/>
        <v/>
      </c>
      <c r="CY665" s="357" t="str">
        <f t="shared" si="82"/>
        <v/>
      </c>
      <c r="CZ665" s="357" t="str">
        <f t="shared" si="83"/>
        <v/>
      </c>
      <c r="DA665" s="357" t="str">
        <f t="shared" si="84"/>
        <v/>
      </c>
      <c r="DB665" s="357" t="str">
        <f t="shared" si="85"/>
        <v/>
      </c>
      <c r="DC665" s="357" t="str">
        <f t="shared" si="86"/>
        <v/>
      </c>
      <c r="DD665" s="357" t="str">
        <f t="shared" si="87"/>
        <v/>
      </c>
      <c r="DE665" s="357" t="str">
        <f t="shared" si="88"/>
        <v/>
      </c>
      <c r="DF665" s="357" t="str">
        <f t="shared" si="89"/>
        <v/>
      </c>
      <c r="DG665" s="357" t="str">
        <f t="shared" si="90"/>
        <v/>
      </c>
      <c r="DH665" s="357" t="str">
        <f t="shared" si="91"/>
        <v/>
      </c>
      <c r="DI665" s="357" t="str">
        <f t="shared" si="92"/>
        <v/>
      </c>
      <c r="DJ665" s="357" t="str">
        <f t="shared" si="93"/>
        <v/>
      </c>
      <c r="DK665" s="357" t="str">
        <f t="shared" si="94"/>
        <v/>
      </c>
      <c r="DL665" s="357" t="str">
        <f t="shared" si="95"/>
        <v/>
      </c>
      <c r="DM665" s="357" t="str">
        <f t="shared" si="96"/>
        <v/>
      </c>
      <c r="DN665" s="357" t="str">
        <f t="shared" si="97"/>
        <v/>
      </c>
      <c r="DO665" s="357" t="str">
        <f t="shared" si="98"/>
        <v/>
      </c>
      <c r="DP665" s="357" t="str">
        <f t="shared" si="99"/>
        <v/>
      </c>
      <c r="DQ665" s="357" t="str">
        <f t="shared" si="100"/>
        <v/>
      </c>
      <c r="DR665" s="357" t="str">
        <f t="shared" si="101"/>
        <v/>
      </c>
      <c r="DS665" s="357" t="str">
        <f t="shared" si="102"/>
        <v/>
      </c>
      <c r="DT665" s="357" t="str">
        <f t="shared" si="103"/>
        <v/>
      </c>
      <c r="DU665" s="357" t="str">
        <f t="shared" si="104"/>
        <v/>
      </c>
      <c r="DV665" s="357" t="str">
        <f t="shared" si="105"/>
        <v/>
      </c>
      <c r="DW665" s="357" t="str">
        <f t="shared" si="106"/>
        <v/>
      </c>
      <c r="DX665" s="357" t="str">
        <f t="shared" si="107"/>
        <v/>
      </c>
      <c r="DY665" s="357" t="str">
        <f t="shared" si="108"/>
        <v/>
      </c>
      <c r="DZ665" s="357" t="str">
        <f t="shared" si="109"/>
        <v/>
      </c>
      <c r="EA665" s="357" t="str">
        <f t="shared" si="110"/>
        <v/>
      </c>
      <c r="EB665" s="357" t="str">
        <f t="shared" si="111"/>
        <v/>
      </c>
      <c r="EC665" s="357" t="str">
        <f t="shared" si="112"/>
        <v/>
      </c>
      <c r="ED665" s="357" t="str">
        <f t="shared" si="113"/>
        <v/>
      </c>
      <c r="EE665" s="357" t="str">
        <f t="shared" si="114"/>
        <v/>
      </c>
      <c r="EF665" s="357" t="str">
        <f t="shared" si="115"/>
        <v/>
      </c>
      <c r="EG665" s="357" t="str">
        <f t="shared" si="116"/>
        <v/>
      </c>
      <c r="EH665" s="357" t="str">
        <f t="shared" si="117"/>
        <v/>
      </c>
      <c r="EI665" s="357" t="str">
        <f t="shared" si="118"/>
        <v/>
      </c>
      <c r="EJ665" s="357" t="str">
        <f t="shared" si="119"/>
        <v/>
      </c>
      <c r="EK665" s="357" t="str">
        <f t="shared" si="120"/>
        <v/>
      </c>
      <c r="EL665" s="357" t="str">
        <f t="shared" si="121"/>
        <v/>
      </c>
      <c r="EM665" s="357" t="str">
        <f t="shared" si="122"/>
        <v/>
      </c>
      <c r="EN665" s="357" t="str">
        <f t="shared" si="123"/>
        <v/>
      </c>
      <c r="EO665" s="357" t="str">
        <f t="shared" si="124"/>
        <v/>
      </c>
      <c r="EP665" s="357" t="str">
        <f t="shared" si="125"/>
        <v/>
      </c>
      <c r="EQ665" s="357" t="str">
        <f t="shared" si="126"/>
        <v/>
      </c>
      <c r="ER665" s="357" t="str">
        <f t="shared" si="127"/>
        <v/>
      </c>
      <c r="ES665" s="357" t="str">
        <f t="shared" si="128"/>
        <v/>
      </c>
      <c r="ET665" s="357" t="str">
        <f t="shared" si="129"/>
        <v/>
      </c>
      <c r="EU665" s="357" t="str">
        <f t="shared" si="130"/>
        <v/>
      </c>
      <c r="EV665" s="357">
        <f t="shared" si="131"/>
        <v>8184</v>
      </c>
      <c r="EW665" s="357" t="str">
        <f t="shared" si="132"/>
        <v/>
      </c>
      <c r="EX665" s="357" t="str">
        <f t="shared" si="133"/>
        <v/>
      </c>
      <c r="EY665" s="357" t="str">
        <f t="shared" si="134"/>
        <v/>
      </c>
      <c r="EZ665" s="357" t="str">
        <f t="shared" si="135"/>
        <v/>
      </c>
      <c r="FA665" s="357" t="str">
        <f t="shared" si="136"/>
        <v/>
      </c>
      <c r="FB665" s="357" t="str">
        <f t="shared" si="137"/>
        <v/>
      </c>
      <c r="FC665" s="357" t="str">
        <f t="shared" si="138"/>
        <v/>
      </c>
      <c r="FD665" s="357" t="str">
        <f t="shared" si="139"/>
        <v/>
      </c>
      <c r="FE665" s="357" t="str">
        <f t="shared" si="140"/>
        <v/>
      </c>
      <c r="FF665" s="357" t="str">
        <f t="shared" si="141"/>
        <v/>
      </c>
      <c r="FG665" s="357" t="str">
        <f t="shared" si="142"/>
        <v/>
      </c>
      <c r="FH665" s="357" t="str">
        <f t="shared" si="143"/>
        <v/>
      </c>
      <c r="FI665" s="357" t="str">
        <f t="shared" si="144"/>
        <v/>
      </c>
      <c r="FJ665" s="357" t="str">
        <f t="shared" si="145"/>
        <v/>
      </c>
      <c r="FK665" s="357" t="str">
        <f t="shared" si="146"/>
        <v/>
      </c>
      <c r="FL665" s="357" t="str">
        <f t="shared" si="147"/>
        <v/>
      </c>
      <c r="FM665" s="357" t="str">
        <f t="shared" si="148"/>
        <v/>
      </c>
      <c r="FN665" s="357" t="str">
        <f t="shared" si="149"/>
        <v/>
      </c>
      <c r="FO665" s="357" t="str">
        <f t="shared" si="150"/>
        <v/>
      </c>
      <c r="FP665" s="357" t="str">
        <f t="shared" si="151"/>
        <v/>
      </c>
      <c r="FQ665" s="357" t="str">
        <f t="shared" si="152"/>
        <v/>
      </c>
      <c r="FR665" s="357" t="str">
        <f t="shared" si="153"/>
        <v/>
      </c>
      <c r="FS665" s="357" t="str">
        <f t="shared" si="154"/>
        <v/>
      </c>
      <c r="FT665" s="357" t="str">
        <f t="shared" si="155"/>
        <v/>
      </c>
      <c r="FU665" s="357" t="str">
        <f t="shared" si="156"/>
        <v/>
      </c>
      <c r="FV665" s="357" t="str">
        <f t="shared" si="157"/>
        <v/>
      </c>
      <c r="FW665" s="357" t="str">
        <f t="shared" si="158"/>
        <v/>
      </c>
      <c r="FX665" s="357" t="str">
        <f t="shared" si="159"/>
        <v/>
      </c>
      <c r="FY665" s="357" t="str">
        <f t="shared" si="160"/>
        <v/>
      </c>
      <c r="FZ665" s="357" t="str">
        <f t="shared" si="161"/>
        <v/>
      </c>
      <c r="GA665" s="357" t="str">
        <f t="shared" si="162"/>
        <v/>
      </c>
      <c r="GB665" s="357" t="str">
        <f t="shared" si="163"/>
        <v/>
      </c>
      <c r="GC665" s="357" t="str">
        <f t="shared" si="164"/>
        <v/>
      </c>
      <c r="GD665" s="357" t="str">
        <f t="shared" si="165"/>
        <v/>
      </c>
      <c r="GE665" s="357" t="str">
        <f t="shared" si="166"/>
        <v/>
      </c>
      <c r="GF665" s="357" t="str">
        <f t="shared" si="167"/>
        <v/>
      </c>
      <c r="GG665" s="357" t="str">
        <f t="shared" si="168"/>
        <v/>
      </c>
      <c r="GH665" s="357" t="str">
        <f t="shared" si="169"/>
        <v/>
      </c>
      <c r="GI665" s="357" t="str">
        <f t="shared" si="170"/>
        <v/>
      </c>
      <c r="GJ665" s="357">
        <f t="shared" si="171"/>
        <v>6</v>
      </c>
      <c r="GK665" s="357" t="str">
        <f t="shared" si="172"/>
        <v/>
      </c>
      <c r="GL665" s="357" t="str">
        <f t="shared" si="173"/>
        <v/>
      </c>
      <c r="GM665" s="357" t="str">
        <f t="shared" si="174"/>
        <v/>
      </c>
      <c r="GN665" s="357" t="str">
        <f t="shared" si="175"/>
        <v/>
      </c>
      <c r="GO665" s="357" t="str">
        <f t="shared" si="176"/>
        <v/>
      </c>
      <c r="GP665" s="357" t="str">
        <f t="shared" si="177"/>
        <v/>
      </c>
      <c r="GQ665" s="357" t="str">
        <f t="shared" si="178"/>
        <v/>
      </c>
      <c r="GR665" s="357" t="str">
        <f t="shared" si="179"/>
        <v/>
      </c>
      <c r="GS665" s="357" t="str">
        <f t="shared" si="180"/>
        <v/>
      </c>
      <c r="GT665" s="357" t="str">
        <f t="shared" si="181"/>
        <v/>
      </c>
      <c r="GU665" s="357" t="str">
        <f t="shared" si="182"/>
        <v/>
      </c>
      <c r="GV665" s="357" t="str">
        <f t="shared" si="183"/>
        <v/>
      </c>
      <c r="GW665" s="357" t="str">
        <f t="shared" si="184"/>
        <v/>
      </c>
      <c r="GX665" s="357" t="str">
        <f t="shared" si="185"/>
        <v/>
      </c>
      <c r="GY665" s="357" t="str">
        <f t="shared" si="186"/>
        <v/>
      </c>
      <c r="GZ665" s="357" t="str">
        <f t="shared" si="187"/>
        <v/>
      </c>
      <c r="HA665" s="357" t="str">
        <f t="shared" si="188"/>
        <v/>
      </c>
      <c r="HB665" s="357" t="str">
        <f t="shared" si="189"/>
        <v/>
      </c>
      <c r="HC665" s="357" t="str">
        <f t="shared" si="190"/>
        <v/>
      </c>
      <c r="HD665" s="357" t="str">
        <f t="shared" si="191"/>
        <v/>
      </c>
      <c r="HE665" s="357" t="str">
        <f t="shared" si="192"/>
        <v/>
      </c>
      <c r="HF665" s="357" t="str">
        <f t="shared" si="193"/>
        <v/>
      </c>
      <c r="HG665" s="357" t="str">
        <f t="shared" si="194"/>
        <v/>
      </c>
      <c r="HH665" s="357" t="str">
        <f t="shared" si="195"/>
        <v/>
      </c>
      <c r="HI665" s="357" t="str">
        <f t="shared" si="196"/>
        <v/>
      </c>
      <c r="HJ665" s="357" t="str">
        <f t="shared" si="197"/>
        <v/>
      </c>
      <c r="HK665" s="357" t="str">
        <f t="shared" si="198"/>
        <v/>
      </c>
      <c r="HL665" s="357" t="str">
        <f t="shared" si="199"/>
        <v/>
      </c>
      <c r="HM665" s="357" t="str">
        <f t="shared" si="200"/>
        <v/>
      </c>
      <c r="HN665" s="357" t="str">
        <f t="shared" si="201"/>
        <v/>
      </c>
      <c r="HO665" s="357" t="str">
        <f t="shared" si="202"/>
        <v/>
      </c>
      <c r="HP665" s="357" t="str">
        <f t="shared" si="203"/>
        <v/>
      </c>
      <c r="HQ665" s="357" t="str">
        <f t="shared" si="204"/>
        <v/>
      </c>
      <c r="HR665" s="357" t="str">
        <f t="shared" si="205"/>
        <v/>
      </c>
      <c r="HS665" s="357" t="str">
        <f t="shared" si="206"/>
        <v/>
      </c>
      <c r="HT665" s="357" t="str">
        <f t="shared" si="207"/>
        <v/>
      </c>
      <c r="HU665" s="357" t="str">
        <f t="shared" si="208"/>
        <v/>
      </c>
      <c r="HV665" s="357" t="str">
        <f t="shared" si="209"/>
        <v/>
      </c>
      <c r="HW665" s="357" t="str">
        <f t="shared" si="210"/>
        <v/>
      </c>
      <c r="HX665" s="357" t="str">
        <f t="shared" si="211"/>
        <v/>
      </c>
      <c r="HY665" s="357" t="str">
        <f t="shared" si="212"/>
        <v/>
      </c>
      <c r="HZ665" s="1903" t="str">
        <f t="shared" si="213"/>
        <v/>
      </c>
      <c r="IA665" s="1903" t="str">
        <f t="shared" si="214"/>
        <v/>
      </c>
      <c r="IB665" s="1903" t="str">
        <f t="shared" si="215"/>
        <v/>
      </c>
      <c r="IC665" s="1903">
        <f t="shared" si="216"/>
        <v>6</v>
      </c>
      <c r="ID665" s="1903" t="str">
        <f t="shared" si="217"/>
        <v/>
      </c>
      <c r="IE665" s="1903" t="str">
        <f t="shared" si="218"/>
        <v/>
      </c>
      <c r="IF665" s="1903" t="str">
        <f t="shared" si="219"/>
        <v/>
      </c>
      <c r="IG665" s="1903" t="str">
        <f t="shared" si="220"/>
        <v/>
      </c>
      <c r="IH665" s="1903" t="str">
        <f t="shared" si="221"/>
        <v/>
      </c>
      <c r="II665" s="1903" t="str">
        <f t="shared" si="222"/>
        <v/>
      </c>
      <c r="IJ665" s="1903" t="str">
        <f t="shared" si="223"/>
        <v/>
      </c>
      <c r="IK665" s="1903" t="str">
        <f t="shared" si="224"/>
        <v/>
      </c>
      <c r="IL665" s="1903" t="str">
        <f t="shared" si="225"/>
        <v/>
      </c>
      <c r="IM665" s="1903" t="str">
        <f t="shared" si="226"/>
        <v/>
      </c>
      <c r="IN665" s="1903" t="str">
        <f t="shared" si="227"/>
        <v/>
      </c>
      <c r="IO665" s="1903" t="str">
        <f t="shared" si="228"/>
        <v/>
      </c>
      <c r="IP665" s="1903" t="str">
        <f t="shared" si="229"/>
        <v/>
      </c>
      <c r="IQ665" s="1903" t="str">
        <f t="shared" si="230"/>
        <v/>
      </c>
      <c r="IR665" s="1903" t="str">
        <f t="shared" si="231"/>
        <v/>
      </c>
      <c r="IS665" s="1903" t="str">
        <f t="shared" si="232"/>
        <v/>
      </c>
      <c r="IT665" s="1903" t="str">
        <f t="shared" si="233"/>
        <v/>
      </c>
      <c r="IU665" s="1903" t="str">
        <f t="shared" si="234"/>
        <v/>
      </c>
      <c r="IV665" s="1903" t="str">
        <f t="shared" si="235"/>
        <v/>
      </c>
      <c r="IW665" s="1903" t="str">
        <f t="shared" si="236"/>
        <v/>
      </c>
      <c r="IX665" s="1903" t="str">
        <f t="shared" si="237"/>
        <v/>
      </c>
      <c r="IY665" s="1903" t="str">
        <f t="shared" si="238"/>
        <v/>
      </c>
      <c r="IZ665" s="1903" t="str">
        <f t="shared" si="239"/>
        <v/>
      </c>
      <c r="JA665" s="1903" t="str">
        <f t="shared" si="240"/>
        <v/>
      </c>
      <c r="JB665" s="1903" t="str">
        <f t="shared" si="241"/>
        <v/>
      </c>
      <c r="JC665" s="1903" t="str">
        <f t="shared" si="242"/>
        <v/>
      </c>
      <c r="JD665" s="1903" t="str">
        <f t="shared" si="243"/>
        <v/>
      </c>
      <c r="JE665" s="1903" t="str">
        <f t="shared" si="244"/>
        <v/>
      </c>
      <c r="JF665" s="1903" t="str">
        <f t="shared" si="245"/>
        <v/>
      </c>
      <c r="JG665" s="1903" t="str">
        <f t="shared" si="246"/>
        <v/>
      </c>
      <c r="JH665" s="1903" t="str">
        <f t="shared" si="247"/>
        <v/>
      </c>
      <c r="JI665" s="1903" t="str">
        <f t="shared" si="248"/>
        <v/>
      </c>
      <c r="JJ665" s="1903" t="str">
        <f t="shared" si="249"/>
        <v/>
      </c>
      <c r="JK665" s="1903" t="str">
        <f t="shared" si="250"/>
        <v/>
      </c>
      <c r="JL665" s="1903" t="str">
        <f t="shared" si="251"/>
        <v/>
      </c>
      <c r="JM665" s="1903" t="str">
        <f t="shared" si="252"/>
        <v/>
      </c>
      <c r="JN665" s="1903" t="str">
        <f t="shared" si="253"/>
        <v/>
      </c>
      <c r="JO665" s="1903" t="str">
        <f t="shared" si="254"/>
        <v/>
      </c>
      <c r="JP665" s="1903" t="str">
        <f t="shared" si="255"/>
        <v/>
      </c>
      <c r="JQ665" s="1903" t="str">
        <f t="shared" si="256"/>
        <v/>
      </c>
      <c r="JR665" s="1903" t="str">
        <f t="shared" si="257"/>
        <v/>
      </c>
      <c r="JS665" s="1903" t="str">
        <f t="shared" si="258"/>
        <v/>
      </c>
      <c r="JT665" s="1903" t="str">
        <f t="shared" si="259"/>
        <v/>
      </c>
      <c r="JU665" s="1903" t="str">
        <f t="shared" si="260"/>
        <v/>
      </c>
      <c r="JV665" s="1903">
        <f t="shared" si="261"/>
        <v>6</v>
      </c>
      <c r="JW665" s="1903" t="str">
        <f t="shared" si="262"/>
        <v/>
      </c>
      <c r="JX665" s="1903" t="str">
        <f t="shared" si="263"/>
        <v/>
      </c>
      <c r="JY665" s="1903" t="str">
        <f t="shared" si="264"/>
        <v/>
      </c>
      <c r="JZ665" s="1903" t="str">
        <f t="shared" si="265"/>
        <v/>
      </c>
      <c r="KA665" s="1903" t="str">
        <f t="shared" si="266"/>
        <v/>
      </c>
      <c r="KB665" s="1903" t="str">
        <f t="shared" si="267"/>
        <v/>
      </c>
      <c r="KC665" s="1903" t="str">
        <f t="shared" si="268"/>
        <v/>
      </c>
      <c r="KD665" s="1903" t="str">
        <f t="shared" si="269"/>
        <v/>
      </c>
      <c r="KE665" s="1903" t="str">
        <f t="shared" si="270"/>
        <v/>
      </c>
      <c r="KF665" s="1903" t="str">
        <f t="shared" si="271"/>
        <v/>
      </c>
      <c r="KG665" s="1903" t="str">
        <f t="shared" si="272"/>
        <v/>
      </c>
      <c r="KH665" s="1903" t="str">
        <f t="shared" si="273"/>
        <v/>
      </c>
      <c r="KI665" s="1903" t="str">
        <f t="shared" si="274"/>
        <v/>
      </c>
      <c r="KJ665" s="1903" t="str">
        <f t="shared" si="275"/>
        <v/>
      </c>
      <c r="KK665" s="1903" t="str">
        <f t="shared" si="276"/>
        <v/>
      </c>
      <c r="KL665" s="1903" t="str">
        <f t="shared" si="277"/>
        <v/>
      </c>
      <c r="KM665" s="1903" t="str">
        <f t="shared" si="278"/>
        <v/>
      </c>
      <c r="KN665" s="1903" t="str">
        <f t="shared" si="279"/>
        <v/>
      </c>
      <c r="KO665" s="1903" t="str">
        <f t="shared" si="280"/>
        <v/>
      </c>
      <c r="KP665" s="1903" t="str">
        <f t="shared" si="281"/>
        <v/>
      </c>
      <c r="KQ665" s="1903" t="str">
        <f t="shared" si="282"/>
        <v/>
      </c>
      <c r="KR665" s="1903" t="str">
        <f t="shared" si="283"/>
        <v/>
      </c>
      <c r="KS665" s="1903" t="str">
        <f t="shared" si="284"/>
        <v/>
      </c>
      <c r="KT665" s="1903" t="str">
        <f t="shared" si="285"/>
        <v/>
      </c>
      <c r="KU665" s="1903" t="str">
        <f t="shared" si="286"/>
        <v/>
      </c>
      <c r="KV665" s="1903" t="str">
        <f t="shared" si="287"/>
        <v/>
      </c>
      <c r="KW665" s="1903" t="str">
        <f t="shared" si="288"/>
        <v/>
      </c>
      <c r="KX665" s="1903" t="str">
        <f t="shared" si="289"/>
        <v/>
      </c>
      <c r="KY665" s="1903" t="str">
        <f t="shared" si="290"/>
        <v/>
      </c>
      <c r="KZ665" s="1903" t="str">
        <f t="shared" si="291"/>
        <v/>
      </c>
      <c r="LA665" s="1903" t="str">
        <f t="shared" si="292"/>
        <v/>
      </c>
      <c r="LB665" s="1903" t="str">
        <f t="shared" si="293"/>
        <v/>
      </c>
      <c r="LC665" s="1903" t="str">
        <f t="shared" si="294"/>
        <v/>
      </c>
      <c r="LD665" s="1903" t="str">
        <f t="shared" si="295"/>
        <v/>
      </c>
      <c r="LE665" s="1903" t="str">
        <f t="shared" si="296"/>
        <v/>
      </c>
      <c r="LF665" s="1903" t="str">
        <f t="shared" si="297"/>
        <v/>
      </c>
      <c r="LG665" s="1750" t="str">
        <f t="shared" si="298"/>
        <v/>
      </c>
      <c r="LH665" s="1750" t="str">
        <f t="shared" si="299"/>
        <v/>
      </c>
      <c r="LI665" s="1750" t="str">
        <f t="shared" si="300"/>
        <v/>
      </c>
      <c r="LJ665" s="1750" t="str">
        <f t="shared" si="301"/>
        <v/>
      </c>
      <c r="LK665" s="1750" t="str">
        <f t="shared" si="302"/>
        <v/>
      </c>
      <c r="LL665" s="357" t="str">
        <f t="shared" si="303"/>
        <v/>
      </c>
      <c r="LM665" s="357" t="str">
        <f t="shared" si="304"/>
        <v/>
      </c>
      <c r="LN665" s="357" t="str">
        <f t="shared" si="305"/>
        <v/>
      </c>
      <c r="LO665" s="357" t="str">
        <f t="shared" si="306"/>
        <v/>
      </c>
      <c r="LP665" s="357" t="str">
        <f t="shared" si="307"/>
        <v/>
      </c>
      <c r="LQ665" s="357" t="str">
        <f t="shared" si="308"/>
        <v/>
      </c>
      <c r="LR665" s="357" t="str">
        <f t="shared" si="309"/>
        <v/>
      </c>
      <c r="LS665" s="357" t="str">
        <f t="shared" si="310"/>
        <v/>
      </c>
      <c r="LT665" s="357" t="str">
        <f t="shared" si="311"/>
        <v/>
      </c>
      <c r="LU665" s="357" t="str">
        <f t="shared" si="312"/>
        <v/>
      </c>
      <c r="LV665" s="357" t="str">
        <f t="shared" si="313"/>
        <v/>
      </c>
      <c r="LW665" s="357" t="str">
        <f t="shared" si="314"/>
        <v/>
      </c>
      <c r="LX665" s="357" t="str">
        <f t="shared" si="315"/>
        <v/>
      </c>
      <c r="LY665" s="357" t="str">
        <f t="shared" si="316"/>
        <v/>
      </c>
      <c r="LZ665" s="357" t="str">
        <f t="shared" si="317"/>
        <v/>
      </c>
      <c r="MA665" s="357" t="str">
        <f t="shared" si="318"/>
        <v/>
      </c>
      <c r="MB665" s="357" t="str">
        <f t="shared" si="319"/>
        <v/>
      </c>
      <c r="MC665" s="357" t="str">
        <f t="shared" si="320"/>
        <v/>
      </c>
      <c r="MD665" s="357" t="str">
        <f t="shared" si="321"/>
        <v/>
      </c>
      <c r="ME665" s="357" t="str">
        <f t="shared" si="322"/>
        <v/>
      </c>
      <c r="MF665" s="1750">
        <f t="shared" si="323"/>
        <v>0</v>
      </c>
      <c r="MG665" s="1750">
        <f t="shared" si="324"/>
        <v>0</v>
      </c>
      <c r="MH665" s="1750">
        <f t="shared" si="325"/>
        <v>0</v>
      </c>
      <c r="MI665" s="1750">
        <f t="shared" si="326"/>
        <v>0</v>
      </c>
      <c r="MJ665" s="1750">
        <f t="shared" si="327"/>
        <v>0</v>
      </c>
      <c r="MK665" s="1750">
        <f t="shared" si="333"/>
        <v>0</v>
      </c>
      <c r="ML665" s="1750">
        <f t="shared" si="334"/>
        <v>0</v>
      </c>
      <c r="MM665" s="1750">
        <f t="shared" si="335"/>
        <v>0</v>
      </c>
      <c r="MN665" s="1750">
        <f t="shared" si="336"/>
        <v>6</v>
      </c>
      <c r="MO665" s="1750">
        <f t="shared" si="337"/>
        <v>0</v>
      </c>
      <c r="MP665" s="1750">
        <f t="shared" si="328"/>
        <v>0</v>
      </c>
      <c r="MQ665" s="1750">
        <f t="shared" si="329"/>
        <v>0</v>
      </c>
      <c r="MR665" s="1750">
        <f t="shared" si="330"/>
        <v>0</v>
      </c>
      <c r="MS665" s="1750">
        <f t="shared" si="331"/>
        <v>0</v>
      </c>
      <c r="MT665" s="1750">
        <f t="shared" si="332"/>
        <v>0</v>
      </c>
      <c r="NP665" s="357" t="s">
        <v>6430</v>
      </c>
    </row>
    <row r="666" spans="1:380" ht="13.9" customHeight="1">
      <c r="A666" s="1901" t="str">
        <f t="shared" si="0"/>
        <v/>
      </c>
      <c r="B666" s="2238">
        <f>'Part V-Revenues &amp; Expenses'!B28</f>
        <v>80</v>
      </c>
      <c r="C666" s="2229">
        <f>'Part V-Revenues &amp; Expenses'!C28</f>
        <v>3</v>
      </c>
      <c r="D666" s="2230">
        <f>'Part V-Revenues &amp; Expenses'!D28</f>
        <v>2</v>
      </c>
      <c r="E666" s="2231">
        <f>'Part V-Revenues &amp; Expenses'!E28</f>
        <v>10</v>
      </c>
      <c r="F666" s="2231">
        <f>'Part V-Revenues &amp; Expenses'!F28</f>
        <v>1364</v>
      </c>
      <c r="G666" s="2231">
        <f>'Part V-Revenues &amp; Expenses'!G28</f>
        <v>1818</v>
      </c>
      <c r="H666" s="2231">
        <f>'Part V-Revenues &amp; Expenses'!H28</f>
        <v>1568</v>
      </c>
      <c r="I666" s="2231">
        <f>'Part V-Revenues &amp; Expenses'!I28</f>
        <v>0</v>
      </c>
      <c r="J666" s="2231">
        <f>'Part V-Revenues &amp; Expenses'!J28</f>
        <v>98</v>
      </c>
      <c r="K666" s="2232">
        <f>'Part V-Revenues &amp; Expenses'!K28</f>
        <v>0</v>
      </c>
      <c r="L666" s="2233">
        <f t="shared" si="340"/>
        <v>1470</v>
      </c>
      <c r="M666" s="2233">
        <f t="shared" si="341"/>
        <v>14700</v>
      </c>
      <c r="N666" s="2094" t="str">
        <f>'Part V-Revenues &amp; Expenses'!N28</f>
        <v>No</v>
      </c>
      <c r="O666" s="2234" t="str">
        <f>'Part V-Revenues &amp; Expenses'!O28</f>
        <v>Low-Rise Apt</v>
      </c>
      <c r="P666" s="2094" t="str">
        <f>'Part V-Revenues &amp; Expenses'!P28</f>
        <v>New Construction</v>
      </c>
      <c r="Q666" s="2235" t="str">
        <f>'Part V-Revenues &amp; Expenses'!Q28</f>
        <v>No</v>
      </c>
      <c r="R666" s="2236"/>
      <c r="S666" s="2237"/>
      <c r="T666" s="2160"/>
      <c r="U666" s="2160"/>
      <c r="V666" s="2160"/>
      <c r="W666" s="2160"/>
      <c r="X666" s="357" t="str">
        <f t="shared" si="3"/>
        <v/>
      </c>
      <c r="Y666" s="357" t="str">
        <f t="shared" si="4"/>
        <v/>
      </c>
      <c r="Z666" s="357" t="str">
        <f t="shared" si="5"/>
        <v/>
      </c>
      <c r="AA666" s="357">
        <f t="shared" si="6"/>
        <v>10</v>
      </c>
      <c r="AB666" s="357" t="str">
        <f t="shared" si="7"/>
        <v/>
      </c>
      <c r="AC666" s="357" t="str">
        <f t="shared" si="8"/>
        <v/>
      </c>
      <c r="AD666" s="357" t="str">
        <f t="shared" si="9"/>
        <v/>
      </c>
      <c r="AE666" s="357" t="str">
        <f t="shared" si="10"/>
        <v/>
      </c>
      <c r="AF666" s="357" t="str">
        <f t="shared" si="11"/>
        <v/>
      </c>
      <c r="AG666" s="357" t="str">
        <f t="shared" si="12"/>
        <v/>
      </c>
      <c r="AH666" s="357" t="str">
        <f t="shared" si="13"/>
        <v/>
      </c>
      <c r="AI666" s="357" t="str">
        <f t="shared" si="14"/>
        <v/>
      </c>
      <c r="AJ666" s="357" t="str">
        <f t="shared" si="15"/>
        <v/>
      </c>
      <c r="AK666" s="357" t="str">
        <f t="shared" si="16"/>
        <v/>
      </c>
      <c r="AL666" s="357" t="str">
        <f t="shared" si="17"/>
        <v/>
      </c>
      <c r="AM666" s="357" t="str">
        <f t="shared" si="18"/>
        <v/>
      </c>
      <c r="AN666" s="357" t="str">
        <f t="shared" si="19"/>
        <v/>
      </c>
      <c r="AO666" s="357" t="str">
        <f t="shared" si="20"/>
        <v/>
      </c>
      <c r="AP666" s="357" t="str">
        <f t="shared" si="21"/>
        <v/>
      </c>
      <c r="AQ666" s="357" t="str">
        <f t="shared" si="22"/>
        <v/>
      </c>
      <c r="AR666" s="357" t="str">
        <f t="shared" si="23"/>
        <v/>
      </c>
      <c r="AS666" s="357" t="str">
        <f t="shared" si="24"/>
        <v/>
      </c>
      <c r="AT666" s="357" t="str">
        <f t="shared" si="25"/>
        <v/>
      </c>
      <c r="AU666" s="357" t="str">
        <f t="shared" si="26"/>
        <v/>
      </c>
      <c r="AV666" s="357" t="str">
        <f t="shared" si="27"/>
        <v/>
      </c>
      <c r="AW666" s="357" t="str">
        <f t="shared" si="28"/>
        <v/>
      </c>
      <c r="AX666" s="357" t="str">
        <f t="shared" si="29"/>
        <v/>
      </c>
      <c r="AY666" s="357" t="str">
        <f t="shared" si="30"/>
        <v/>
      </c>
      <c r="AZ666" s="357" t="str">
        <f t="shared" si="31"/>
        <v/>
      </c>
      <c r="BA666" s="357" t="str">
        <f t="shared" si="32"/>
        <v/>
      </c>
      <c r="BB666" s="357" t="str">
        <f t="shared" si="33"/>
        <v/>
      </c>
      <c r="BC666" s="357" t="str">
        <f t="shared" si="34"/>
        <v/>
      </c>
      <c r="BD666" s="357" t="str">
        <f t="shared" si="35"/>
        <v/>
      </c>
      <c r="BE666" s="357" t="str">
        <f t="shared" si="36"/>
        <v/>
      </c>
      <c r="BF666" s="357" t="str">
        <f t="shared" si="37"/>
        <v/>
      </c>
      <c r="BG666" s="357" t="str">
        <f t="shared" si="38"/>
        <v/>
      </c>
      <c r="BH666" s="357" t="str">
        <f t="shared" si="39"/>
        <v/>
      </c>
      <c r="BI666" s="357" t="str">
        <f t="shared" si="40"/>
        <v/>
      </c>
      <c r="BJ666" s="357" t="str">
        <f t="shared" si="41"/>
        <v/>
      </c>
      <c r="BK666" s="357" t="str">
        <f t="shared" si="42"/>
        <v/>
      </c>
      <c r="BL666" s="357" t="str">
        <f t="shared" si="43"/>
        <v/>
      </c>
      <c r="BM666" s="357" t="str">
        <f t="shared" si="44"/>
        <v/>
      </c>
      <c r="BN666" s="357" t="str">
        <f t="shared" si="45"/>
        <v/>
      </c>
      <c r="BO666" s="357" t="str">
        <f t="shared" si="46"/>
        <v/>
      </c>
      <c r="BP666" s="357" t="str">
        <f t="shared" si="47"/>
        <v/>
      </c>
      <c r="BQ666" s="357" t="str">
        <f t="shared" si="48"/>
        <v/>
      </c>
      <c r="BR666" s="357" t="str">
        <f t="shared" si="49"/>
        <v/>
      </c>
      <c r="BS666" s="357" t="str">
        <f t="shared" si="50"/>
        <v/>
      </c>
      <c r="BT666" s="357" t="str">
        <f t="shared" si="51"/>
        <v/>
      </c>
      <c r="BU666" s="357" t="str">
        <f t="shared" si="52"/>
        <v/>
      </c>
      <c r="BV666" s="357" t="str">
        <f t="shared" si="53"/>
        <v/>
      </c>
      <c r="BW666" s="357" t="str">
        <f t="shared" si="54"/>
        <v/>
      </c>
      <c r="BX666" s="357" t="str">
        <f t="shared" si="55"/>
        <v/>
      </c>
      <c r="BY666" s="357" t="str">
        <f t="shared" si="56"/>
        <v/>
      </c>
      <c r="BZ666" s="357" t="str">
        <f t="shared" si="57"/>
        <v/>
      </c>
      <c r="CA666" s="357" t="str">
        <f t="shared" si="58"/>
        <v/>
      </c>
      <c r="CB666" s="357" t="str">
        <f t="shared" si="59"/>
        <v/>
      </c>
      <c r="CC666" s="357" t="str">
        <f t="shared" si="60"/>
        <v/>
      </c>
      <c r="CD666" s="357" t="str">
        <f t="shared" si="61"/>
        <v/>
      </c>
      <c r="CE666" s="357" t="str">
        <f t="shared" si="62"/>
        <v/>
      </c>
      <c r="CF666" s="357" t="str">
        <f t="shared" si="63"/>
        <v/>
      </c>
      <c r="CG666" s="357" t="str">
        <f t="shared" si="64"/>
        <v/>
      </c>
      <c r="CH666" s="357" t="str">
        <f t="shared" si="65"/>
        <v/>
      </c>
      <c r="CI666" s="357" t="str">
        <f t="shared" si="66"/>
        <v/>
      </c>
      <c r="CJ666" s="357" t="str">
        <f t="shared" si="67"/>
        <v/>
      </c>
      <c r="CK666" s="357" t="str">
        <f t="shared" si="68"/>
        <v/>
      </c>
      <c r="CL666" s="357" t="str">
        <f t="shared" si="69"/>
        <v/>
      </c>
      <c r="CM666" s="357" t="str">
        <f t="shared" si="70"/>
        <v/>
      </c>
      <c r="CN666" s="357" t="str">
        <f t="shared" si="71"/>
        <v/>
      </c>
      <c r="CO666" s="357" t="str">
        <f t="shared" si="72"/>
        <v/>
      </c>
      <c r="CP666" s="357" t="str">
        <f t="shared" si="73"/>
        <v/>
      </c>
      <c r="CQ666" s="357" t="str">
        <f t="shared" si="74"/>
        <v/>
      </c>
      <c r="CR666" s="357" t="str">
        <f t="shared" si="75"/>
        <v/>
      </c>
      <c r="CS666" s="357">
        <f t="shared" si="76"/>
        <v>10</v>
      </c>
      <c r="CT666" s="357" t="str">
        <f t="shared" si="77"/>
        <v/>
      </c>
      <c r="CU666" s="357" t="str">
        <f t="shared" si="78"/>
        <v/>
      </c>
      <c r="CV666" s="357" t="str">
        <f t="shared" si="79"/>
        <v/>
      </c>
      <c r="CW666" s="357" t="str">
        <f t="shared" si="80"/>
        <v/>
      </c>
      <c r="CX666" s="357" t="str">
        <f t="shared" si="81"/>
        <v/>
      </c>
      <c r="CY666" s="357" t="str">
        <f t="shared" si="82"/>
        <v/>
      </c>
      <c r="CZ666" s="357" t="str">
        <f t="shared" si="83"/>
        <v/>
      </c>
      <c r="DA666" s="357" t="str">
        <f t="shared" si="84"/>
        <v/>
      </c>
      <c r="DB666" s="357" t="str">
        <f t="shared" si="85"/>
        <v/>
      </c>
      <c r="DC666" s="357" t="str">
        <f t="shared" si="86"/>
        <v/>
      </c>
      <c r="DD666" s="357" t="str">
        <f t="shared" si="87"/>
        <v/>
      </c>
      <c r="DE666" s="357" t="str">
        <f t="shared" si="88"/>
        <v/>
      </c>
      <c r="DF666" s="357" t="str">
        <f t="shared" si="89"/>
        <v/>
      </c>
      <c r="DG666" s="357" t="str">
        <f t="shared" si="90"/>
        <v/>
      </c>
      <c r="DH666" s="357" t="str">
        <f t="shared" si="91"/>
        <v/>
      </c>
      <c r="DI666" s="357" t="str">
        <f t="shared" si="92"/>
        <v/>
      </c>
      <c r="DJ666" s="357" t="str">
        <f t="shared" si="93"/>
        <v/>
      </c>
      <c r="DK666" s="357" t="str">
        <f t="shared" si="94"/>
        <v/>
      </c>
      <c r="DL666" s="357" t="str">
        <f t="shared" si="95"/>
        <v/>
      </c>
      <c r="DM666" s="357" t="str">
        <f t="shared" si="96"/>
        <v/>
      </c>
      <c r="DN666" s="357" t="str">
        <f t="shared" si="97"/>
        <v/>
      </c>
      <c r="DO666" s="357" t="str">
        <f t="shared" si="98"/>
        <v/>
      </c>
      <c r="DP666" s="357" t="str">
        <f t="shared" si="99"/>
        <v/>
      </c>
      <c r="DQ666" s="357" t="str">
        <f t="shared" si="100"/>
        <v/>
      </c>
      <c r="DR666" s="357" t="str">
        <f t="shared" si="101"/>
        <v/>
      </c>
      <c r="DS666" s="357" t="str">
        <f t="shared" si="102"/>
        <v/>
      </c>
      <c r="DT666" s="357" t="str">
        <f t="shared" si="103"/>
        <v/>
      </c>
      <c r="DU666" s="357" t="str">
        <f t="shared" si="104"/>
        <v/>
      </c>
      <c r="DV666" s="357" t="str">
        <f t="shared" si="105"/>
        <v/>
      </c>
      <c r="DW666" s="357" t="str">
        <f t="shared" si="106"/>
        <v/>
      </c>
      <c r="DX666" s="357" t="str">
        <f t="shared" si="107"/>
        <v/>
      </c>
      <c r="DY666" s="357" t="str">
        <f t="shared" si="108"/>
        <v/>
      </c>
      <c r="DZ666" s="357" t="str">
        <f t="shared" si="109"/>
        <v/>
      </c>
      <c r="EA666" s="357" t="str">
        <f t="shared" si="110"/>
        <v/>
      </c>
      <c r="EB666" s="357" t="str">
        <f t="shared" si="111"/>
        <v/>
      </c>
      <c r="EC666" s="357" t="str">
        <f t="shared" si="112"/>
        <v/>
      </c>
      <c r="ED666" s="357" t="str">
        <f t="shared" si="113"/>
        <v/>
      </c>
      <c r="EE666" s="357" t="str">
        <f t="shared" si="114"/>
        <v/>
      </c>
      <c r="EF666" s="357" t="str">
        <f t="shared" si="115"/>
        <v/>
      </c>
      <c r="EG666" s="357" t="str">
        <f t="shared" si="116"/>
        <v/>
      </c>
      <c r="EH666" s="357" t="str">
        <f t="shared" si="117"/>
        <v/>
      </c>
      <c r="EI666" s="357" t="str">
        <f t="shared" si="118"/>
        <v/>
      </c>
      <c r="EJ666" s="357" t="str">
        <f t="shared" si="119"/>
        <v/>
      </c>
      <c r="EK666" s="357" t="str">
        <f t="shared" si="120"/>
        <v/>
      </c>
      <c r="EL666" s="357">
        <f t="shared" si="121"/>
        <v>13640</v>
      </c>
      <c r="EM666" s="357" t="str">
        <f t="shared" si="122"/>
        <v/>
      </c>
      <c r="EN666" s="357" t="str">
        <f t="shared" si="123"/>
        <v/>
      </c>
      <c r="EO666" s="357" t="str">
        <f t="shared" si="124"/>
        <v/>
      </c>
      <c r="EP666" s="357" t="str">
        <f t="shared" si="125"/>
        <v/>
      </c>
      <c r="EQ666" s="357" t="str">
        <f t="shared" si="126"/>
        <v/>
      </c>
      <c r="ER666" s="357" t="str">
        <f t="shared" si="127"/>
        <v/>
      </c>
      <c r="ES666" s="357" t="str">
        <f t="shared" si="128"/>
        <v/>
      </c>
      <c r="ET666" s="357" t="str">
        <f t="shared" si="129"/>
        <v/>
      </c>
      <c r="EU666" s="357" t="str">
        <f t="shared" si="130"/>
        <v/>
      </c>
      <c r="EV666" s="357" t="str">
        <f t="shared" si="131"/>
        <v/>
      </c>
      <c r="EW666" s="357" t="str">
        <f t="shared" si="132"/>
        <v/>
      </c>
      <c r="EX666" s="357" t="str">
        <f t="shared" si="133"/>
        <v/>
      </c>
      <c r="EY666" s="357" t="str">
        <f t="shared" si="134"/>
        <v/>
      </c>
      <c r="EZ666" s="357" t="str">
        <f t="shared" si="135"/>
        <v/>
      </c>
      <c r="FA666" s="357" t="str">
        <f t="shared" si="136"/>
        <v/>
      </c>
      <c r="FB666" s="357" t="str">
        <f t="shared" si="137"/>
        <v/>
      </c>
      <c r="FC666" s="357" t="str">
        <f t="shared" si="138"/>
        <v/>
      </c>
      <c r="FD666" s="357" t="str">
        <f t="shared" si="139"/>
        <v/>
      </c>
      <c r="FE666" s="357" t="str">
        <f t="shared" si="140"/>
        <v/>
      </c>
      <c r="FF666" s="357" t="str">
        <f t="shared" si="141"/>
        <v/>
      </c>
      <c r="FG666" s="357" t="str">
        <f t="shared" si="142"/>
        <v/>
      </c>
      <c r="FH666" s="357" t="str">
        <f t="shared" si="143"/>
        <v/>
      </c>
      <c r="FI666" s="357" t="str">
        <f t="shared" si="144"/>
        <v/>
      </c>
      <c r="FJ666" s="357" t="str">
        <f t="shared" si="145"/>
        <v/>
      </c>
      <c r="FK666" s="357" t="str">
        <f t="shared" si="146"/>
        <v/>
      </c>
      <c r="FL666" s="357" t="str">
        <f t="shared" si="147"/>
        <v/>
      </c>
      <c r="FM666" s="357" t="str">
        <f t="shared" si="148"/>
        <v/>
      </c>
      <c r="FN666" s="357" t="str">
        <f t="shared" si="149"/>
        <v/>
      </c>
      <c r="FO666" s="357" t="str">
        <f t="shared" si="150"/>
        <v/>
      </c>
      <c r="FP666" s="357" t="str">
        <f t="shared" si="151"/>
        <v/>
      </c>
      <c r="FQ666" s="357" t="str">
        <f t="shared" si="152"/>
        <v/>
      </c>
      <c r="FR666" s="357" t="str">
        <f t="shared" si="153"/>
        <v/>
      </c>
      <c r="FS666" s="357" t="str">
        <f t="shared" si="154"/>
        <v/>
      </c>
      <c r="FT666" s="357" t="str">
        <f t="shared" si="155"/>
        <v/>
      </c>
      <c r="FU666" s="357" t="str">
        <f t="shared" si="156"/>
        <v/>
      </c>
      <c r="FV666" s="357" t="str">
        <f t="shared" si="157"/>
        <v/>
      </c>
      <c r="FW666" s="357" t="str">
        <f t="shared" si="158"/>
        <v/>
      </c>
      <c r="FX666" s="357" t="str">
        <f t="shared" si="159"/>
        <v/>
      </c>
      <c r="FY666" s="357" t="str">
        <f t="shared" si="160"/>
        <v/>
      </c>
      <c r="FZ666" s="357" t="str">
        <f t="shared" si="161"/>
        <v/>
      </c>
      <c r="GA666" s="357" t="str">
        <f t="shared" si="162"/>
        <v/>
      </c>
      <c r="GB666" s="357" t="str">
        <f t="shared" si="163"/>
        <v/>
      </c>
      <c r="GC666" s="357" t="str">
        <f t="shared" si="164"/>
        <v/>
      </c>
      <c r="GD666" s="357" t="str">
        <f t="shared" si="165"/>
        <v/>
      </c>
      <c r="GE666" s="357" t="str">
        <f t="shared" si="166"/>
        <v/>
      </c>
      <c r="GF666" s="357" t="str">
        <f t="shared" si="167"/>
        <v/>
      </c>
      <c r="GG666" s="357" t="str">
        <f t="shared" si="168"/>
        <v/>
      </c>
      <c r="GH666" s="357" t="str">
        <f t="shared" si="169"/>
        <v/>
      </c>
      <c r="GI666" s="357" t="str">
        <f t="shared" si="170"/>
        <v/>
      </c>
      <c r="GJ666" s="357">
        <f t="shared" si="171"/>
        <v>10</v>
      </c>
      <c r="GK666" s="357" t="str">
        <f t="shared" si="172"/>
        <v/>
      </c>
      <c r="GL666" s="357" t="str">
        <f t="shared" si="173"/>
        <v/>
      </c>
      <c r="GM666" s="357" t="str">
        <f t="shared" si="174"/>
        <v/>
      </c>
      <c r="GN666" s="357" t="str">
        <f t="shared" si="175"/>
        <v/>
      </c>
      <c r="GO666" s="357" t="str">
        <f t="shared" si="176"/>
        <v/>
      </c>
      <c r="GP666" s="357" t="str">
        <f t="shared" si="177"/>
        <v/>
      </c>
      <c r="GQ666" s="357" t="str">
        <f t="shared" si="178"/>
        <v/>
      </c>
      <c r="GR666" s="357" t="str">
        <f t="shared" si="179"/>
        <v/>
      </c>
      <c r="GS666" s="357" t="str">
        <f t="shared" si="180"/>
        <v/>
      </c>
      <c r="GT666" s="357" t="str">
        <f t="shared" si="181"/>
        <v/>
      </c>
      <c r="GU666" s="357" t="str">
        <f t="shared" si="182"/>
        <v/>
      </c>
      <c r="GV666" s="357" t="str">
        <f t="shared" si="183"/>
        <v/>
      </c>
      <c r="GW666" s="357" t="str">
        <f t="shared" si="184"/>
        <v/>
      </c>
      <c r="GX666" s="357" t="str">
        <f t="shared" si="185"/>
        <v/>
      </c>
      <c r="GY666" s="357" t="str">
        <f t="shared" si="186"/>
        <v/>
      </c>
      <c r="GZ666" s="357" t="str">
        <f t="shared" si="187"/>
        <v/>
      </c>
      <c r="HA666" s="357" t="str">
        <f t="shared" si="188"/>
        <v/>
      </c>
      <c r="HB666" s="357" t="str">
        <f t="shared" si="189"/>
        <v/>
      </c>
      <c r="HC666" s="357" t="str">
        <f t="shared" si="190"/>
        <v/>
      </c>
      <c r="HD666" s="357" t="str">
        <f t="shared" si="191"/>
        <v/>
      </c>
      <c r="HE666" s="357" t="str">
        <f t="shared" si="192"/>
        <v/>
      </c>
      <c r="HF666" s="357" t="str">
        <f t="shared" si="193"/>
        <v/>
      </c>
      <c r="HG666" s="357" t="str">
        <f t="shared" si="194"/>
        <v/>
      </c>
      <c r="HH666" s="357" t="str">
        <f t="shared" si="195"/>
        <v/>
      </c>
      <c r="HI666" s="357" t="str">
        <f t="shared" si="196"/>
        <v/>
      </c>
      <c r="HJ666" s="357" t="str">
        <f t="shared" si="197"/>
        <v/>
      </c>
      <c r="HK666" s="357" t="str">
        <f t="shared" si="198"/>
        <v/>
      </c>
      <c r="HL666" s="357" t="str">
        <f t="shared" si="199"/>
        <v/>
      </c>
      <c r="HM666" s="357" t="str">
        <f t="shared" si="200"/>
        <v/>
      </c>
      <c r="HN666" s="357" t="str">
        <f t="shared" si="201"/>
        <v/>
      </c>
      <c r="HO666" s="357" t="str">
        <f t="shared" si="202"/>
        <v/>
      </c>
      <c r="HP666" s="357" t="str">
        <f t="shared" si="203"/>
        <v/>
      </c>
      <c r="HQ666" s="357" t="str">
        <f t="shared" si="204"/>
        <v/>
      </c>
      <c r="HR666" s="357" t="str">
        <f t="shared" si="205"/>
        <v/>
      </c>
      <c r="HS666" s="357" t="str">
        <f t="shared" si="206"/>
        <v/>
      </c>
      <c r="HT666" s="357" t="str">
        <f t="shared" si="207"/>
        <v/>
      </c>
      <c r="HU666" s="357" t="str">
        <f t="shared" si="208"/>
        <v/>
      </c>
      <c r="HV666" s="357" t="str">
        <f t="shared" si="209"/>
        <v/>
      </c>
      <c r="HW666" s="357" t="str">
        <f t="shared" si="210"/>
        <v/>
      </c>
      <c r="HX666" s="357" t="str">
        <f t="shared" si="211"/>
        <v/>
      </c>
      <c r="HY666" s="357" t="str">
        <f t="shared" si="212"/>
        <v/>
      </c>
      <c r="HZ666" s="1903" t="str">
        <f t="shared" si="213"/>
        <v/>
      </c>
      <c r="IA666" s="1903" t="str">
        <f t="shared" si="214"/>
        <v/>
      </c>
      <c r="IB666" s="1903" t="str">
        <f t="shared" si="215"/>
        <v/>
      </c>
      <c r="IC666" s="1903">
        <f t="shared" si="216"/>
        <v>10</v>
      </c>
      <c r="ID666" s="1903" t="str">
        <f t="shared" si="217"/>
        <v/>
      </c>
      <c r="IE666" s="1903" t="str">
        <f t="shared" si="218"/>
        <v/>
      </c>
      <c r="IF666" s="1903" t="str">
        <f t="shared" si="219"/>
        <v/>
      </c>
      <c r="IG666" s="1903" t="str">
        <f t="shared" si="220"/>
        <v/>
      </c>
      <c r="IH666" s="1903" t="str">
        <f t="shared" si="221"/>
        <v/>
      </c>
      <c r="II666" s="1903" t="str">
        <f t="shared" si="222"/>
        <v/>
      </c>
      <c r="IJ666" s="1903" t="str">
        <f t="shared" si="223"/>
        <v/>
      </c>
      <c r="IK666" s="1903" t="str">
        <f t="shared" si="224"/>
        <v/>
      </c>
      <c r="IL666" s="1903" t="str">
        <f t="shared" si="225"/>
        <v/>
      </c>
      <c r="IM666" s="1903" t="str">
        <f t="shared" si="226"/>
        <v/>
      </c>
      <c r="IN666" s="1903" t="str">
        <f t="shared" si="227"/>
        <v/>
      </c>
      <c r="IO666" s="1903" t="str">
        <f t="shared" si="228"/>
        <v/>
      </c>
      <c r="IP666" s="1903" t="str">
        <f t="shared" si="229"/>
        <v/>
      </c>
      <c r="IQ666" s="1903" t="str">
        <f t="shared" si="230"/>
        <v/>
      </c>
      <c r="IR666" s="1903" t="str">
        <f t="shared" si="231"/>
        <v/>
      </c>
      <c r="IS666" s="1903" t="str">
        <f t="shared" si="232"/>
        <v/>
      </c>
      <c r="IT666" s="1903" t="str">
        <f t="shared" si="233"/>
        <v/>
      </c>
      <c r="IU666" s="1903" t="str">
        <f t="shared" si="234"/>
        <v/>
      </c>
      <c r="IV666" s="1903" t="str">
        <f t="shared" si="235"/>
        <v/>
      </c>
      <c r="IW666" s="1903" t="str">
        <f t="shared" si="236"/>
        <v/>
      </c>
      <c r="IX666" s="1903" t="str">
        <f t="shared" si="237"/>
        <v/>
      </c>
      <c r="IY666" s="1903" t="str">
        <f t="shared" si="238"/>
        <v/>
      </c>
      <c r="IZ666" s="1903" t="str">
        <f t="shared" si="239"/>
        <v/>
      </c>
      <c r="JA666" s="1903" t="str">
        <f t="shared" si="240"/>
        <v/>
      </c>
      <c r="JB666" s="1903" t="str">
        <f t="shared" si="241"/>
        <v/>
      </c>
      <c r="JC666" s="1903" t="str">
        <f t="shared" si="242"/>
        <v/>
      </c>
      <c r="JD666" s="1903" t="str">
        <f t="shared" si="243"/>
        <v/>
      </c>
      <c r="JE666" s="1903" t="str">
        <f t="shared" si="244"/>
        <v/>
      </c>
      <c r="JF666" s="1903" t="str">
        <f t="shared" si="245"/>
        <v/>
      </c>
      <c r="JG666" s="1903" t="str">
        <f t="shared" si="246"/>
        <v/>
      </c>
      <c r="JH666" s="1903" t="str">
        <f t="shared" si="247"/>
        <v/>
      </c>
      <c r="JI666" s="1903" t="str">
        <f t="shared" si="248"/>
        <v/>
      </c>
      <c r="JJ666" s="1903" t="str">
        <f t="shared" si="249"/>
        <v/>
      </c>
      <c r="JK666" s="1903" t="str">
        <f t="shared" si="250"/>
        <v/>
      </c>
      <c r="JL666" s="1903" t="str">
        <f t="shared" si="251"/>
        <v/>
      </c>
      <c r="JM666" s="1903" t="str">
        <f t="shared" si="252"/>
        <v/>
      </c>
      <c r="JN666" s="1903" t="str">
        <f t="shared" si="253"/>
        <v/>
      </c>
      <c r="JO666" s="1903" t="str">
        <f t="shared" si="254"/>
        <v/>
      </c>
      <c r="JP666" s="1903" t="str">
        <f t="shared" si="255"/>
        <v/>
      </c>
      <c r="JQ666" s="1903" t="str">
        <f t="shared" si="256"/>
        <v/>
      </c>
      <c r="JR666" s="1903" t="str">
        <f t="shared" si="257"/>
        <v/>
      </c>
      <c r="JS666" s="1903" t="str">
        <f t="shared" si="258"/>
        <v/>
      </c>
      <c r="JT666" s="1903" t="str">
        <f t="shared" si="259"/>
        <v/>
      </c>
      <c r="JU666" s="1903" t="str">
        <f t="shared" si="260"/>
        <v/>
      </c>
      <c r="JV666" s="1903">
        <f t="shared" si="261"/>
        <v>10</v>
      </c>
      <c r="JW666" s="1903" t="str">
        <f t="shared" si="262"/>
        <v/>
      </c>
      <c r="JX666" s="1903" t="str">
        <f t="shared" si="263"/>
        <v/>
      </c>
      <c r="JY666" s="1903" t="str">
        <f t="shared" si="264"/>
        <v/>
      </c>
      <c r="JZ666" s="1903" t="str">
        <f t="shared" si="265"/>
        <v/>
      </c>
      <c r="KA666" s="1903" t="str">
        <f t="shared" si="266"/>
        <v/>
      </c>
      <c r="KB666" s="1903" t="str">
        <f t="shared" si="267"/>
        <v/>
      </c>
      <c r="KC666" s="1903" t="str">
        <f t="shared" si="268"/>
        <v/>
      </c>
      <c r="KD666" s="1903" t="str">
        <f t="shared" si="269"/>
        <v/>
      </c>
      <c r="KE666" s="1903" t="str">
        <f t="shared" si="270"/>
        <v/>
      </c>
      <c r="KF666" s="1903" t="str">
        <f t="shared" si="271"/>
        <v/>
      </c>
      <c r="KG666" s="1903" t="str">
        <f t="shared" si="272"/>
        <v/>
      </c>
      <c r="KH666" s="1903" t="str">
        <f t="shared" si="273"/>
        <v/>
      </c>
      <c r="KI666" s="1903" t="str">
        <f t="shared" si="274"/>
        <v/>
      </c>
      <c r="KJ666" s="1903" t="str">
        <f t="shared" si="275"/>
        <v/>
      </c>
      <c r="KK666" s="1903" t="str">
        <f t="shared" si="276"/>
        <v/>
      </c>
      <c r="KL666" s="1903" t="str">
        <f t="shared" si="277"/>
        <v/>
      </c>
      <c r="KM666" s="1903" t="str">
        <f t="shared" si="278"/>
        <v/>
      </c>
      <c r="KN666" s="1903" t="str">
        <f t="shared" si="279"/>
        <v/>
      </c>
      <c r="KO666" s="1903" t="str">
        <f t="shared" si="280"/>
        <v/>
      </c>
      <c r="KP666" s="1903" t="str">
        <f t="shared" si="281"/>
        <v/>
      </c>
      <c r="KQ666" s="1903" t="str">
        <f t="shared" si="282"/>
        <v/>
      </c>
      <c r="KR666" s="1903" t="str">
        <f t="shared" si="283"/>
        <v/>
      </c>
      <c r="KS666" s="1903" t="str">
        <f t="shared" si="284"/>
        <v/>
      </c>
      <c r="KT666" s="1903" t="str">
        <f t="shared" si="285"/>
        <v/>
      </c>
      <c r="KU666" s="1903" t="str">
        <f t="shared" si="286"/>
        <v/>
      </c>
      <c r="KV666" s="1903" t="str">
        <f t="shared" si="287"/>
        <v/>
      </c>
      <c r="KW666" s="1903" t="str">
        <f t="shared" si="288"/>
        <v/>
      </c>
      <c r="KX666" s="1903" t="str">
        <f t="shared" si="289"/>
        <v/>
      </c>
      <c r="KY666" s="1903" t="str">
        <f t="shared" si="290"/>
        <v/>
      </c>
      <c r="KZ666" s="1903" t="str">
        <f t="shared" si="291"/>
        <v/>
      </c>
      <c r="LA666" s="1903" t="str">
        <f t="shared" si="292"/>
        <v/>
      </c>
      <c r="LB666" s="1903" t="str">
        <f t="shared" si="293"/>
        <v/>
      </c>
      <c r="LC666" s="1903" t="str">
        <f t="shared" si="294"/>
        <v/>
      </c>
      <c r="LD666" s="1903" t="str">
        <f t="shared" si="295"/>
        <v/>
      </c>
      <c r="LE666" s="1903" t="str">
        <f t="shared" si="296"/>
        <v/>
      </c>
      <c r="LF666" s="1903" t="str">
        <f t="shared" si="297"/>
        <v/>
      </c>
      <c r="LG666" s="1750" t="str">
        <f t="shared" si="298"/>
        <v/>
      </c>
      <c r="LH666" s="1750" t="str">
        <f t="shared" si="299"/>
        <v/>
      </c>
      <c r="LI666" s="1750" t="str">
        <f t="shared" si="300"/>
        <v/>
      </c>
      <c r="LJ666" s="1750" t="str">
        <f t="shared" si="301"/>
        <v/>
      </c>
      <c r="LK666" s="1750" t="str">
        <f t="shared" si="302"/>
        <v/>
      </c>
      <c r="LL666" s="357" t="str">
        <f t="shared" si="303"/>
        <v/>
      </c>
      <c r="LM666" s="357" t="str">
        <f t="shared" si="304"/>
        <v/>
      </c>
      <c r="LN666" s="357" t="str">
        <f t="shared" si="305"/>
        <v/>
      </c>
      <c r="LO666" s="357" t="str">
        <f t="shared" si="306"/>
        <v/>
      </c>
      <c r="LP666" s="357" t="str">
        <f t="shared" si="307"/>
        <v/>
      </c>
      <c r="LQ666" s="357" t="str">
        <f t="shared" si="308"/>
        <v/>
      </c>
      <c r="LR666" s="357" t="str">
        <f t="shared" si="309"/>
        <v/>
      </c>
      <c r="LS666" s="357" t="str">
        <f t="shared" si="310"/>
        <v/>
      </c>
      <c r="LT666" s="357" t="str">
        <f t="shared" si="311"/>
        <v/>
      </c>
      <c r="LU666" s="357" t="str">
        <f t="shared" si="312"/>
        <v/>
      </c>
      <c r="LV666" s="357" t="str">
        <f t="shared" si="313"/>
        <v/>
      </c>
      <c r="LW666" s="357" t="str">
        <f t="shared" si="314"/>
        <v/>
      </c>
      <c r="LX666" s="357" t="str">
        <f t="shared" si="315"/>
        <v/>
      </c>
      <c r="LY666" s="357" t="str">
        <f t="shared" si="316"/>
        <v/>
      </c>
      <c r="LZ666" s="357" t="str">
        <f t="shared" si="317"/>
        <v/>
      </c>
      <c r="MA666" s="357" t="str">
        <f t="shared" si="318"/>
        <v/>
      </c>
      <c r="MB666" s="357" t="str">
        <f t="shared" si="319"/>
        <v/>
      </c>
      <c r="MC666" s="357" t="str">
        <f t="shared" si="320"/>
        <v/>
      </c>
      <c r="MD666" s="357" t="str">
        <f t="shared" si="321"/>
        <v/>
      </c>
      <c r="ME666" s="357" t="str">
        <f t="shared" si="322"/>
        <v/>
      </c>
      <c r="MF666" s="1750">
        <f t="shared" si="323"/>
        <v>0</v>
      </c>
      <c r="MG666" s="1750">
        <f t="shared" si="324"/>
        <v>0</v>
      </c>
      <c r="MH666" s="1750">
        <f t="shared" si="325"/>
        <v>0</v>
      </c>
      <c r="MI666" s="1750">
        <f t="shared" si="326"/>
        <v>0</v>
      </c>
      <c r="MJ666" s="1750">
        <f t="shared" si="327"/>
        <v>0</v>
      </c>
      <c r="MK666" s="1750">
        <f t="shared" si="333"/>
        <v>0</v>
      </c>
      <c r="ML666" s="1750">
        <f t="shared" si="334"/>
        <v>0</v>
      </c>
      <c r="MM666" s="1750">
        <f t="shared" si="335"/>
        <v>0</v>
      </c>
      <c r="MN666" s="1750">
        <f t="shared" si="336"/>
        <v>10</v>
      </c>
      <c r="MO666" s="1750">
        <f t="shared" si="337"/>
        <v>0</v>
      </c>
      <c r="MP666" s="1750">
        <f t="shared" si="328"/>
        <v>0</v>
      </c>
      <c r="MQ666" s="1750">
        <f t="shared" si="329"/>
        <v>0</v>
      </c>
      <c r="MR666" s="1750">
        <f t="shared" si="330"/>
        <v>0</v>
      </c>
      <c r="MS666" s="1750">
        <f t="shared" si="331"/>
        <v>0</v>
      </c>
      <c r="MT666" s="1750">
        <f t="shared" si="332"/>
        <v>0</v>
      </c>
      <c r="NP666" s="357" t="s">
        <v>6431</v>
      </c>
    </row>
    <row r="667" spans="1:380" ht="13.9" customHeight="1">
      <c r="A667" s="1901" t="str">
        <f t="shared" si="0"/>
        <v/>
      </c>
      <c r="B667" s="2238">
        <f>'Part V-Revenues &amp; Expenses'!B29</f>
        <v>30</v>
      </c>
      <c r="C667" s="2229">
        <f>'Part V-Revenues &amp; Expenses'!C29</f>
        <v>4</v>
      </c>
      <c r="D667" s="2230">
        <f>'Part V-Revenues &amp; Expenses'!D29</f>
        <v>2</v>
      </c>
      <c r="E667" s="2231">
        <f>'Part V-Revenues &amp; Expenses'!E29</f>
        <v>6</v>
      </c>
      <c r="F667" s="2231">
        <f>'Part V-Revenues &amp; Expenses'!F29</f>
        <v>1571</v>
      </c>
      <c r="G667" s="2231">
        <f>'Part V-Revenues &amp; Expenses'!G29</f>
        <v>760</v>
      </c>
      <c r="H667" s="2231">
        <f>'Part V-Revenues &amp; Expenses'!H29</f>
        <v>1900</v>
      </c>
      <c r="I667" s="2231">
        <f>'Part V-Revenues &amp; Expenses'!I29</f>
        <v>0</v>
      </c>
      <c r="J667" s="2231">
        <f>'Part V-Revenues &amp; Expenses'!J29</f>
        <v>122</v>
      </c>
      <c r="K667" s="2232" t="str">
        <f>'Part V-Revenues &amp; Expenses'!K29</f>
        <v>HUD</v>
      </c>
      <c r="L667" s="2233">
        <f t="shared" si="340"/>
        <v>1778</v>
      </c>
      <c r="M667" s="2233">
        <f t="shared" si="341"/>
        <v>10668</v>
      </c>
      <c r="N667" s="2094" t="str">
        <f>'Part V-Revenues &amp; Expenses'!N29</f>
        <v>No</v>
      </c>
      <c r="O667" s="2234" t="str">
        <f>'Part V-Revenues &amp; Expenses'!O29</f>
        <v>Low-Rise Apt</v>
      </c>
      <c r="P667" s="2094" t="str">
        <f>'Part V-Revenues &amp; Expenses'!P29</f>
        <v>New Construction</v>
      </c>
      <c r="Q667" s="2235" t="str">
        <f>'Part V-Revenues &amp; Expenses'!Q29</f>
        <v>No</v>
      </c>
      <c r="R667" s="2236"/>
      <c r="S667" s="2237"/>
      <c r="T667" s="2160"/>
      <c r="U667" s="2160"/>
      <c r="V667" s="2160"/>
      <c r="W667" s="2160"/>
      <c r="X667" s="357" t="str">
        <f t="shared" si="3"/>
        <v/>
      </c>
      <c r="Y667" s="357" t="str">
        <f t="shared" si="4"/>
        <v/>
      </c>
      <c r="Z667" s="357" t="str">
        <f t="shared" si="5"/>
        <v/>
      </c>
      <c r="AA667" s="357" t="str">
        <f t="shared" si="6"/>
        <v/>
      </c>
      <c r="AB667" s="357" t="str">
        <f t="shared" si="7"/>
        <v/>
      </c>
      <c r="AC667" s="357" t="str">
        <f t="shared" si="8"/>
        <v/>
      </c>
      <c r="AD667" s="357" t="str">
        <f t="shared" si="9"/>
        <v/>
      </c>
      <c r="AE667" s="357" t="str">
        <f t="shared" si="10"/>
        <v/>
      </c>
      <c r="AF667" s="357" t="str">
        <f t="shared" si="11"/>
        <v/>
      </c>
      <c r="AG667" s="357" t="str">
        <f t="shared" si="12"/>
        <v/>
      </c>
      <c r="AH667" s="357" t="str">
        <f t="shared" si="13"/>
        <v/>
      </c>
      <c r="AI667" s="357" t="str">
        <f t="shared" si="14"/>
        <v/>
      </c>
      <c r="AJ667" s="357" t="str">
        <f t="shared" si="15"/>
        <v/>
      </c>
      <c r="AK667" s="357" t="str">
        <f t="shared" si="16"/>
        <v/>
      </c>
      <c r="AL667" s="357" t="str">
        <f t="shared" si="17"/>
        <v/>
      </c>
      <c r="AM667" s="357" t="str">
        <f t="shared" si="18"/>
        <v/>
      </c>
      <c r="AN667" s="357" t="str">
        <f t="shared" si="19"/>
        <v/>
      </c>
      <c r="AO667" s="357" t="str">
        <f t="shared" si="20"/>
        <v/>
      </c>
      <c r="AP667" s="357" t="str">
        <f t="shared" si="21"/>
        <v/>
      </c>
      <c r="AQ667" s="357" t="str">
        <f t="shared" si="22"/>
        <v/>
      </c>
      <c r="AR667" s="357" t="str">
        <f t="shared" si="23"/>
        <v/>
      </c>
      <c r="AS667" s="357" t="str">
        <f t="shared" si="24"/>
        <v/>
      </c>
      <c r="AT667" s="357" t="str">
        <f t="shared" si="25"/>
        <v/>
      </c>
      <c r="AU667" s="357" t="str">
        <f t="shared" si="26"/>
        <v/>
      </c>
      <c r="AV667" s="357" t="str">
        <f t="shared" si="27"/>
        <v/>
      </c>
      <c r="AW667" s="357" t="str">
        <f t="shared" si="28"/>
        <v/>
      </c>
      <c r="AX667" s="357" t="str">
        <f t="shared" si="29"/>
        <v/>
      </c>
      <c r="AY667" s="357" t="str">
        <f t="shared" si="30"/>
        <v/>
      </c>
      <c r="AZ667" s="357" t="str">
        <f t="shared" si="31"/>
        <v/>
      </c>
      <c r="BA667" s="357">
        <f t="shared" si="32"/>
        <v>6</v>
      </c>
      <c r="BB667" s="357" t="str">
        <f t="shared" si="33"/>
        <v/>
      </c>
      <c r="BC667" s="357" t="str">
        <f t="shared" si="34"/>
        <v/>
      </c>
      <c r="BD667" s="357" t="str">
        <f t="shared" si="35"/>
        <v/>
      </c>
      <c r="BE667" s="357" t="str">
        <f t="shared" si="36"/>
        <v/>
      </c>
      <c r="BF667" s="357" t="str">
        <f t="shared" si="37"/>
        <v/>
      </c>
      <c r="BG667" s="357" t="str">
        <f t="shared" si="38"/>
        <v/>
      </c>
      <c r="BH667" s="357" t="str">
        <f t="shared" si="39"/>
        <v/>
      </c>
      <c r="BI667" s="357" t="str">
        <f t="shared" si="40"/>
        <v/>
      </c>
      <c r="BJ667" s="357" t="str">
        <f t="shared" si="41"/>
        <v/>
      </c>
      <c r="BK667" s="357" t="str">
        <f t="shared" si="42"/>
        <v/>
      </c>
      <c r="BL667" s="357" t="str">
        <f t="shared" si="43"/>
        <v/>
      </c>
      <c r="BM667" s="357" t="str">
        <f t="shared" si="44"/>
        <v/>
      </c>
      <c r="BN667" s="357" t="str">
        <f t="shared" si="45"/>
        <v/>
      </c>
      <c r="BO667" s="357" t="str">
        <f t="shared" si="46"/>
        <v/>
      </c>
      <c r="BP667" s="357" t="str">
        <f t="shared" si="47"/>
        <v/>
      </c>
      <c r="BQ667" s="357" t="str">
        <f t="shared" si="48"/>
        <v/>
      </c>
      <c r="BR667" s="357" t="str">
        <f t="shared" si="49"/>
        <v/>
      </c>
      <c r="BS667" s="357" t="str">
        <f t="shared" si="50"/>
        <v/>
      </c>
      <c r="BT667" s="357" t="str">
        <f t="shared" si="51"/>
        <v/>
      </c>
      <c r="BU667" s="357">
        <f t="shared" si="52"/>
        <v>6</v>
      </c>
      <c r="BV667" s="357" t="str">
        <f t="shared" si="53"/>
        <v/>
      </c>
      <c r="BW667" s="357" t="str">
        <f t="shared" si="54"/>
        <v/>
      </c>
      <c r="BX667" s="357" t="str">
        <f t="shared" si="55"/>
        <v/>
      </c>
      <c r="BY667" s="357" t="str">
        <f t="shared" si="56"/>
        <v/>
      </c>
      <c r="BZ667" s="357" t="str">
        <f t="shared" si="57"/>
        <v/>
      </c>
      <c r="CA667" s="357" t="str">
        <f t="shared" si="58"/>
        <v/>
      </c>
      <c r="CB667" s="357" t="str">
        <f t="shared" si="59"/>
        <v/>
      </c>
      <c r="CC667" s="357" t="str">
        <f t="shared" si="60"/>
        <v/>
      </c>
      <c r="CD667" s="357" t="str">
        <f t="shared" si="61"/>
        <v/>
      </c>
      <c r="CE667" s="357" t="str">
        <f t="shared" si="62"/>
        <v/>
      </c>
      <c r="CF667" s="357" t="str">
        <f t="shared" si="63"/>
        <v/>
      </c>
      <c r="CG667" s="357" t="str">
        <f t="shared" si="64"/>
        <v/>
      </c>
      <c r="CH667" s="357" t="str">
        <f t="shared" si="65"/>
        <v/>
      </c>
      <c r="CI667" s="357" t="str">
        <f t="shared" si="66"/>
        <v/>
      </c>
      <c r="CJ667" s="357" t="str">
        <f t="shared" si="67"/>
        <v/>
      </c>
      <c r="CK667" s="357" t="str">
        <f t="shared" si="68"/>
        <v/>
      </c>
      <c r="CL667" s="357" t="str">
        <f t="shared" si="69"/>
        <v/>
      </c>
      <c r="CM667" s="357" t="str">
        <f t="shared" si="70"/>
        <v/>
      </c>
      <c r="CN667" s="357" t="str">
        <f t="shared" si="71"/>
        <v/>
      </c>
      <c r="CO667" s="357" t="str">
        <f t="shared" si="72"/>
        <v/>
      </c>
      <c r="CP667" s="357" t="str">
        <f t="shared" si="73"/>
        <v/>
      </c>
      <c r="CQ667" s="357" t="str">
        <f t="shared" si="74"/>
        <v/>
      </c>
      <c r="CR667" s="357" t="str">
        <f t="shared" si="75"/>
        <v/>
      </c>
      <c r="CS667" s="357" t="str">
        <f t="shared" si="76"/>
        <v/>
      </c>
      <c r="CT667" s="357" t="str">
        <f t="shared" si="77"/>
        <v/>
      </c>
      <c r="CU667" s="357" t="str">
        <f t="shared" si="78"/>
        <v/>
      </c>
      <c r="CV667" s="357" t="str">
        <f t="shared" si="79"/>
        <v/>
      </c>
      <c r="CW667" s="357" t="str">
        <f t="shared" si="80"/>
        <v/>
      </c>
      <c r="CX667" s="357" t="str">
        <f t="shared" si="81"/>
        <v/>
      </c>
      <c r="CY667" s="357" t="str">
        <f t="shared" si="82"/>
        <v/>
      </c>
      <c r="CZ667" s="357" t="str">
        <f t="shared" si="83"/>
        <v/>
      </c>
      <c r="DA667" s="357" t="str">
        <f t="shared" si="84"/>
        <v/>
      </c>
      <c r="DB667" s="357" t="str">
        <f t="shared" si="85"/>
        <v/>
      </c>
      <c r="DC667" s="357" t="str">
        <f t="shared" si="86"/>
        <v/>
      </c>
      <c r="DD667" s="357" t="str">
        <f t="shared" si="87"/>
        <v/>
      </c>
      <c r="DE667" s="357" t="str">
        <f t="shared" si="88"/>
        <v/>
      </c>
      <c r="DF667" s="357" t="str">
        <f t="shared" si="89"/>
        <v/>
      </c>
      <c r="DG667" s="357" t="str">
        <f t="shared" si="90"/>
        <v/>
      </c>
      <c r="DH667" s="357" t="str">
        <f t="shared" si="91"/>
        <v/>
      </c>
      <c r="DI667" s="357" t="str">
        <f t="shared" si="92"/>
        <v/>
      </c>
      <c r="DJ667" s="357" t="str">
        <f t="shared" si="93"/>
        <v/>
      </c>
      <c r="DK667" s="357" t="str">
        <f t="shared" si="94"/>
        <v/>
      </c>
      <c r="DL667" s="357" t="str">
        <f t="shared" si="95"/>
        <v/>
      </c>
      <c r="DM667" s="357" t="str">
        <f t="shared" si="96"/>
        <v/>
      </c>
      <c r="DN667" s="357" t="str">
        <f t="shared" si="97"/>
        <v/>
      </c>
      <c r="DO667" s="357" t="str">
        <f t="shared" si="98"/>
        <v/>
      </c>
      <c r="DP667" s="357" t="str">
        <f t="shared" si="99"/>
        <v/>
      </c>
      <c r="DQ667" s="357" t="str">
        <f t="shared" si="100"/>
        <v/>
      </c>
      <c r="DR667" s="357" t="str">
        <f t="shared" si="101"/>
        <v/>
      </c>
      <c r="DS667" s="357" t="str">
        <f t="shared" si="102"/>
        <v/>
      </c>
      <c r="DT667" s="357" t="str">
        <f t="shared" si="103"/>
        <v/>
      </c>
      <c r="DU667" s="357" t="str">
        <f t="shared" si="104"/>
        <v/>
      </c>
      <c r="DV667" s="357" t="str">
        <f t="shared" si="105"/>
        <v/>
      </c>
      <c r="DW667" s="357" t="str">
        <f t="shared" si="106"/>
        <v/>
      </c>
      <c r="DX667" s="357" t="str">
        <f t="shared" si="107"/>
        <v/>
      </c>
      <c r="DY667" s="357" t="str">
        <f t="shared" si="108"/>
        <v/>
      </c>
      <c r="DZ667" s="357" t="str">
        <f t="shared" si="109"/>
        <v/>
      </c>
      <c r="EA667" s="357" t="str">
        <f t="shared" si="110"/>
        <v/>
      </c>
      <c r="EB667" s="357" t="str">
        <f t="shared" si="111"/>
        <v/>
      </c>
      <c r="EC667" s="357" t="str">
        <f t="shared" si="112"/>
        <v/>
      </c>
      <c r="ED667" s="357" t="str">
        <f t="shared" si="113"/>
        <v/>
      </c>
      <c r="EE667" s="357" t="str">
        <f t="shared" si="114"/>
        <v/>
      </c>
      <c r="EF667" s="357" t="str">
        <f t="shared" si="115"/>
        <v/>
      </c>
      <c r="EG667" s="357" t="str">
        <f t="shared" si="116"/>
        <v/>
      </c>
      <c r="EH667" s="357" t="str">
        <f t="shared" si="117"/>
        <v/>
      </c>
      <c r="EI667" s="357" t="str">
        <f t="shared" si="118"/>
        <v/>
      </c>
      <c r="EJ667" s="357" t="str">
        <f t="shared" si="119"/>
        <v/>
      </c>
      <c r="EK667" s="357" t="str">
        <f t="shared" si="120"/>
        <v/>
      </c>
      <c r="EL667" s="357" t="str">
        <f t="shared" si="121"/>
        <v/>
      </c>
      <c r="EM667" s="357" t="str">
        <f t="shared" si="122"/>
        <v/>
      </c>
      <c r="EN667" s="357" t="str">
        <f t="shared" si="123"/>
        <v/>
      </c>
      <c r="EO667" s="357" t="str">
        <f t="shared" si="124"/>
        <v/>
      </c>
      <c r="EP667" s="357" t="str">
        <f t="shared" si="125"/>
        <v/>
      </c>
      <c r="EQ667" s="357" t="str">
        <f t="shared" si="126"/>
        <v/>
      </c>
      <c r="ER667" s="357" t="str">
        <f t="shared" si="127"/>
        <v/>
      </c>
      <c r="ES667" s="357" t="str">
        <f t="shared" si="128"/>
        <v/>
      </c>
      <c r="ET667" s="357" t="str">
        <f t="shared" si="129"/>
        <v/>
      </c>
      <c r="EU667" s="357" t="str">
        <f t="shared" si="130"/>
        <v/>
      </c>
      <c r="EV667" s="357" t="str">
        <f t="shared" si="131"/>
        <v/>
      </c>
      <c r="EW667" s="357" t="str">
        <f t="shared" si="132"/>
        <v/>
      </c>
      <c r="EX667" s="357" t="str">
        <f t="shared" si="133"/>
        <v/>
      </c>
      <c r="EY667" s="357" t="str">
        <f t="shared" si="134"/>
        <v/>
      </c>
      <c r="EZ667" s="357" t="str">
        <f t="shared" si="135"/>
        <v/>
      </c>
      <c r="FA667" s="357" t="str">
        <f t="shared" si="136"/>
        <v/>
      </c>
      <c r="FB667" s="357" t="str">
        <f t="shared" si="137"/>
        <v/>
      </c>
      <c r="FC667" s="357" t="str">
        <f t="shared" si="138"/>
        <v/>
      </c>
      <c r="FD667" s="357" t="str">
        <f t="shared" si="139"/>
        <v/>
      </c>
      <c r="FE667" s="357" t="str">
        <f t="shared" si="140"/>
        <v/>
      </c>
      <c r="FF667" s="357" t="str">
        <f t="shared" si="141"/>
        <v/>
      </c>
      <c r="FG667" s="357" t="str">
        <f t="shared" si="142"/>
        <v/>
      </c>
      <c r="FH667" s="357" t="str">
        <f t="shared" si="143"/>
        <v/>
      </c>
      <c r="FI667" s="357" t="str">
        <f t="shared" si="144"/>
        <v/>
      </c>
      <c r="FJ667" s="357" t="str">
        <f t="shared" si="145"/>
        <v/>
      </c>
      <c r="FK667" s="357" t="str">
        <f t="shared" si="146"/>
        <v/>
      </c>
      <c r="FL667" s="357">
        <f t="shared" si="147"/>
        <v>9426</v>
      </c>
      <c r="FM667" s="357" t="str">
        <f t="shared" si="148"/>
        <v/>
      </c>
      <c r="FN667" s="357" t="str">
        <f t="shared" si="149"/>
        <v/>
      </c>
      <c r="FO667" s="357" t="str">
        <f t="shared" si="150"/>
        <v/>
      </c>
      <c r="FP667" s="357" t="str">
        <f t="shared" si="151"/>
        <v/>
      </c>
      <c r="FQ667" s="357" t="str">
        <f t="shared" si="152"/>
        <v/>
      </c>
      <c r="FR667" s="357" t="str">
        <f t="shared" si="153"/>
        <v/>
      </c>
      <c r="FS667" s="357" t="str">
        <f t="shared" si="154"/>
        <v/>
      </c>
      <c r="FT667" s="357" t="str">
        <f t="shared" si="155"/>
        <v/>
      </c>
      <c r="FU667" s="357" t="str">
        <f t="shared" si="156"/>
        <v/>
      </c>
      <c r="FV667" s="357" t="str">
        <f t="shared" si="157"/>
        <v/>
      </c>
      <c r="FW667" s="357" t="str">
        <f t="shared" si="158"/>
        <v/>
      </c>
      <c r="FX667" s="357" t="str">
        <f t="shared" si="159"/>
        <v/>
      </c>
      <c r="FY667" s="357" t="str">
        <f t="shared" si="160"/>
        <v/>
      </c>
      <c r="FZ667" s="357" t="str">
        <f t="shared" si="161"/>
        <v/>
      </c>
      <c r="GA667" s="357">
        <f t="shared" si="162"/>
        <v>9426</v>
      </c>
      <c r="GB667" s="357" t="str">
        <f t="shared" si="163"/>
        <v/>
      </c>
      <c r="GC667" s="357" t="str">
        <f t="shared" si="164"/>
        <v/>
      </c>
      <c r="GD667" s="357" t="str">
        <f t="shared" si="165"/>
        <v/>
      </c>
      <c r="GE667" s="357" t="str">
        <f t="shared" si="166"/>
        <v/>
      </c>
      <c r="GF667" s="357" t="str">
        <f t="shared" si="167"/>
        <v/>
      </c>
      <c r="GG667" s="357" t="str">
        <f t="shared" si="168"/>
        <v/>
      </c>
      <c r="GH667" s="357" t="str">
        <f t="shared" si="169"/>
        <v/>
      </c>
      <c r="GI667" s="357" t="str">
        <f t="shared" si="170"/>
        <v/>
      </c>
      <c r="GJ667" s="357" t="str">
        <f t="shared" si="171"/>
        <v/>
      </c>
      <c r="GK667" s="357">
        <f t="shared" si="172"/>
        <v>6</v>
      </c>
      <c r="GL667" s="357" t="str">
        <f t="shared" si="173"/>
        <v/>
      </c>
      <c r="GM667" s="357" t="str">
        <f t="shared" si="174"/>
        <v/>
      </c>
      <c r="GN667" s="357" t="str">
        <f t="shared" si="175"/>
        <v/>
      </c>
      <c r="GO667" s="357" t="str">
        <f t="shared" si="176"/>
        <v/>
      </c>
      <c r="GP667" s="357" t="str">
        <f t="shared" si="177"/>
        <v/>
      </c>
      <c r="GQ667" s="357" t="str">
        <f t="shared" si="178"/>
        <v/>
      </c>
      <c r="GR667" s="357" t="str">
        <f t="shared" si="179"/>
        <v/>
      </c>
      <c r="GS667" s="357" t="str">
        <f t="shared" si="180"/>
        <v/>
      </c>
      <c r="GT667" s="357" t="str">
        <f t="shared" si="181"/>
        <v/>
      </c>
      <c r="GU667" s="357" t="str">
        <f t="shared" si="182"/>
        <v/>
      </c>
      <c r="GV667" s="357" t="str">
        <f t="shared" si="183"/>
        <v/>
      </c>
      <c r="GW667" s="357" t="str">
        <f t="shared" si="184"/>
        <v/>
      </c>
      <c r="GX667" s="357" t="str">
        <f t="shared" si="185"/>
        <v/>
      </c>
      <c r="GY667" s="357" t="str">
        <f t="shared" si="186"/>
        <v/>
      </c>
      <c r="GZ667" s="357" t="str">
        <f t="shared" si="187"/>
        <v/>
      </c>
      <c r="HA667" s="357" t="str">
        <f t="shared" si="188"/>
        <v/>
      </c>
      <c r="HB667" s="357" t="str">
        <f t="shared" si="189"/>
        <v/>
      </c>
      <c r="HC667" s="357" t="str">
        <f t="shared" si="190"/>
        <v/>
      </c>
      <c r="HD667" s="357" t="str">
        <f t="shared" si="191"/>
        <v/>
      </c>
      <c r="HE667" s="357" t="str">
        <f t="shared" si="192"/>
        <v/>
      </c>
      <c r="HF667" s="357" t="str">
        <f t="shared" si="193"/>
        <v/>
      </c>
      <c r="HG667" s="357" t="str">
        <f t="shared" si="194"/>
        <v/>
      </c>
      <c r="HH667" s="357" t="str">
        <f t="shared" si="195"/>
        <v/>
      </c>
      <c r="HI667" s="357" t="str">
        <f t="shared" si="196"/>
        <v/>
      </c>
      <c r="HJ667" s="357" t="str">
        <f t="shared" si="197"/>
        <v/>
      </c>
      <c r="HK667" s="357" t="str">
        <f t="shared" si="198"/>
        <v/>
      </c>
      <c r="HL667" s="357" t="str">
        <f t="shared" si="199"/>
        <v/>
      </c>
      <c r="HM667" s="357" t="str">
        <f t="shared" si="200"/>
        <v/>
      </c>
      <c r="HN667" s="357" t="str">
        <f t="shared" si="201"/>
        <v/>
      </c>
      <c r="HO667" s="357" t="str">
        <f t="shared" si="202"/>
        <v/>
      </c>
      <c r="HP667" s="357" t="str">
        <f t="shared" si="203"/>
        <v/>
      </c>
      <c r="HQ667" s="357" t="str">
        <f t="shared" si="204"/>
        <v/>
      </c>
      <c r="HR667" s="357" t="str">
        <f t="shared" si="205"/>
        <v/>
      </c>
      <c r="HS667" s="357" t="str">
        <f t="shared" si="206"/>
        <v/>
      </c>
      <c r="HT667" s="357" t="str">
        <f t="shared" si="207"/>
        <v/>
      </c>
      <c r="HU667" s="357" t="str">
        <f t="shared" si="208"/>
        <v/>
      </c>
      <c r="HV667" s="357" t="str">
        <f t="shared" si="209"/>
        <v/>
      </c>
      <c r="HW667" s="357" t="str">
        <f t="shared" si="210"/>
        <v/>
      </c>
      <c r="HX667" s="357" t="str">
        <f t="shared" si="211"/>
        <v/>
      </c>
      <c r="HY667" s="357" t="str">
        <f t="shared" si="212"/>
        <v/>
      </c>
      <c r="HZ667" s="1903" t="str">
        <f t="shared" si="213"/>
        <v/>
      </c>
      <c r="IA667" s="1903" t="str">
        <f t="shared" si="214"/>
        <v/>
      </c>
      <c r="IB667" s="1903" t="str">
        <f t="shared" si="215"/>
        <v/>
      </c>
      <c r="IC667" s="1903" t="str">
        <f t="shared" si="216"/>
        <v/>
      </c>
      <c r="ID667" s="1903">
        <f t="shared" si="217"/>
        <v>6</v>
      </c>
      <c r="IE667" s="1903" t="str">
        <f t="shared" si="218"/>
        <v/>
      </c>
      <c r="IF667" s="1903" t="str">
        <f t="shared" si="219"/>
        <v/>
      </c>
      <c r="IG667" s="1903" t="str">
        <f t="shared" si="220"/>
        <v/>
      </c>
      <c r="IH667" s="1903" t="str">
        <f t="shared" si="221"/>
        <v/>
      </c>
      <c r="II667" s="1903" t="str">
        <f t="shared" si="222"/>
        <v/>
      </c>
      <c r="IJ667" s="1903" t="str">
        <f t="shared" si="223"/>
        <v/>
      </c>
      <c r="IK667" s="1903" t="str">
        <f t="shared" si="224"/>
        <v/>
      </c>
      <c r="IL667" s="1903" t="str">
        <f t="shared" si="225"/>
        <v/>
      </c>
      <c r="IM667" s="1903" t="str">
        <f t="shared" si="226"/>
        <v/>
      </c>
      <c r="IN667" s="1903" t="str">
        <f t="shared" si="227"/>
        <v/>
      </c>
      <c r="IO667" s="1903" t="str">
        <f t="shared" si="228"/>
        <v/>
      </c>
      <c r="IP667" s="1903" t="str">
        <f t="shared" si="229"/>
        <v/>
      </c>
      <c r="IQ667" s="1903" t="str">
        <f t="shared" si="230"/>
        <v/>
      </c>
      <c r="IR667" s="1903" t="str">
        <f t="shared" si="231"/>
        <v/>
      </c>
      <c r="IS667" s="1903" t="str">
        <f t="shared" si="232"/>
        <v/>
      </c>
      <c r="IT667" s="1903" t="str">
        <f t="shared" si="233"/>
        <v/>
      </c>
      <c r="IU667" s="1903" t="str">
        <f t="shared" si="234"/>
        <v/>
      </c>
      <c r="IV667" s="1903" t="str">
        <f t="shared" si="235"/>
        <v/>
      </c>
      <c r="IW667" s="1903" t="str">
        <f t="shared" si="236"/>
        <v/>
      </c>
      <c r="IX667" s="1903" t="str">
        <f t="shared" si="237"/>
        <v/>
      </c>
      <c r="IY667" s="1903" t="str">
        <f t="shared" si="238"/>
        <v/>
      </c>
      <c r="IZ667" s="1903" t="str">
        <f t="shared" si="239"/>
        <v/>
      </c>
      <c r="JA667" s="1903" t="str">
        <f t="shared" si="240"/>
        <v/>
      </c>
      <c r="JB667" s="1903" t="str">
        <f t="shared" si="241"/>
        <v/>
      </c>
      <c r="JC667" s="1903" t="str">
        <f t="shared" si="242"/>
        <v/>
      </c>
      <c r="JD667" s="1903" t="str">
        <f t="shared" si="243"/>
        <v/>
      </c>
      <c r="JE667" s="1903" t="str">
        <f t="shared" si="244"/>
        <v/>
      </c>
      <c r="JF667" s="1903" t="str">
        <f t="shared" si="245"/>
        <v/>
      </c>
      <c r="JG667" s="1903" t="str">
        <f t="shared" si="246"/>
        <v/>
      </c>
      <c r="JH667" s="1903" t="str">
        <f t="shared" si="247"/>
        <v/>
      </c>
      <c r="JI667" s="1903" t="str">
        <f t="shared" si="248"/>
        <v/>
      </c>
      <c r="JJ667" s="1903" t="str">
        <f t="shared" si="249"/>
        <v/>
      </c>
      <c r="JK667" s="1903" t="str">
        <f t="shared" si="250"/>
        <v/>
      </c>
      <c r="JL667" s="1903" t="str">
        <f t="shared" si="251"/>
        <v/>
      </c>
      <c r="JM667" s="1903" t="str">
        <f t="shared" si="252"/>
        <v/>
      </c>
      <c r="JN667" s="1903" t="str">
        <f t="shared" si="253"/>
        <v/>
      </c>
      <c r="JO667" s="1903" t="str">
        <f t="shared" si="254"/>
        <v/>
      </c>
      <c r="JP667" s="1903" t="str">
        <f t="shared" si="255"/>
        <v/>
      </c>
      <c r="JQ667" s="1903" t="str">
        <f t="shared" si="256"/>
        <v/>
      </c>
      <c r="JR667" s="1903" t="str">
        <f t="shared" si="257"/>
        <v/>
      </c>
      <c r="JS667" s="1903" t="str">
        <f t="shared" si="258"/>
        <v/>
      </c>
      <c r="JT667" s="1903" t="str">
        <f t="shared" si="259"/>
        <v/>
      </c>
      <c r="JU667" s="1903" t="str">
        <f t="shared" si="260"/>
        <v/>
      </c>
      <c r="JV667" s="1903" t="str">
        <f t="shared" si="261"/>
        <v/>
      </c>
      <c r="JW667" s="1903">
        <f t="shared" si="262"/>
        <v>6</v>
      </c>
      <c r="JX667" s="1903" t="str">
        <f t="shared" si="263"/>
        <v/>
      </c>
      <c r="JY667" s="1903" t="str">
        <f t="shared" si="264"/>
        <v/>
      </c>
      <c r="JZ667" s="1903" t="str">
        <f t="shared" si="265"/>
        <v/>
      </c>
      <c r="KA667" s="1903" t="str">
        <f t="shared" si="266"/>
        <v/>
      </c>
      <c r="KB667" s="1903" t="str">
        <f t="shared" si="267"/>
        <v/>
      </c>
      <c r="KC667" s="1903" t="str">
        <f t="shared" si="268"/>
        <v/>
      </c>
      <c r="KD667" s="1903" t="str">
        <f t="shared" si="269"/>
        <v/>
      </c>
      <c r="KE667" s="1903" t="str">
        <f t="shared" si="270"/>
        <v/>
      </c>
      <c r="KF667" s="1903" t="str">
        <f t="shared" si="271"/>
        <v/>
      </c>
      <c r="KG667" s="1903" t="str">
        <f t="shared" si="272"/>
        <v/>
      </c>
      <c r="KH667" s="1903" t="str">
        <f t="shared" si="273"/>
        <v/>
      </c>
      <c r="KI667" s="1903" t="str">
        <f t="shared" si="274"/>
        <v/>
      </c>
      <c r="KJ667" s="1903" t="str">
        <f t="shared" si="275"/>
        <v/>
      </c>
      <c r="KK667" s="1903" t="str">
        <f t="shared" si="276"/>
        <v/>
      </c>
      <c r="KL667" s="1903" t="str">
        <f t="shared" si="277"/>
        <v/>
      </c>
      <c r="KM667" s="1903" t="str">
        <f t="shared" si="278"/>
        <v/>
      </c>
      <c r="KN667" s="1903" t="str">
        <f t="shared" si="279"/>
        <v/>
      </c>
      <c r="KO667" s="1903" t="str">
        <f t="shared" si="280"/>
        <v/>
      </c>
      <c r="KP667" s="1903" t="str">
        <f t="shared" si="281"/>
        <v/>
      </c>
      <c r="KQ667" s="1903" t="str">
        <f t="shared" si="282"/>
        <v/>
      </c>
      <c r="KR667" s="1903" t="str">
        <f t="shared" si="283"/>
        <v/>
      </c>
      <c r="KS667" s="1903" t="str">
        <f t="shared" si="284"/>
        <v/>
      </c>
      <c r="KT667" s="1903" t="str">
        <f t="shared" si="285"/>
        <v/>
      </c>
      <c r="KU667" s="1903" t="str">
        <f t="shared" si="286"/>
        <v/>
      </c>
      <c r="KV667" s="1903" t="str">
        <f t="shared" si="287"/>
        <v/>
      </c>
      <c r="KW667" s="1903" t="str">
        <f t="shared" si="288"/>
        <v/>
      </c>
      <c r="KX667" s="1903" t="str">
        <f t="shared" si="289"/>
        <v/>
      </c>
      <c r="KY667" s="1903" t="str">
        <f t="shared" si="290"/>
        <v/>
      </c>
      <c r="KZ667" s="1903" t="str">
        <f t="shared" si="291"/>
        <v/>
      </c>
      <c r="LA667" s="1903" t="str">
        <f t="shared" si="292"/>
        <v/>
      </c>
      <c r="LB667" s="1903" t="str">
        <f t="shared" si="293"/>
        <v/>
      </c>
      <c r="LC667" s="1903" t="str">
        <f t="shared" si="294"/>
        <v/>
      </c>
      <c r="LD667" s="1903" t="str">
        <f t="shared" si="295"/>
        <v/>
      </c>
      <c r="LE667" s="1903" t="str">
        <f t="shared" si="296"/>
        <v/>
      </c>
      <c r="LF667" s="1903" t="str">
        <f t="shared" si="297"/>
        <v/>
      </c>
      <c r="LG667" s="1750" t="str">
        <f t="shared" si="298"/>
        <v/>
      </c>
      <c r="LH667" s="1750" t="str">
        <f t="shared" si="299"/>
        <v/>
      </c>
      <c r="LI667" s="1750" t="str">
        <f t="shared" si="300"/>
        <v/>
      </c>
      <c r="LJ667" s="1750" t="str">
        <f t="shared" si="301"/>
        <v/>
      </c>
      <c r="LK667" s="1750" t="str">
        <f t="shared" si="302"/>
        <v/>
      </c>
      <c r="LL667" s="357" t="str">
        <f t="shared" si="303"/>
        <v/>
      </c>
      <c r="LM667" s="357" t="str">
        <f t="shared" si="304"/>
        <v/>
      </c>
      <c r="LN667" s="357" t="str">
        <f t="shared" si="305"/>
        <v/>
      </c>
      <c r="LO667" s="357" t="str">
        <f t="shared" si="306"/>
        <v/>
      </c>
      <c r="LP667" s="357" t="str">
        <f t="shared" si="307"/>
        <v/>
      </c>
      <c r="LQ667" s="357" t="str">
        <f t="shared" si="308"/>
        <v/>
      </c>
      <c r="LR667" s="357" t="str">
        <f t="shared" si="309"/>
        <v/>
      </c>
      <c r="LS667" s="357" t="str">
        <f t="shared" si="310"/>
        <v/>
      </c>
      <c r="LT667" s="357" t="str">
        <f t="shared" si="311"/>
        <v/>
      </c>
      <c r="LU667" s="357" t="str">
        <f t="shared" si="312"/>
        <v/>
      </c>
      <c r="LV667" s="357" t="str">
        <f t="shared" si="313"/>
        <v/>
      </c>
      <c r="LW667" s="357" t="str">
        <f t="shared" si="314"/>
        <v/>
      </c>
      <c r="LX667" s="357" t="str">
        <f t="shared" si="315"/>
        <v/>
      </c>
      <c r="LY667" s="357" t="str">
        <f t="shared" si="316"/>
        <v/>
      </c>
      <c r="LZ667" s="357" t="str">
        <f t="shared" si="317"/>
        <v/>
      </c>
      <c r="MA667" s="357" t="str">
        <f t="shared" si="318"/>
        <v/>
      </c>
      <c r="MB667" s="357" t="str">
        <f t="shared" si="319"/>
        <v/>
      </c>
      <c r="MC667" s="357" t="str">
        <f t="shared" si="320"/>
        <v/>
      </c>
      <c r="MD667" s="357" t="str">
        <f t="shared" si="321"/>
        <v/>
      </c>
      <c r="ME667" s="357" t="str">
        <f t="shared" si="322"/>
        <v/>
      </c>
      <c r="MF667" s="1750">
        <f t="shared" si="323"/>
        <v>0</v>
      </c>
      <c r="MG667" s="1750">
        <f t="shared" si="324"/>
        <v>0</v>
      </c>
      <c r="MH667" s="1750">
        <f t="shared" si="325"/>
        <v>0</v>
      </c>
      <c r="MI667" s="1750">
        <f t="shared" si="326"/>
        <v>0</v>
      </c>
      <c r="MJ667" s="1750">
        <f t="shared" si="327"/>
        <v>0</v>
      </c>
      <c r="MK667" s="1750">
        <f t="shared" si="333"/>
        <v>0</v>
      </c>
      <c r="ML667" s="1750">
        <f t="shared" si="334"/>
        <v>0</v>
      </c>
      <c r="MM667" s="1750">
        <f t="shared" si="335"/>
        <v>0</v>
      </c>
      <c r="MN667" s="1750">
        <f t="shared" si="336"/>
        <v>0</v>
      </c>
      <c r="MO667" s="1750">
        <f t="shared" si="337"/>
        <v>6</v>
      </c>
      <c r="MP667" s="1750">
        <f t="shared" si="328"/>
        <v>0</v>
      </c>
      <c r="MQ667" s="1750">
        <f t="shared" si="329"/>
        <v>0</v>
      </c>
      <c r="MR667" s="1750">
        <f t="shared" si="330"/>
        <v>0</v>
      </c>
      <c r="MS667" s="1750">
        <f t="shared" si="331"/>
        <v>0</v>
      </c>
      <c r="MT667" s="1750">
        <f t="shared" si="332"/>
        <v>0</v>
      </c>
      <c r="NP667" s="357" t="s">
        <v>6432</v>
      </c>
    </row>
    <row r="668" spans="1:380" ht="13.9" customHeight="1">
      <c r="A668" s="1901" t="str">
        <f t="shared" si="0"/>
        <v/>
      </c>
      <c r="B668" s="2238">
        <f>'Part V-Revenues &amp; Expenses'!B30</f>
        <v>60</v>
      </c>
      <c r="C668" s="2229">
        <f>'Part V-Revenues &amp; Expenses'!C30</f>
        <v>4</v>
      </c>
      <c r="D668" s="2230">
        <f>'Part V-Revenues &amp; Expenses'!D30</f>
        <v>2</v>
      </c>
      <c r="E668" s="2231">
        <f>'Part V-Revenues &amp; Expenses'!E30</f>
        <v>10</v>
      </c>
      <c r="F668" s="2231">
        <f>'Part V-Revenues &amp; Expenses'!F30</f>
        <v>1571</v>
      </c>
      <c r="G668" s="2231">
        <f>'Part V-Revenues &amp; Expenses'!G30</f>
        <v>1521</v>
      </c>
      <c r="H668" s="2231">
        <f>'Part V-Revenues &amp; Expenses'!H30</f>
        <v>1900</v>
      </c>
      <c r="I668" s="2231">
        <f>'Part V-Revenues &amp; Expenses'!I30</f>
        <v>0</v>
      </c>
      <c r="J668" s="2231">
        <f>'Part V-Revenues &amp; Expenses'!J30</f>
        <v>122</v>
      </c>
      <c r="K668" s="2232" t="str">
        <f>'Part V-Revenues &amp; Expenses'!K30</f>
        <v>HUD</v>
      </c>
      <c r="L668" s="2233">
        <f t="shared" si="340"/>
        <v>1778</v>
      </c>
      <c r="M668" s="2233">
        <f t="shared" si="341"/>
        <v>17780</v>
      </c>
      <c r="N668" s="2094" t="str">
        <f>'Part V-Revenues &amp; Expenses'!N30</f>
        <v>No</v>
      </c>
      <c r="O668" s="2234" t="str">
        <f>'Part V-Revenues &amp; Expenses'!O30</f>
        <v>Low-Rise Apt</v>
      </c>
      <c r="P668" s="2094" t="str">
        <f>'Part V-Revenues &amp; Expenses'!P30</f>
        <v>New Construction</v>
      </c>
      <c r="Q668" s="2235" t="str">
        <f>'Part V-Revenues &amp; Expenses'!Q30</f>
        <v>No</v>
      </c>
      <c r="R668" s="2236"/>
      <c r="S668" s="2237"/>
      <c r="T668" s="2160"/>
      <c r="U668" s="2160"/>
      <c r="V668" s="2160"/>
      <c r="W668" s="2160"/>
      <c r="X668" s="357" t="str">
        <f t="shared" si="3"/>
        <v/>
      </c>
      <c r="Y668" s="357" t="str">
        <f t="shared" si="4"/>
        <v/>
      </c>
      <c r="Z668" s="357" t="str">
        <f t="shared" si="5"/>
        <v/>
      </c>
      <c r="AA668" s="357" t="str">
        <f t="shared" si="6"/>
        <v/>
      </c>
      <c r="AB668" s="357" t="str">
        <f t="shared" si="7"/>
        <v/>
      </c>
      <c r="AC668" s="357" t="str">
        <f t="shared" si="8"/>
        <v/>
      </c>
      <c r="AD668" s="357" t="str">
        <f t="shared" si="9"/>
        <v/>
      </c>
      <c r="AE668" s="357" t="str">
        <f t="shared" si="10"/>
        <v/>
      </c>
      <c r="AF668" s="357" t="str">
        <f t="shared" si="11"/>
        <v/>
      </c>
      <c r="AG668" s="357" t="str">
        <f t="shared" si="12"/>
        <v/>
      </c>
      <c r="AH668" s="357" t="str">
        <f t="shared" si="13"/>
        <v/>
      </c>
      <c r="AI668" s="357" t="str">
        <f t="shared" si="14"/>
        <v/>
      </c>
      <c r="AJ668" s="357" t="str">
        <f t="shared" si="15"/>
        <v/>
      </c>
      <c r="AK668" s="357" t="str">
        <f t="shared" si="16"/>
        <v/>
      </c>
      <c r="AL668" s="357">
        <f t="shared" si="17"/>
        <v>10</v>
      </c>
      <c r="AM668" s="357" t="str">
        <f t="shared" si="18"/>
        <v/>
      </c>
      <c r="AN668" s="357" t="str">
        <f t="shared" si="19"/>
        <v/>
      </c>
      <c r="AO668" s="357" t="str">
        <f t="shared" si="20"/>
        <v/>
      </c>
      <c r="AP668" s="357" t="str">
        <f t="shared" si="21"/>
        <v/>
      </c>
      <c r="AQ668" s="357" t="str">
        <f t="shared" si="22"/>
        <v/>
      </c>
      <c r="AR668" s="357" t="str">
        <f t="shared" si="23"/>
        <v/>
      </c>
      <c r="AS668" s="357" t="str">
        <f t="shared" si="24"/>
        <v/>
      </c>
      <c r="AT668" s="357" t="str">
        <f t="shared" si="25"/>
        <v/>
      </c>
      <c r="AU668" s="357" t="str">
        <f t="shared" si="26"/>
        <v/>
      </c>
      <c r="AV668" s="357" t="str">
        <f t="shared" si="27"/>
        <v/>
      </c>
      <c r="AW668" s="357" t="str">
        <f t="shared" si="28"/>
        <v/>
      </c>
      <c r="AX668" s="357" t="str">
        <f t="shared" si="29"/>
        <v/>
      </c>
      <c r="AY668" s="357" t="str">
        <f t="shared" si="30"/>
        <v/>
      </c>
      <c r="AZ668" s="357" t="str">
        <f t="shared" si="31"/>
        <v/>
      </c>
      <c r="BA668" s="357" t="str">
        <f t="shared" si="32"/>
        <v/>
      </c>
      <c r="BB668" s="357" t="str">
        <f t="shared" si="33"/>
        <v/>
      </c>
      <c r="BC668" s="357" t="str">
        <f t="shared" si="34"/>
        <v/>
      </c>
      <c r="BD668" s="357" t="str">
        <f t="shared" si="35"/>
        <v/>
      </c>
      <c r="BE668" s="357" t="str">
        <f t="shared" si="36"/>
        <v/>
      </c>
      <c r="BF668" s="357" t="str">
        <f t="shared" si="37"/>
        <v/>
      </c>
      <c r="BG668" s="357" t="str">
        <f t="shared" si="38"/>
        <v/>
      </c>
      <c r="BH668" s="357" t="str">
        <f t="shared" si="39"/>
        <v/>
      </c>
      <c r="BI668" s="357" t="str">
        <f t="shared" si="40"/>
        <v/>
      </c>
      <c r="BJ668" s="357" t="str">
        <f t="shared" si="41"/>
        <v/>
      </c>
      <c r="BK668" s="357" t="str">
        <f t="shared" si="42"/>
        <v/>
      </c>
      <c r="BL668" s="357" t="str">
        <f t="shared" si="43"/>
        <v/>
      </c>
      <c r="BM668" s="357" t="str">
        <f t="shared" si="44"/>
        <v/>
      </c>
      <c r="BN668" s="357" t="str">
        <f t="shared" si="45"/>
        <v/>
      </c>
      <c r="BO668" s="357" t="str">
        <f t="shared" si="46"/>
        <v/>
      </c>
      <c r="BP668" s="357" t="str">
        <f t="shared" si="47"/>
        <v/>
      </c>
      <c r="BQ668" s="357" t="str">
        <f t="shared" si="48"/>
        <v/>
      </c>
      <c r="BR668" s="357" t="str">
        <f t="shared" si="49"/>
        <v/>
      </c>
      <c r="BS668" s="357" t="str">
        <f t="shared" si="50"/>
        <v/>
      </c>
      <c r="BT668" s="357" t="str">
        <f t="shared" si="51"/>
        <v/>
      </c>
      <c r="BU668" s="357" t="str">
        <f t="shared" si="52"/>
        <v/>
      </c>
      <c r="BV668" s="357" t="str">
        <f t="shared" si="53"/>
        <v/>
      </c>
      <c r="BW668" s="357" t="str">
        <f t="shared" si="54"/>
        <v/>
      </c>
      <c r="BX668" s="357" t="str">
        <f t="shared" si="55"/>
        <v/>
      </c>
      <c r="BY668" s="357" t="str">
        <f t="shared" si="56"/>
        <v/>
      </c>
      <c r="BZ668" s="357" t="str">
        <f t="shared" si="57"/>
        <v/>
      </c>
      <c r="CA668" s="357" t="str">
        <f t="shared" si="58"/>
        <v/>
      </c>
      <c r="CB668" s="357" t="str">
        <f t="shared" si="59"/>
        <v/>
      </c>
      <c r="CC668" s="357" t="str">
        <f t="shared" si="60"/>
        <v/>
      </c>
      <c r="CD668" s="357" t="str">
        <f t="shared" si="61"/>
        <v/>
      </c>
      <c r="CE668" s="357" t="str">
        <f t="shared" si="62"/>
        <v/>
      </c>
      <c r="CF668" s="357" t="str">
        <f t="shared" si="63"/>
        <v/>
      </c>
      <c r="CG668" s="357" t="str">
        <f t="shared" si="64"/>
        <v/>
      </c>
      <c r="CH668" s="357" t="str">
        <f t="shared" si="65"/>
        <v/>
      </c>
      <c r="CI668" s="357" t="str">
        <f t="shared" si="66"/>
        <v/>
      </c>
      <c r="CJ668" s="357">
        <f t="shared" si="67"/>
        <v>10</v>
      </c>
      <c r="CK668" s="357" t="str">
        <f t="shared" si="68"/>
        <v/>
      </c>
      <c r="CL668" s="357" t="str">
        <f t="shared" si="69"/>
        <v/>
      </c>
      <c r="CM668" s="357" t="str">
        <f t="shared" si="70"/>
        <v/>
      </c>
      <c r="CN668" s="357" t="str">
        <f t="shared" si="71"/>
        <v/>
      </c>
      <c r="CO668" s="357" t="str">
        <f t="shared" si="72"/>
        <v/>
      </c>
      <c r="CP668" s="357" t="str">
        <f t="shared" si="73"/>
        <v/>
      </c>
      <c r="CQ668" s="357" t="str">
        <f t="shared" si="74"/>
        <v/>
      </c>
      <c r="CR668" s="357" t="str">
        <f t="shared" si="75"/>
        <v/>
      </c>
      <c r="CS668" s="357" t="str">
        <f t="shared" si="76"/>
        <v/>
      </c>
      <c r="CT668" s="357" t="str">
        <f t="shared" si="77"/>
        <v/>
      </c>
      <c r="CU668" s="357" t="str">
        <f t="shared" si="78"/>
        <v/>
      </c>
      <c r="CV668" s="357" t="str">
        <f t="shared" si="79"/>
        <v/>
      </c>
      <c r="CW668" s="357" t="str">
        <f t="shared" si="80"/>
        <v/>
      </c>
      <c r="CX668" s="357" t="str">
        <f t="shared" si="81"/>
        <v/>
      </c>
      <c r="CY668" s="357" t="str">
        <f t="shared" si="82"/>
        <v/>
      </c>
      <c r="CZ668" s="357" t="str">
        <f t="shared" si="83"/>
        <v/>
      </c>
      <c r="DA668" s="357" t="str">
        <f t="shared" si="84"/>
        <v/>
      </c>
      <c r="DB668" s="357" t="str">
        <f t="shared" si="85"/>
        <v/>
      </c>
      <c r="DC668" s="357" t="str">
        <f t="shared" si="86"/>
        <v/>
      </c>
      <c r="DD668" s="357" t="str">
        <f t="shared" si="87"/>
        <v/>
      </c>
      <c r="DE668" s="357" t="str">
        <f t="shared" si="88"/>
        <v/>
      </c>
      <c r="DF668" s="357" t="str">
        <f t="shared" si="89"/>
        <v/>
      </c>
      <c r="DG668" s="357" t="str">
        <f t="shared" si="90"/>
        <v/>
      </c>
      <c r="DH668" s="357" t="str">
        <f t="shared" si="91"/>
        <v/>
      </c>
      <c r="DI668" s="357" t="str">
        <f t="shared" si="92"/>
        <v/>
      </c>
      <c r="DJ668" s="357" t="str">
        <f t="shared" si="93"/>
        <v/>
      </c>
      <c r="DK668" s="357" t="str">
        <f t="shared" si="94"/>
        <v/>
      </c>
      <c r="DL668" s="357" t="str">
        <f t="shared" si="95"/>
        <v/>
      </c>
      <c r="DM668" s="357" t="str">
        <f t="shared" si="96"/>
        <v/>
      </c>
      <c r="DN668" s="357" t="str">
        <f t="shared" si="97"/>
        <v/>
      </c>
      <c r="DO668" s="357" t="str">
        <f t="shared" si="98"/>
        <v/>
      </c>
      <c r="DP668" s="357" t="str">
        <f t="shared" si="99"/>
        <v/>
      </c>
      <c r="DQ668" s="357" t="str">
        <f t="shared" si="100"/>
        <v/>
      </c>
      <c r="DR668" s="357" t="str">
        <f t="shared" si="101"/>
        <v/>
      </c>
      <c r="DS668" s="357" t="str">
        <f t="shared" si="102"/>
        <v/>
      </c>
      <c r="DT668" s="357" t="str">
        <f t="shared" si="103"/>
        <v/>
      </c>
      <c r="DU668" s="357" t="str">
        <f t="shared" si="104"/>
        <v/>
      </c>
      <c r="DV668" s="357" t="str">
        <f t="shared" si="105"/>
        <v/>
      </c>
      <c r="DW668" s="357" t="str">
        <f t="shared" si="106"/>
        <v/>
      </c>
      <c r="DX668" s="357" t="str">
        <f t="shared" si="107"/>
        <v/>
      </c>
      <c r="DY668" s="357" t="str">
        <f t="shared" si="108"/>
        <v/>
      </c>
      <c r="DZ668" s="357" t="str">
        <f t="shared" si="109"/>
        <v/>
      </c>
      <c r="EA668" s="357" t="str">
        <f t="shared" si="110"/>
        <v/>
      </c>
      <c r="EB668" s="357" t="str">
        <f t="shared" si="111"/>
        <v/>
      </c>
      <c r="EC668" s="357" t="str">
        <f t="shared" si="112"/>
        <v/>
      </c>
      <c r="ED668" s="357" t="str">
        <f t="shared" si="113"/>
        <v/>
      </c>
      <c r="EE668" s="357" t="str">
        <f t="shared" si="114"/>
        <v/>
      </c>
      <c r="EF668" s="357" t="str">
        <f t="shared" si="115"/>
        <v/>
      </c>
      <c r="EG668" s="357" t="str">
        <f t="shared" si="116"/>
        <v/>
      </c>
      <c r="EH668" s="357" t="str">
        <f t="shared" si="117"/>
        <v/>
      </c>
      <c r="EI668" s="357" t="str">
        <f t="shared" si="118"/>
        <v/>
      </c>
      <c r="EJ668" s="357" t="str">
        <f t="shared" si="119"/>
        <v/>
      </c>
      <c r="EK668" s="357" t="str">
        <f t="shared" si="120"/>
        <v/>
      </c>
      <c r="EL668" s="357" t="str">
        <f t="shared" si="121"/>
        <v/>
      </c>
      <c r="EM668" s="357" t="str">
        <f t="shared" si="122"/>
        <v/>
      </c>
      <c r="EN668" s="357" t="str">
        <f t="shared" si="123"/>
        <v/>
      </c>
      <c r="EO668" s="357" t="str">
        <f t="shared" si="124"/>
        <v/>
      </c>
      <c r="EP668" s="357" t="str">
        <f t="shared" si="125"/>
        <v/>
      </c>
      <c r="EQ668" s="357" t="str">
        <f t="shared" si="126"/>
        <v/>
      </c>
      <c r="ER668" s="357" t="str">
        <f t="shared" si="127"/>
        <v/>
      </c>
      <c r="ES668" s="357" t="str">
        <f t="shared" si="128"/>
        <v/>
      </c>
      <c r="ET668" s="357" t="str">
        <f t="shared" si="129"/>
        <v/>
      </c>
      <c r="EU668" s="357" t="str">
        <f t="shared" si="130"/>
        <v/>
      </c>
      <c r="EV668" s="357" t="str">
        <f t="shared" si="131"/>
        <v/>
      </c>
      <c r="EW668" s="357">
        <f t="shared" si="132"/>
        <v>15710</v>
      </c>
      <c r="EX668" s="357" t="str">
        <f t="shared" si="133"/>
        <v/>
      </c>
      <c r="EY668" s="357" t="str">
        <f t="shared" si="134"/>
        <v/>
      </c>
      <c r="EZ668" s="357" t="str">
        <f t="shared" si="135"/>
        <v/>
      </c>
      <c r="FA668" s="357" t="str">
        <f t="shared" si="136"/>
        <v/>
      </c>
      <c r="FB668" s="357" t="str">
        <f t="shared" si="137"/>
        <v/>
      </c>
      <c r="FC668" s="357" t="str">
        <f t="shared" si="138"/>
        <v/>
      </c>
      <c r="FD668" s="357" t="str">
        <f t="shared" si="139"/>
        <v/>
      </c>
      <c r="FE668" s="357" t="str">
        <f t="shared" si="140"/>
        <v/>
      </c>
      <c r="FF668" s="357" t="str">
        <f t="shared" si="141"/>
        <v/>
      </c>
      <c r="FG668" s="357" t="str">
        <f t="shared" si="142"/>
        <v/>
      </c>
      <c r="FH668" s="357" t="str">
        <f t="shared" si="143"/>
        <v/>
      </c>
      <c r="FI668" s="357" t="str">
        <f t="shared" si="144"/>
        <v/>
      </c>
      <c r="FJ668" s="357" t="str">
        <f t="shared" si="145"/>
        <v/>
      </c>
      <c r="FK668" s="357" t="str">
        <f t="shared" si="146"/>
        <v/>
      </c>
      <c r="FL668" s="357" t="str">
        <f t="shared" si="147"/>
        <v/>
      </c>
      <c r="FM668" s="357" t="str">
        <f t="shared" si="148"/>
        <v/>
      </c>
      <c r="FN668" s="357" t="str">
        <f t="shared" si="149"/>
        <v/>
      </c>
      <c r="FO668" s="357" t="str">
        <f t="shared" si="150"/>
        <v/>
      </c>
      <c r="FP668" s="357" t="str">
        <f t="shared" si="151"/>
        <v/>
      </c>
      <c r="FQ668" s="357" t="str">
        <f t="shared" si="152"/>
        <v/>
      </c>
      <c r="FR668" s="357" t="str">
        <f t="shared" si="153"/>
        <v/>
      </c>
      <c r="FS668" s="357" t="str">
        <f t="shared" si="154"/>
        <v/>
      </c>
      <c r="FT668" s="357" t="str">
        <f t="shared" si="155"/>
        <v/>
      </c>
      <c r="FU668" s="357" t="str">
        <f t="shared" si="156"/>
        <v/>
      </c>
      <c r="FV668" s="357" t="str">
        <f t="shared" si="157"/>
        <v/>
      </c>
      <c r="FW668" s="357" t="str">
        <f t="shared" si="158"/>
        <v/>
      </c>
      <c r="FX668" s="357" t="str">
        <f t="shared" si="159"/>
        <v/>
      </c>
      <c r="FY668" s="357" t="str">
        <f t="shared" si="160"/>
        <v/>
      </c>
      <c r="FZ668" s="357" t="str">
        <f t="shared" si="161"/>
        <v/>
      </c>
      <c r="GA668" s="357">
        <f t="shared" si="162"/>
        <v>15710</v>
      </c>
      <c r="GB668" s="357" t="str">
        <f t="shared" si="163"/>
        <v/>
      </c>
      <c r="GC668" s="357" t="str">
        <f t="shared" si="164"/>
        <v/>
      </c>
      <c r="GD668" s="357" t="str">
        <f t="shared" si="165"/>
        <v/>
      </c>
      <c r="GE668" s="357" t="str">
        <f t="shared" si="166"/>
        <v/>
      </c>
      <c r="GF668" s="357" t="str">
        <f t="shared" si="167"/>
        <v/>
      </c>
      <c r="GG668" s="357" t="str">
        <f t="shared" si="168"/>
        <v/>
      </c>
      <c r="GH668" s="357" t="str">
        <f t="shared" si="169"/>
        <v/>
      </c>
      <c r="GI668" s="357" t="str">
        <f t="shared" si="170"/>
        <v/>
      </c>
      <c r="GJ668" s="357" t="str">
        <f t="shared" si="171"/>
        <v/>
      </c>
      <c r="GK668" s="357">
        <f t="shared" si="172"/>
        <v>10</v>
      </c>
      <c r="GL668" s="357" t="str">
        <f t="shared" si="173"/>
        <v/>
      </c>
      <c r="GM668" s="357" t="str">
        <f t="shared" si="174"/>
        <v/>
      </c>
      <c r="GN668" s="357" t="str">
        <f t="shared" si="175"/>
        <v/>
      </c>
      <c r="GO668" s="357" t="str">
        <f t="shared" si="176"/>
        <v/>
      </c>
      <c r="GP668" s="357" t="str">
        <f t="shared" si="177"/>
        <v/>
      </c>
      <c r="GQ668" s="357" t="str">
        <f t="shared" si="178"/>
        <v/>
      </c>
      <c r="GR668" s="357" t="str">
        <f t="shared" si="179"/>
        <v/>
      </c>
      <c r="GS668" s="357" t="str">
        <f t="shared" si="180"/>
        <v/>
      </c>
      <c r="GT668" s="357" t="str">
        <f t="shared" si="181"/>
        <v/>
      </c>
      <c r="GU668" s="357" t="str">
        <f t="shared" si="182"/>
        <v/>
      </c>
      <c r="GV668" s="357" t="str">
        <f t="shared" si="183"/>
        <v/>
      </c>
      <c r="GW668" s="357" t="str">
        <f t="shared" si="184"/>
        <v/>
      </c>
      <c r="GX668" s="357" t="str">
        <f t="shared" si="185"/>
        <v/>
      </c>
      <c r="GY668" s="357" t="str">
        <f t="shared" si="186"/>
        <v/>
      </c>
      <c r="GZ668" s="357" t="str">
        <f t="shared" si="187"/>
        <v/>
      </c>
      <c r="HA668" s="357" t="str">
        <f t="shared" si="188"/>
        <v/>
      </c>
      <c r="HB668" s="357" t="str">
        <f t="shared" si="189"/>
        <v/>
      </c>
      <c r="HC668" s="357" t="str">
        <f t="shared" si="190"/>
        <v/>
      </c>
      <c r="HD668" s="357" t="str">
        <f t="shared" si="191"/>
        <v/>
      </c>
      <c r="HE668" s="357" t="str">
        <f t="shared" si="192"/>
        <v/>
      </c>
      <c r="HF668" s="357" t="str">
        <f t="shared" si="193"/>
        <v/>
      </c>
      <c r="HG668" s="357" t="str">
        <f t="shared" si="194"/>
        <v/>
      </c>
      <c r="HH668" s="357" t="str">
        <f t="shared" si="195"/>
        <v/>
      </c>
      <c r="HI668" s="357" t="str">
        <f t="shared" si="196"/>
        <v/>
      </c>
      <c r="HJ668" s="357" t="str">
        <f t="shared" si="197"/>
        <v/>
      </c>
      <c r="HK668" s="357" t="str">
        <f t="shared" si="198"/>
        <v/>
      </c>
      <c r="HL668" s="357" t="str">
        <f t="shared" si="199"/>
        <v/>
      </c>
      <c r="HM668" s="357" t="str">
        <f t="shared" si="200"/>
        <v/>
      </c>
      <c r="HN668" s="357" t="str">
        <f t="shared" si="201"/>
        <v/>
      </c>
      <c r="HO668" s="357" t="str">
        <f t="shared" si="202"/>
        <v/>
      </c>
      <c r="HP668" s="357" t="str">
        <f t="shared" si="203"/>
        <v/>
      </c>
      <c r="HQ668" s="357" t="str">
        <f t="shared" si="204"/>
        <v/>
      </c>
      <c r="HR668" s="357" t="str">
        <f t="shared" si="205"/>
        <v/>
      </c>
      <c r="HS668" s="357" t="str">
        <f t="shared" si="206"/>
        <v/>
      </c>
      <c r="HT668" s="357" t="str">
        <f t="shared" si="207"/>
        <v/>
      </c>
      <c r="HU668" s="357" t="str">
        <f t="shared" si="208"/>
        <v/>
      </c>
      <c r="HV668" s="357" t="str">
        <f t="shared" si="209"/>
        <v/>
      </c>
      <c r="HW668" s="357" t="str">
        <f t="shared" si="210"/>
        <v/>
      </c>
      <c r="HX668" s="357" t="str">
        <f t="shared" si="211"/>
        <v/>
      </c>
      <c r="HY668" s="357" t="str">
        <f t="shared" si="212"/>
        <v/>
      </c>
      <c r="HZ668" s="1903" t="str">
        <f t="shared" si="213"/>
        <v/>
      </c>
      <c r="IA668" s="1903" t="str">
        <f t="shared" si="214"/>
        <v/>
      </c>
      <c r="IB668" s="1903" t="str">
        <f t="shared" si="215"/>
        <v/>
      </c>
      <c r="IC668" s="1903" t="str">
        <f t="shared" si="216"/>
        <v/>
      </c>
      <c r="ID668" s="1903">
        <f t="shared" si="217"/>
        <v>10</v>
      </c>
      <c r="IE668" s="1903" t="str">
        <f t="shared" si="218"/>
        <v/>
      </c>
      <c r="IF668" s="1903" t="str">
        <f t="shared" si="219"/>
        <v/>
      </c>
      <c r="IG668" s="1903" t="str">
        <f t="shared" si="220"/>
        <v/>
      </c>
      <c r="IH668" s="1903" t="str">
        <f t="shared" si="221"/>
        <v/>
      </c>
      <c r="II668" s="1903" t="str">
        <f t="shared" si="222"/>
        <v/>
      </c>
      <c r="IJ668" s="1903" t="str">
        <f t="shared" si="223"/>
        <v/>
      </c>
      <c r="IK668" s="1903" t="str">
        <f t="shared" si="224"/>
        <v/>
      </c>
      <c r="IL668" s="1903" t="str">
        <f t="shared" si="225"/>
        <v/>
      </c>
      <c r="IM668" s="1903" t="str">
        <f t="shared" si="226"/>
        <v/>
      </c>
      <c r="IN668" s="1903" t="str">
        <f t="shared" si="227"/>
        <v/>
      </c>
      <c r="IO668" s="1903" t="str">
        <f t="shared" si="228"/>
        <v/>
      </c>
      <c r="IP668" s="1903" t="str">
        <f t="shared" si="229"/>
        <v/>
      </c>
      <c r="IQ668" s="1903" t="str">
        <f t="shared" si="230"/>
        <v/>
      </c>
      <c r="IR668" s="1903" t="str">
        <f t="shared" si="231"/>
        <v/>
      </c>
      <c r="IS668" s="1903" t="str">
        <f t="shared" si="232"/>
        <v/>
      </c>
      <c r="IT668" s="1903" t="str">
        <f t="shared" si="233"/>
        <v/>
      </c>
      <c r="IU668" s="1903" t="str">
        <f t="shared" si="234"/>
        <v/>
      </c>
      <c r="IV668" s="1903" t="str">
        <f t="shared" si="235"/>
        <v/>
      </c>
      <c r="IW668" s="1903" t="str">
        <f t="shared" si="236"/>
        <v/>
      </c>
      <c r="IX668" s="1903" t="str">
        <f t="shared" si="237"/>
        <v/>
      </c>
      <c r="IY668" s="1903" t="str">
        <f t="shared" si="238"/>
        <v/>
      </c>
      <c r="IZ668" s="1903" t="str">
        <f t="shared" si="239"/>
        <v/>
      </c>
      <c r="JA668" s="1903" t="str">
        <f t="shared" si="240"/>
        <v/>
      </c>
      <c r="JB668" s="1903" t="str">
        <f t="shared" si="241"/>
        <v/>
      </c>
      <c r="JC668" s="1903" t="str">
        <f t="shared" si="242"/>
        <v/>
      </c>
      <c r="JD668" s="1903" t="str">
        <f t="shared" si="243"/>
        <v/>
      </c>
      <c r="JE668" s="1903" t="str">
        <f t="shared" si="244"/>
        <v/>
      </c>
      <c r="JF668" s="1903" t="str">
        <f t="shared" si="245"/>
        <v/>
      </c>
      <c r="JG668" s="1903" t="str">
        <f t="shared" si="246"/>
        <v/>
      </c>
      <c r="JH668" s="1903" t="str">
        <f t="shared" si="247"/>
        <v/>
      </c>
      <c r="JI668" s="1903" t="str">
        <f t="shared" si="248"/>
        <v/>
      </c>
      <c r="JJ668" s="1903" t="str">
        <f t="shared" si="249"/>
        <v/>
      </c>
      <c r="JK668" s="1903" t="str">
        <f t="shared" si="250"/>
        <v/>
      </c>
      <c r="JL668" s="1903" t="str">
        <f t="shared" si="251"/>
        <v/>
      </c>
      <c r="JM668" s="1903" t="str">
        <f t="shared" si="252"/>
        <v/>
      </c>
      <c r="JN668" s="1903" t="str">
        <f t="shared" si="253"/>
        <v/>
      </c>
      <c r="JO668" s="1903" t="str">
        <f t="shared" si="254"/>
        <v/>
      </c>
      <c r="JP668" s="1903" t="str">
        <f t="shared" si="255"/>
        <v/>
      </c>
      <c r="JQ668" s="1903" t="str">
        <f t="shared" si="256"/>
        <v/>
      </c>
      <c r="JR668" s="1903" t="str">
        <f t="shared" si="257"/>
        <v/>
      </c>
      <c r="JS668" s="1903" t="str">
        <f t="shared" si="258"/>
        <v/>
      </c>
      <c r="JT668" s="1903" t="str">
        <f t="shared" si="259"/>
        <v/>
      </c>
      <c r="JU668" s="1903" t="str">
        <f t="shared" si="260"/>
        <v/>
      </c>
      <c r="JV668" s="1903" t="str">
        <f t="shared" si="261"/>
        <v/>
      </c>
      <c r="JW668" s="1903">
        <f t="shared" si="262"/>
        <v>10</v>
      </c>
      <c r="JX668" s="1903" t="str">
        <f t="shared" si="263"/>
        <v/>
      </c>
      <c r="JY668" s="1903" t="str">
        <f t="shared" si="264"/>
        <v/>
      </c>
      <c r="JZ668" s="1903" t="str">
        <f t="shared" si="265"/>
        <v/>
      </c>
      <c r="KA668" s="1903" t="str">
        <f t="shared" si="266"/>
        <v/>
      </c>
      <c r="KB668" s="1903" t="str">
        <f t="shared" si="267"/>
        <v/>
      </c>
      <c r="KC668" s="1903" t="str">
        <f t="shared" si="268"/>
        <v/>
      </c>
      <c r="KD668" s="1903" t="str">
        <f t="shared" si="269"/>
        <v/>
      </c>
      <c r="KE668" s="1903" t="str">
        <f t="shared" si="270"/>
        <v/>
      </c>
      <c r="KF668" s="1903" t="str">
        <f t="shared" si="271"/>
        <v/>
      </c>
      <c r="KG668" s="1903" t="str">
        <f t="shared" si="272"/>
        <v/>
      </c>
      <c r="KH668" s="1903" t="str">
        <f t="shared" si="273"/>
        <v/>
      </c>
      <c r="KI668" s="1903" t="str">
        <f t="shared" si="274"/>
        <v/>
      </c>
      <c r="KJ668" s="1903" t="str">
        <f t="shared" si="275"/>
        <v/>
      </c>
      <c r="KK668" s="1903" t="str">
        <f t="shared" si="276"/>
        <v/>
      </c>
      <c r="KL668" s="1903" t="str">
        <f t="shared" si="277"/>
        <v/>
      </c>
      <c r="KM668" s="1903" t="str">
        <f t="shared" si="278"/>
        <v/>
      </c>
      <c r="KN668" s="1903" t="str">
        <f t="shared" si="279"/>
        <v/>
      </c>
      <c r="KO668" s="1903" t="str">
        <f t="shared" si="280"/>
        <v/>
      </c>
      <c r="KP668" s="1903" t="str">
        <f t="shared" si="281"/>
        <v/>
      </c>
      <c r="KQ668" s="1903" t="str">
        <f t="shared" si="282"/>
        <v/>
      </c>
      <c r="KR668" s="1903" t="str">
        <f t="shared" si="283"/>
        <v/>
      </c>
      <c r="KS668" s="1903" t="str">
        <f t="shared" si="284"/>
        <v/>
      </c>
      <c r="KT668" s="1903" t="str">
        <f t="shared" si="285"/>
        <v/>
      </c>
      <c r="KU668" s="1903" t="str">
        <f t="shared" si="286"/>
        <v/>
      </c>
      <c r="KV668" s="1903" t="str">
        <f t="shared" si="287"/>
        <v/>
      </c>
      <c r="KW668" s="1903" t="str">
        <f t="shared" si="288"/>
        <v/>
      </c>
      <c r="KX668" s="1903" t="str">
        <f t="shared" si="289"/>
        <v/>
      </c>
      <c r="KY668" s="1903" t="str">
        <f t="shared" si="290"/>
        <v/>
      </c>
      <c r="KZ668" s="1903" t="str">
        <f t="shared" si="291"/>
        <v/>
      </c>
      <c r="LA668" s="1903" t="str">
        <f t="shared" si="292"/>
        <v/>
      </c>
      <c r="LB668" s="1903" t="str">
        <f t="shared" si="293"/>
        <v/>
      </c>
      <c r="LC668" s="1903" t="str">
        <f t="shared" si="294"/>
        <v/>
      </c>
      <c r="LD668" s="1903" t="str">
        <f t="shared" si="295"/>
        <v/>
      </c>
      <c r="LE668" s="1903" t="str">
        <f t="shared" si="296"/>
        <v/>
      </c>
      <c r="LF668" s="1903" t="str">
        <f t="shared" si="297"/>
        <v/>
      </c>
      <c r="LG668" s="1750" t="str">
        <f t="shared" si="298"/>
        <v/>
      </c>
      <c r="LH668" s="1750" t="str">
        <f t="shared" si="299"/>
        <v/>
      </c>
      <c r="LI668" s="1750" t="str">
        <f t="shared" si="300"/>
        <v/>
      </c>
      <c r="LJ668" s="1750" t="str">
        <f t="shared" si="301"/>
        <v/>
      </c>
      <c r="LK668" s="1750" t="str">
        <f t="shared" si="302"/>
        <v/>
      </c>
      <c r="LL668" s="357" t="str">
        <f t="shared" si="303"/>
        <v/>
      </c>
      <c r="LM668" s="357" t="str">
        <f t="shared" si="304"/>
        <v/>
      </c>
      <c r="LN668" s="357" t="str">
        <f t="shared" si="305"/>
        <v/>
      </c>
      <c r="LO668" s="357" t="str">
        <f t="shared" si="306"/>
        <v/>
      </c>
      <c r="LP668" s="357" t="str">
        <f t="shared" si="307"/>
        <v/>
      </c>
      <c r="LQ668" s="357" t="str">
        <f t="shared" si="308"/>
        <v/>
      </c>
      <c r="LR668" s="357" t="str">
        <f t="shared" si="309"/>
        <v/>
      </c>
      <c r="LS668" s="357" t="str">
        <f t="shared" si="310"/>
        <v/>
      </c>
      <c r="LT668" s="357" t="str">
        <f t="shared" si="311"/>
        <v/>
      </c>
      <c r="LU668" s="357" t="str">
        <f t="shared" si="312"/>
        <v/>
      </c>
      <c r="LV668" s="357" t="str">
        <f t="shared" si="313"/>
        <v/>
      </c>
      <c r="LW668" s="357" t="str">
        <f t="shared" si="314"/>
        <v/>
      </c>
      <c r="LX668" s="357" t="str">
        <f t="shared" si="315"/>
        <v/>
      </c>
      <c r="LY668" s="357" t="str">
        <f t="shared" si="316"/>
        <v/>
      </c>
      <c r="LZ668" s="357" t="str">
        <f t="shared" si="317"/>
        <v/>
      </c>
      <c r="MA668" s="357" t="str">
        <f t="shared" si="318"/>
        <v/>
      </c>
      <c r="MB668" s="357" t="str">
        <f t="shared" si="319"/>
        <v/>
      </c>
      <c r="MC668" s="357" t="str">
        <f t="shared" si="320"/>
        <v/>
      </c>
      <c r="MD668" s="357" t="str">
        <f t="shared" si="321"/>
        <v/>
      </c>
      <c r="ME668" s="357" t="str">
        <f t="shared" si="322"/>
        <v/>
      </c>
      <c r="MF668" s="1750">
        <f t="shared" si="323"/>
        <v>0</v>
      </c>
      <c r="MG668" s="1750">
        <f t="shared" si="324"/>
        <v>0</v>
      </c>
      <c r="MH668" s="1750">
        <f t="shared" si="325"/>
        <v>0</v>
      </c>
      <c r="MI668" s="1750">
        <f t="shared" si="326"/>
        <v>0</v>
      </c>
      <c r="MJ668" s="1750">
        <f t="shared" si="327"/>
        <v>0</v>
      </c>
      <c r="MK668" s="1750">
        <f t="shared" si="333"/>
        <v>0</v>
      </c>
      <c r="ML668" s="1750">
        <f t="shared" si="334"/>
        <v>0</v>
      </c>
      <c r="MM668" s="1750">
        <f t="shared" si="335"/>
        <v>0</v>
      </c>
      <c r="MN668" s="1750">
        <f t="shared" si="336"/>
        <v>0</v>
      </c>
      <c r="MO668" s="1750">
        <f t="shared" si="337"/>
        <v>10</v>
      </c>
      <c r="MP668" s="1750">
        <f t="shared" si="328"/>
        <v>0</v>
      </c>
      <c r="MQ668" s="1750">
        <f t="shared" si="329"/>
        <v>0</v>
      </c>
      <c r="MR668" s="1750">
        <f t="shared" si="330"/>
        <v>0</v>
      </c>
      <c r="MS668" s="1750">
        <f t="shared" si="331"/>
        <v>0</v>
      </c>
      <c r="MT668" s="1750">
        <f t="shared" si="332"/>
        <v>0</v>
      </c>
      <c r="NP668" s="357" t="s">
        <v>6433</v>
      </c>
    </row>
    <row r="669" spans="1:380" ht="13.9" customHeight="1">
      <c r="A669" s="1901" t="str">
        <f t="shared" si="0"/>
        <v/>
      </c>
      <c r="B669" s="2238">
        <f>'Part V-Revenues &amp; Expenses'!B31</f>
        <v>60</v>
      </c>
      <c r="C669" s="2229">
        <f>'Part V-Revenues &amp; Expenses'!C31</f>
        <v>4</v>
      </c>
      <c r="D669" s="2230">
        <f>'Part V-Revenues &amp; Expenses'!D31</f>
        <v>2</v>
      </c>
      <c r="E669" s="2231">
        <f>'Part V-Revenues &amp; Expenses'!E31</f>
        <v>2</v>
      </c>
      <c r="F669" s="2231">
        <f>'Part V-Revenues &amp; Expenses'!F31</f>
        <v>1571</v>
      </c>
      <c r="G669" s="2231">
        <f>'Part V-Revenues &amp; Expenses'!G31</f>
        <v>1521</v>
      </c>
      <c r="H669" s="2231">
        <f>'Part V-Revenues &amp; Expenses'!H31</f>
        <v>1421</v>
      </c>
      <c r="I669" s="2231">
        <f>'Part V-Revenues &amp; Expenses'!I31</f>
        <v>0</v>
      </c>
      <c r="J669" s="2231">
        <f>'Part V-Revenues &amp; Expenses'!J31</f>
        <v>122</v>
      </c>
      <c r="K669" s="2232">
        <f>'Part V-Revenues &amp; Expenses'!K31</f>
        <v>0</v>
      </c>
      <c r="L669" s="2233">
        <f t="shared" si="340"/>
        <v>1299</v>
      </c>
      <c r="M669" s="2233">
        <f t="shared" si="341"/>
        <v>2598</v>
      </c>
      <c r="N669" s="2094" t="str">
        <f>'Part V-Revenues &amp; Expenses'!N31</f>
        <v>No</v>
      </c>
      <c r="O669" s="2234" t="str">
        <f>'Part V-Revenues &amp; Expenses'!O31</f>
        <v>Low-Rise Apt</v>
      </c>
      <c r="P669" s="2094" t="str">
        <f>'Part V-Revenues &amp; Expenses'!P31</f>
        <v>New Construction</v>
      </c>
      <c r="Q669" s="2235" t="str">
        <f>'Part V-Revenues &amp; Expenses'!Q31</f>
        <v>No</v>
      </c>
      <c r="R669" s="2236"/>
      <c r="S669" s="2237"/>
      <c r="T669" s="2160"/>
      <c r="U669" s="2160"/>
      <c r="V669" s="2160"/>
      <c r="W669" s="2160"/>
      <c r="X669" s="357" t="str">
        <f t="shared" si="3"/>
        <v/>
      </c>
      <c r="Y669" s="357" t="str">
        <f t="shared" si="4"/>
        <v/>
      </c>
      <c r="Z669" s="357" t="str">
        <f t="shared" si="5"/>
        <v/>
      </c>
      <c r="AA669" s="357" t="str">
        <f t="shared" si="6"/>
        <v/>
      </c>
      <c r="AB669" s="357" t="str">
        <f t="shared" si="7"/>
        <v/>
      </c>
      <c r="AC669" s="357" t="str">
        <f t="shared" si="8"/>
        <v/>
      </c>
      <c r="AD669" s="357" t="str">
        <f t="shared" si="9"/>
        <v/>
      </c>
      <c r="AE669" s="357" t="str">
        <f t="shared" si="10"/>
        <v/>
      </c>
      <c r="AF669" s="357" t="str">
        <f t="shared" si="11"/>
        <v/>
      </c>
      <c r="AG669" s="357" t="str">
        <f t="shared" si="12"/>
        <v/>
      </c>
      <c r="AH669" s="357" t="str">
        <f t="shared" si="13"/>
        <v/>
      </c>
      <c r="AI669" s="357" t="str">
        <f t="shared" si="14"/>
        <v/>
      </c>
      <c r="AJ669" s="357" t="str">
        <f t="shared" si="15"/>
        <v/>
      </c>
      <c r="AK669" s="357" t="str">
        <f t="shared" si="16"/>
        <v/>
      </c>
      <c r="AL669" s="357">
        <f t="shared" si="17"/>
        <v>2</v>
      </c>
      <c r="AM669" s="357" t="str">
        <f t="shared" si="18"/>
        <v/>
      </c>
      <c r="AN669" s="357" t="str">
        <f t="shared" si="19"/>
        <v/>
      </c>
      <c r="AO669" s="357" t="str">
        <f t="shared" si="20"/>
        <v/>
      </c>
      <c r="AP669" s="357" t="str">
        <f t="shared" si="21"/>
        <v/>
      </c>
      <c r="AQ669" s="357" t="str">
        <f t="shared" si="22"/>
        <v/>
      </c>
      <c r="AR669" s="357" t="str">
        <f t="shared" si="23"/>
        <v/>
      </c>
      <c r="AS669" s="357" t="str">
        <f t="shared" si="24"/>
        <v/>
      </c>
      <c r="AT669" s="357" t="str">
        <f t="shared" si="25"/>
        <v/>
      </c>
      <c r="AU669" s="357" t="str">
        <f t="shared" si="26"/>
        <v/>
      </c>
      <c r="AV669" s="357" t="str">
        <f t="shared" si="27"/>
        <v/>
      </c>
      <c r="AW669" s="357" t="str">
        <f t="shared" si="28"/>
        <v/>
      </c>
      <c r="AX669" s="357" t="str">
        <f t="shared" si="29"/>
        <v/>
      </c>
      <c r="AY669" s="357" t="str">
        <f t="shared" si="30"/>
        <v/>
      </c>
      <c r="AZ669" s="357" t="str">
        <f t="shared" si="31"/>
        <v/>
      </c>
      <c r="BA669" s="357" t="str">
        <f t="shared" si="32"/>
        <v/>
      </c>
      <c r="BB669" s="357" t="str">
        <f t="shared" si="33"/>
        <v/>
      </c>
      <c r="BC669" s="357" t="str">
        <f t="shared" si="34"/>
        <v/>
      </c>
      <c r="BD669" s="357" t="str">
        <f t="shared" si="35"/>
        <v/>
      </c>
      <c r="BE669" s="357" t="str">
        <f t="shared" si="36"/>
        <v/>
      </c>
      <c r="BF669" s="357" t="str">
        <f t="shared" si="37"/>
        <v/>
      </c>
      <c r="BG669" s="357" t="str">
        <f t="shared" si="38"/>
        <v/>
      </c>
      <c r="BH669" s="357" t="str">
        <f t="shared" si="39"/>
        <v/>
      </c>
      <c r="BI669" s="357" t="str">
        <f t="shared" si="40"/>
        <v/>
      </c>
      <c r="BJ669" s="357" t="str">
        <f t="shared" si="41"/>
        <v/>
      </c>
      <c r="BK669" s="357" t="str">
        <f t="shared" si="42"/>
        <v/>
      </c>
      <c r="BL669" s="357" t="str">
        <f t="shared" si="43"/>
        <v/>
      </c>
      <c r="BM669" s="357" t="str">
        <f t="shared" si="44"/>
        <v/>
      </c>
      <c r="BN669" s="357" t="str">
        <f t="shared" si="45"/>
        <v/>
      </c>
      <c r="BO669" s="357" t="str">
        <f t="shared" si="46"/>
        <v/>
      </c>
      <c r="BP669" s="357" t="str">
        <f t="shared" si="47"/>
        <v/>
      </c>
      <c r="BQ669" s="357" t="str">
        <f t="shared" si="48"/>
        <v/>
      </c>
      <c r="BR669" s="357" t="str">
        <f t="shared" si="49"/>
        <v/>
      </c>
      <c r="BS669" s="357" t="str">
        <f t="shared" si="50"/>
        <v/>
      </c>
      <c r="BT669" s="357" t="str">
        <f t="shared" si="51"/>
        <v/>
      </c>
      <c r="BU669" s="357" t="str">
        <f t="shared" si="52"/>
        <v/>
      </c>
      <c r="BV669" s="357" t="str">
        <f t="shared" si="53"/>
        <v/>
      </c>
      <c r="BW669" s="357" t="str">
        <f t="shared" si="54"/>
        <v/>
      </c>
      <c r="BX669" s="357" t="str">
        <f t="shared" si="55"/>
        <v/>
      </c>
      <c r="BY669" s="357" t="str">
        <f t="shared" si="56"/>
        <v/>
      </c>
      <c r="BZ669" s="357" t="str">
        <f t="shared" si="57"/>
        <v/>
      </c>
      <c r="CA669" s="357" t="str">
        <f t="shared" si="58"/>
        <v/>
      </c>
      <c r="CB669" s="357" t="str">
        <f t="shared" si="59"/>
        <v/>
      </c>
      <c r="CC669" s="357" t="str">
        <f t="shared" si="60"/>
        <v/>
      </c>
      <c r="CD669" s="357" t="str">
        <f t="shared" si="61"/>
        <v/>
      </c>
      <c r="CE669" s="357" t="str">
        <f t="shared" si="62"/>
        <v/>
      </c>
      <c r="CF669" s="357" t="str">
        <f t="shared" si="63"/>
        <v/>
      </c>
      <c r="CG669" s="357" t="str">
        <f t="shared" si="64"/>
        <v/>
      </c>
      <c r="CH669" s="357" t="str">
        <f t="shared" si="65"/>
        <v/>
      </c>
      <c r="CI669" s="357" t="str">
        <f t="shared" si="66"/>
        <v/>
      </c>
      <c r="CJ669" s="357" t="str">
        <f t="shared" si="67"/>
        <v/>
      </c>
      <c r="CK669" s="357" t="str">
        <f t="shared" si="68"/>
        <v/>
      </c>
      <c r="CL669" s="357" t="str">
        <f t="shared" si="69"/>
        <v/>
      </c>
      <c r="CM669" s="357" t="str">
        <f t="shared" si="70"/>
        <v/>
      </c>
      <c r="CN669" s="357" t="str">
        <f t="shared" si="71"/>
        <v/>
      </c>
      <c r="CO669" s="357" t="str">
        <f t="shared" si="72"/>
        <v/>
      </c>
      <c r="CP669" s="357" t="str">
        <f t="shared" si="73"/>
        <v/>
      </c>
      <c r="CQ669" s="357" t="str">
        <f t="shared" si="74"/>
        <v/>
      </c>
      <c r="CR669" s="357" t="str">
        <f t="shared" si="75"/>
        <v/>
      </c>
      <c r="CS669" s="357" t="str">
        <f t="shared" si="76"/>
        <v/>
      </c>
      <c r="CT669" s="357" t="str">
        <f t="shared" si="77"/>
        <v/>
      </c>
      <c r="CU669" s="357" t="str">
        <f t="shared" si="78"/>
        <v/>
      </c>
      <c r="CV669" s="357" t="str">
        <f t="shared" si="79"/>
        <v/>
      </c>
      <c r="CW669" s="357" t="str">
        <f t="shared" si="80"/>
        <v/>
      </c>
      <c r="CX669" s="357" t="str">
        <f t="shared" si="81"/>
        <v/>
      </c>
      <c r="CY669" s="357" t="str">
        <f t="shared" si="82"/>
        <v/>
      </c>
      <c r="CZ669" s="357" t="str">
        <f t="shared" si="83"/>
        <v/>
      </c>
      <c r="DA669" s="357" t="str">
        <f t="shared" si="84"/>
        <v/>
      </c>
      <c r="DB669" s="357" t="str">
        <f t="shared" si="85"/>
        <v/>
      </c>
      <c r="DC669" s="357" t="str">
        <f t="shared" si="86"/>
        <v/>
      </c>
      <c r="DD669" s="357" t="str">
        <f t="shared" si="87"/>
        <v/>
      </c>
      <c r="DE669" s="357" t="str">
        <f t="shared" si="88"/>
        <v/>
      </c>
      <c r="DF669" s="357" t="str">
        <f t="shared" si="89"/>
        <v/>
      </c>
      <c r="DG669" s="357" t="str">
        <f t="shared" si="90"/>
        <v/>
      </c>
      <c r="DH669" s="357" t="str">
        <f t="shared" si="91"/>
        <v/>
      </c>
      <c r="DI669" s="357" t="str">
        <f t="shared" si="92"/>
        <v/>
      </c>
      <c r="DJ669" s="357" t="str">
        <f t="shared" si="93"/>
        <v/>
      </c>
      <c r="DK669" s="357" t="str">
        <f t="shared" si="94"/>
        <v/>
      </c>
      <c r="DL669" s="357" t="str">
        <f t="shared" si="95"/>
        <v/>
      </c>
      <c r="DM669" s="357" t="str">
        <f t="shared" si="96"/>
        <v/>
      </c>
      <c r="DN669" s="357" t="str">
        <f t="shared" si="97"/>
        <v/>
      </c>
      <c r="DO669" s="357" t="str">
        <f t="shared" si="98"/>
        <v/>
      </c>
      <c r="DP669" s="357" t="str">
        <f t="shared" si="99"/>
        <v/>
      </c>
      <c r="DQ669" s="357" t="str">
        <f t="shared" si="100"/>
        <v/>
      </c>
      <c r="DR669" s="357" t="str">
        <f t="shared" si="101"/>
        <v/>
      </c>
      <c r="DS669" s="357" t="str">
        <f t="shared" si="102"/>
        <v/>
      </c>
      <c r="DT669" s="357" t="str">
        <f t="shared" si="103"/>
        <v/>
      </c>
      <c r="DU669" s="357" t="str">
        <f t="shared" si="104"/>
        <v/>
      </c>
      <c r="DV669" s="357" t="str">
        <f t="shared" si="105"/>
        <v/>
      </c>
      <c r="DW669" s="357" t="str">
        <f t="shared" si="106"/>
        <v/>
      </c>
      <c r="DX669" s="357" t="str">
        <f t="shared" si="107"/>
        <v/>
      </c>
      <c r="DY669" s="357" t="str">
        <f t="shared" si="108"/>
        <v/>
      </c>
      <c r="DZ669" s="357" t="str">
        <f t="shared" si="109"/>
        <v/>
      </c>
      <c r="EA669" s="357" t="str">
        <f t="shared" si="110"/>
        <v/>
      </c>
      <c r="EB669" s="357" t="str">
        <f t="shared" si="111"/>
        <v/>
      </c>
      <c r="EC669" s="357" t="str">
        <f t="shared" si="112"/>
        <v/>
      </c>
      <c r="ED669" s="357" t="str">
        <f t="shared" si="113"/>
        <v/>
      </c>
      <c r="EE669" s="357" t="str">
        <f t="shared" si="114"/>
        <v/>
      </c>
      <c r="EF669" s="357" t="str">
        <f t="shared" si="115"/>
        <v/>
      </c>
      <c r="EG669" s="357" t="str">
        <f t="shared" si="116"/>
        <v/>
      </c>
      <c r="EH669" s="357" t="str">
        <f t="shared" si="117"/>
        <v/>
      </c>
      <c r="EI669" s="357" t="str">
        <f t="shared" si="118"/>
        <v/>
      </c>
      <c r="EJ669" s="357" t="str">
        <f t="shared" si="119"/>
        <v/>
      </c>
      <c r="EK669" s="357" t="str">
        <f t="shared" si="120"/>
        <v/>
      </c>
      <c r="EL669" s="357" t="str">
        <f t="shared" si="121"/>
        <v/>
      </c>
      <c r="EM669" s="357" t="str">
        <f t="shared" si="122"/>
        <v/>
      </c>
      <c r="EN669" s="357" t="str">
        <f t="shared" si="123"/>
        <v/>
      </c>
      <c r="EO669" s="357" t="str">
        <f t="shared" si="124"/>
        <v/>
      </c>
      <c r="EP669" s="357" t="str">
        <f t="shared" si="125"/>
        <v/>
      </c>
      <c r="EQ669" s="357" t="str">
        <f t="shared" si="126"/>
        <v/>
      </c>
      <c r="ER669" s="357" t="str">
        <f t="shared" si="127"/>
        <v/>
      </c>
      <c r="ES669" s="357" t="str">
        <f t="shared" si="128"/>
        <v/>
      </c>
      <c r="ET669" s="357" t="str">
        <f t="shared" si="129"/>
        <v/>
      </c>
      <c r="EU669" s="357" t="str">
        <f t="shared" si="130"/>
        <v/>
      </c>
      <c r="EV669" s="357" t="str">
        <f t="shared" si="131"/>
        <v/>
      </c>
      <c r="EW669" s="357">
        <f t="shared" si="132"/>
        <v>3142</v>
      </c>
      <c r="EX669" s="357" t="str">
        <f t="shared" si="133"/>
        <v/>
      </c>
      <c r="EY669" s="357" t="str">
        <f t="shared" si="134"/>
        <v/>
      </c>
      <c r="EZ669" s="357" t="str">
        <f t="shared" si="135"/>
        <v/>
      </c>
      <c r="FA669" s="357" t="str">
        <f t="shared" si="136"/>
        <v/>
      </c>
      <c r="FB669" s="357" t="str">
        <f t="shared" si="137"/>
        <v/>
      </c>
      <c r="FC669" s="357" t="str">
        <f t="shared" si="138"/>
        <v/>
      </c>
      <c r="FD669" s="357" t="str">
        <f t="shared" si="139"/>
        <v/>
      </c>
      <c r="FE669" s="357" t="str">
        <f t="shared" si="140"/>
        <v/>
      </c>
      <c r="FF669" s="357" t="str">
        <f t="shared" si="141"/>
        <v/>
      </c>
      <c r="FG669" s="357" t="str">
        <f t="shared" si="142"/>
        <v/>
      </c>
      <c r="FH669" s="357" t="str">
        <f t="shared" si="143"/>
        <v/>
      </c>
      <c r="FI669" s="357" t="str">
        <f t="shared" si="144"/>
        <v/>
      </c>
      <c r="FJ669" s="357" t="str">
        <f t="shared" si="145"/>
        <v/>
      </c>
      <c r="FK669" s="357" t="str">
        <f t="shared" si="146"/>
        <v/>
      </c>
      <c r="FL669" s="357" t="str">
        <f t="shared" si="147"/>
        <v/>
      </c>
      <c r="FM669" s="357" t="str">
        <f t="shared" si="148"/>
        <v/>
      </c>
      <c r="FN669" s="357" t="str">
        <f t="shared" si="149"/>
        <v/>
      </c>
      <c r="FO669" s="357" t="str">
        <f t="shared" si="150"/>
        <v/>
      </c>
      <c r="FP669" s="357" t="str">
        <f t="shared" si="151"/>
        <v/>
      </c>
      <c r="FQ669" s="357" t="str">
        <f t="shared" si="152"/>
        <v/>
      </c>
      <c r="FR669" s="357" t="str">
        <f t="shared" si="153"/>
        <v/>
      </c>
      <c r="FS669" s="357" t="str">
        <f t="shared" si="154"/>
        <v/>
      </c>
      <c r="FT669" s="357" t="str">
        <f t="shared" si="155"/>
        <v/>
      </c>
      <c r="FU669" s="357" t="str">
        <f t="shared" si="156"/>
        <v/>
      </c>
      <c r="FV669" s="357" t="str">
        <f t="shared" si="157"/>
        <v/>
      </c>
      <c r="FW669" s="357" t="str">
        <f t="shared" si="158"/>
        <v/>
      </c>
      <c r="FX669" s="357" t="str">
        <f t="shared" si="159"/>
        <v/>
      </c>
      <c r="FY669" s="357" t="str">
        <f t="shared" si="160"/>
        <v/>
      </c>
      <c r="FZ669" s="357" t="str">
        <f t="shared" si="161"/>
        <v/>
      </c>
      <c r="GA669" s="357" t="str">
        <f t="shared" si="162"/>
        <v/>
      </c>
      <c r="GB669" s="357" t="str">
        <f t="shared" si="163"/>
        <v/>
      </c>
      <c r="GC669" s="357" t="str">
        <f t="shared" si="164"/>
        <v/>
      </c>
      <c r="GD669" s="357" t="str">
        <f t="shared" si="165"/>
        <v/>
      </c>
      <c r="GE669" s="357" t="str">
        <f t="shared" si="166"/>
        <v/>
      </c>
      <c r="GF669" s="357" t="str">
        <f t="shared" si="167"/>
        <v/>
      </c>
      <c r="GG669" s="357" t="str">
        <f t="shared" si="168"/>
        <v/>
      </c>
      <c r="GH669" s="357" t="str">
        <f t="shared" si="169"/>
        <v/>
      </c>
      <c r="GI669" s="357" t="str">
        <f t="shared" si="170"/>
        <v/>
      </c>
      <c r="GJ669" s="357" t="str">
        <f t="shared" si="171"/>
        <v/>
      </c>
      <c r="GK669" s="357">
        <f t="shared" si="172"/>
        <v>2</v>
      </c>
      <c r="GL669" s="357" t="str">
        <f t="shared" si="173"/>
        <v/>
      </c>
      <c r="GM669" s="357" t="str">
        <f t="shared" si="174"/>
        <v/>
      </c>
      <c r="GN669" s="357" t="str">
        <f t="shared" si="175"/>
        <v/>
      </c>
      <c r="GO669" s="357" t="str">
        <f t="shared" si="176"/>
        <v/>
      </c>
      <c r="GP669" s="357" t="str">
        <f t="shared" si="177"/>
        <v/>
      </c>
      <c r="GQ669" s="357" t="str">
        <f t="shared" si="178"/>
        <v/>
      </c>
      <c r="GR669" s="357" t="str">
        <f t="shared" si="179"/>
        <v/>
      </c>
      <c r="GS669" s="357" t="str">
        <f t="shared" si="180"/>
        <v/>
      </c>
      <c r="GT669" s="357" t="str">
        <f t="shared" si="181"/>
        <v/>
      </c>
      <c r="GU669" s="357" t="str">
        <f t="shared" si="182"/>
        <v/>
      </c>
      <c r="GV669" s="357" t="str">
        <f t="shared" si="183"/>
        <v/>
      </c>
      <c r="GW669" s="357" t="str">
        <f t="shared" si="184"/>
        <v/>
      </c>
      <c r="GX669" s="357" t="str">
        <f t="shared" si="185"/>
        <v/>
      </c>
      <c r="GY669" s="357" t="str">
        <f t="shared" si="186"/>
        <v/>
      </c>
      <c r="GZ669" s="357" t="str">
        <f t="shared" si="187"/>
        <v/>
      </c>
      <c r="HA669" s="357" t="str">
        <f t="shared" si="188"/>
        <v/>
      </c>
      <c r="HB669" s="357" t="str">
        <f t="shared" si="189"/>
        <v/>
      </c>
      <c r="HC669" s="357" t="str">
        <f t="shared" si="190"/>
        <v/>
      </c>
      <c r="HD669" s="357" t="str">
        <f t="shared" si="191"/>
        <v/>
      </c>
      <c r="HE669" s="357" t="str">
        <f t="shared" si="192"/>
        <v/>
      </c>
      <c r="HF669" s="357" t="str">
        <f t="shared" si="193"/>
        <v/>
      </c>
      <c r="HG669" s="357" t="str">
        <f t="shared" si="194"/>
        <v/>
      </c>
      <c r="HH669" s="357" t="str">
        <f t="shared" si="195"/>
        <v/>
      </c>
      <c r="HI669" s="357" t="str">
        <f t="shared" si="196"/>
        <v/>
      </c>
      <c r="HJ669" s="357" t="str">
        <f t="shared" si="197"/>
        <v/>
      </c>
      <c r="HK669" s="357" t="str">
        <f t="shared" si="198"/>
        <v/>
      </c>
      <c r="HL669" s="357" t="str">
        <f t="shared" si="199"/>
        <v/>
      </c>
      <c r="HM669" s="357" t="str">
        <f t="shared" si="200"/>
        <v/>
      </c>
      <c r="HN669" s="357" t="str">
        <f t="shared" si="201"/>
        <v/>
      </c>
      <c r="HO669" s="357" t="str">
        <f t="shared" si="202"/>
        <v/>
      </c>
      <c r="HP669" s="357" t="str">
        <f t="shared" si="203"/>
        <v/>
      </c>
      <c r="HQ669" s="357" t="str">
        <f t="shared" si="204"/>
        <v/>
      </c>
      <c r="HR669" s="357" t="str">
        <f t="shared" si="205"/>
        <v/>
      </c>
      <c r="HS669" s="357" t="str">
        <f t="shared" si="206"/>
        <v/>
      </c>
      <c r="HT669" s="357" t="str">
        <f t="shared" si="207"/>
        <v/>
      </c>
      <c r="HU669" s="357" t="str">
        <f t="shared" si="208"/>
        <v/>
      </c>
      <c r="HV669" s="357" t="str">
        <f t="shared" si="209"/>
        <v/>
      </c>
      <c r="HW669" s="357" t="str">
        <f t="shared" si="210"/>
        <v/>
      </c>
      <c r="HX669" s="357" t="str">
        <f t="shared" si="211"/>
        <v/>
      </c>
      <c r="HY669" s="357" t="str">
        <f t="shared" si="212"/>
        <v/>
      </c>
      <c r="HZ669" s="1903" t="str">
        <f t="shared" si="213"/>
        <v/>
      </c>
      <c r="IA669" s="1903" t="str">
        <f t="shared" si="214"/>
        <v/>
      </c>
      <c r="IB669" s="1903" t="str">
        <f t="shared" si="215"/>
        <v/>
      </c>
      <c r="IC669" s="1903" t="str">
        <f t="shared" si="216"/>
        <v/>
      </c>
      <c r="ID669" s="1903">
        <f t="shared" si="217"/>
        <v>2</v>
      </c>
      <c r="IE669" s="1903" t="str">
        <f t="shared" si="218"/>
        <v/>
      </c>
      <c r="IF669" s="1903" t="str">
        <f t="shared" si="219"/>
        <v/>
      </c>
      <c r="IG669" s="1903" t="str">
        <f t="shared" si="220"/>
        <v/>
      </c>
      <c r="IH669" s="1903" t="str">
        <f t="shared" si="221"/>
        <v/>
      </c>
      <c r="II669" s="1903" t="str">
        <f t="shared" si="222"/>
        <v/>
      </c>
      <c r="IJ669" s="1903" t="str">
        <f t="shared" si="223"/>
        <v/>
      </c>
      <c r="IK669" s="1903" t="str">
        <f t="shared" si="224"/>
        <v/>
      </c>
      <c r="IL669" s="1903" t="str">
        <f t="shared" si="225"/>
        <v/>
      </c>
      <c r="IM669" s="1903" t="str">
        <f t="shared" si="226"/>
        <v/>
      </c>
      <c r="IN669" s="1903" t="str">
        <f t="shared" si="227"/>
        <v/>
      </c>
      <c r="IO669" s="1903" t="str">
        <f t="shared" si="228"/>
        <v/>
      </c>
      <c r="IP669" s="1903" t="str">
        <f t="shared" si="229"/>
        <v/>
      </c>
      <c r="IQ669" s="1903" t="str">
        <f t="shared" si="230"/>
        <v/>
      </c>
      <c r="IR669" s="1903" t="str">
        <f t="shared" si="231"/>
        <v/>
      </c>
      <c r="IS669" s="1903" t="str">
        <f t="shared" si="232"/>
        <v/>
      </c>
      <c r="IT669" s="1903" t="str">
        <f t="shared" si="233"/>
        <v/>
      </c>
      <c r="IU669" s="1903" t="str">
        <f t="shared" si="234"/>
        <v/>
      </c>
      <c r="IV669" s="1903" t="str">
        <f t="shared" si="235"/>
        <v/>
      </c>
      <c r="IW669" s="1903" t="str">
        <f t="shared" si="236"/>
        <v/>
      </c>
      <c r="IX669" s="1903" t="str">
        <f t="shared" si="237"/>
        <v/>
      </c>
      <c r="IY669" s="1903" t="str">
        <f t="shared" si="238"/>
        <v/>
      </c>
      <c r="IZ669" s="1903" t="str">
        <f t="shared" si="239"/>
        <v/>
      </c>
      <c r="JA669" s="1903" t="str">
        <f t="shared" si="240"/>
        <v/>
      </c>
      <c r="JB669" s="1903" t="str">
        <f t="shared" si="241"/>
        <v/>
      </c>
      <c r="JC669" s="1903" t="str">
        <f t="shared" si="242"/>
        <v/>
      </c>
      <c r="JD669" s="1903" t="str">
        <f t="shared" si="243"/>
        <v/>
      </c>
      <c r="JE669" s="1903" t="str">
        <f t="shared" si="244"/>
        <v/>
      </c>
      <c r="JF669" s="1903" t="str">
        <f t="shared" si="245"/>
        <v/>
      </c>
      <c r="JG669" s="1903" t="str">
        <f t="shared" si="246"/>
        <v/>
      </c>
      <c r="JH669" s="1903" t="str">
        <f t="shared" si="247"/>
        <v/>
      </c>
      <c r="JI669" s="1903" t="str">
        <f t="shared" si="248"/>
        <v/>
      </c>
      <c r="JJ669" s="1903" t="str">
        <f t="shared" si="249"/>
        <v/>
      </c>
      <c r="JK669" s="1903" t="str">
        <f t="shared" si="250"/>
        <v/>
      </c>
      <c r="JL669" s="1903" t="str">
        <f t="shared" si="251"/>
        <v/>
      </c>
      <c r="JM669" s="1903" t="str">
        <f t="shared" si="252"/>
        <v/>
      </c>
      <c r="JN669" s="1903" t="str">
        <f t="shared" si="253"/>
        <v/>
      </c>
      <c r="JO669" s="1903" t="str">
        <f t="shared" si="254"/>
        <v/>
      </c>
      <c r="JP669" s="1903" t="str">
        <f t="shared" si="255"/>
        <v/>
      </c>
      <c r="JQ669" s="1903" t="str">
        <f t="shared" si="256"/>
        <v/>
      </c>
      <c r="JR669" s="1903" t="str">
        <f t="shared" si="257"/>
        <v/>
      </c>
      <c r="JS669" s="1903" t="str">
        <f t="shared" si="258"/>
        <v/>
      </c>
      <c r="JT669" s="1903" t="str">
        <f t="shared" si="259"/>
        <v/>
      </c>
      <c r="JU669" s="1903" t="str">
        <f t="shared" si="260"/>
        <v/>
      </c>
      <c r="JV669" s="1903" t="str">
        <f t="shared" si="261"/>
        <v/>
      </c>
      <c r="JW669" s="1903">
        <f t="shared" si="262"/>
        <v>2</v>
      </c>
      <c r="JX669" s="1903" t="str">
        <f t="shared" si="263"/>
        <v/>
      </c>
      <c r="JY669" s="1903" t="str">
        <f t="shared" si="264"/>
        <v/>
      </c>
      <c r="JZ669" s="1903" t="str">
        <f t="shared" si="265"/>
        <v/>
      </c>
      <c r="KA669" s="1903" t="str">
        <f t="shared" si="266"/>
        <v/>
      </c>
      <c r="KB669" s="1903" t="str">
        <f t="shared" si="267"/>
        <v/>
      </c>
      <c r="KC669" s="1903" t="str">
        <f t="shared" si="268"/>
        <v/>
      </c>
      <c r="KD669" s="1903" t="str">
        <f t="shared" si="269"/>
        <v/>
      </c>
      <c r="KE669" s="1903" t="str">
        <f t="shared" si="270"/>
        <v/>
      </c>
      <c r="KF669" s="1903" t="str">
        <f t="shared" si="271"/>
        <v/>
      </c>
      <c r="KG669" s="1903" t="str">
        <f t="shared" si="272"/>
        <v/>
      </c>
      <c r="KH669" s="1903" t="str">
        <f t="shared" si="273"/>
        <v/>
      </c>
      <c r="KI669" s="1903" t="str">
        <f t="shared" si="274"/>
        <v/>
      </c>
      <c r="KJ669" s="1903" t="str">
        <f t="shared" si="275"/>
        <v/>
      </c>
      <c r="KK669" s="1903" t="str">
        <f t="shared" si="276"/>
        <v/>
      </c>
      <c r="KL669" s="1903" t="str">
        <f t="shared" si="277"/>
        <v/>
      </c>
      <c r="KM669" s="1903" t="str">
        <f t="shared" si="278"/>
        <v/>
      </c>
      <c r="KN669" s="1903" t="str">
        <f t="shared" si="279"/>
        <v/>
      </c>
      <c r="KO669" s="1903" t="str">
        <f t="shared" si="280"/>
        <v/>
      </c>
      <c r="KP669" s="1903" t="str">
        <f t="shared" si="281"/>
        <v/>
      </c>
      <c r="KQ669" s="1903" t="str">
        <f t="shared" si="282"/>
        <v/>
      </c>
      <c r="KR669" s="1903" t="str">
        <f t="shared" si="283"/>
        <v/>
      </c>
      <c r="KS669" s="1903" t="str">
        <f t="shared" si="284"/>
        <v/>
      </c>
      <c r="KT669" s="1903" t="str">
        <f t="shared" si="285"/>
        <v/>
      </c>
      <c r="KU669" s="1903" t="str">
        <f t="shared" si="286"/>
        <v/>
      </c>
      <c r="KV669" s="1903" t="str">
        <f t="shared" si="287"/>
        <v/>
      </c>
      <c r="KW669" s="1903" t="str">
        <f t="shared" si="288"/>
        <v/>
      </c>
      <c r="KX669" s="1903" t="str">
        <f t="shared" si="289"/>
        <v/>
      </c>
      <c r="KY669" s="1903" t="str">
        <f t="shared" si="290"/>
        <v/>
      </c>
      <c r="KZ669" s="1903" t="str">
        <f t="shared" si="291"/>
        <v/>
      </c>
      <c r="LA669" s="1903" t="str">
        <f t="shared" si="292"/>
        <v/>
      </c>
      <c r="LB669" s="1903" t="str">
        <f t="shared" si="293"/>
        <v/>
      </c>
      <c r="LC669" s="1903" t="str">
        <f t="shared" si="294"/>
        <v/>
      </c>
      <c r="LD669" s="1903" t="str">
        <f t="shared" si="295"/>
        <v/>
      </c>
      <c r="LE669" s="1903" t="str">
        <f t="shared" si="296"/>
        <v/>
      </c>
      <c r="LF669" s="1903" t="str">
        <f t="shared" si="297"/>
        <v/>
      </c>
      <c r="LG669" s="1750" t="str">
        <f t="shared" si="298"/>
        <v/>
      </c>
      <c r="LH669" s="1750" t="str">
        <f t="shared" si="299"/>
        <v/>
      </c>
      <c r="LI669" s="1750" t="str">
        <f t="shared" si="300"/>
        <v/>
      </c>
      <c r="LJ669" s="1750" t="str">
        <f t="shared" si="301"/>
        <v/>
      </c>
      <c r="LK669" s="1750" t="str">
        <f t="shared" si="302"/>
        <v/>
      </c>
      <c r="LL669" s="357" t="str">
        <f t="shared" si="303"/>
        <v/>
      </c>
      <c r="LM669" s="357" t="str">
        <f t="shared" si="304"/>
        <v/>
      </c>
      <c r="LN669" s="357" t="str">
        <f t="shared" si="305"/>
        <v/>
      </c>
      <c r="LO669" s="357" t="str">
        <f t="shared" si="306"/>
        <v/>
      </c>
      <c r="LP669" s="357" t="str">
        <f t="shared" si="307"/>
        <v/>
      </c>
      <c r="LQ669" s="357" t="str">
        <f t="shared" si="308"/>
        <v/>
      </c>
      <c r="LR669" s="357" t="str">
        <f t="shared" si="309"/>
        <v/>
      </c>
      <c r="LS669" s="357" t="str">
        <f t="shared" si="310"/>
        <v/>
      </c>
      <c r="LT669" s="357" t="str">
        <f t="shared" si="311"/>
        <v/>
      </c>
      <c r="LU669" s="357" t="str">
        <f t="shared" si="312"/>
        <v/>
      </c>
      <c r="LV669" s="357" t="str">
        <f t="shared" si="313"/>
        <v/>
      </c>
      <c r="LW669" s="357" t="str">
        <f t="shared" si="314"/>
        <v/>
      </c>
      <c r="LX669" s="357" t="str">
        <f t="shared" si="315"/>
        <v/>
      </c>
      <c r="LY669" s="357" t="str">
        <f t="shared" si="316"/>
        <v/>
      </c>
      <c r="LZ669" s="357" t="str">
        <f t="shared" si="317"/>
        <v/>
      </c>
      <c r="MA669" s="357" t="str">
        <f t="shared" si="318"/>
        <v/>
      </c>
      <c r="MB669" s="357" t="str">
        <f t="shared" si="319"/>
        <v/>
      </c>
      <c r="MC669" s="357" t="str">
        <f t="shared" si="320"/>
        <v/>
      </c>
      <c r="MD669" s="357" t="str">
        <f t="shared" si="321"/>
        <v/>
      </c>
      <c r="ME669" s="357" t="str">
        <f t="shared" si="322"/>
        <v/>
      </c>
      <c r="MF669" s="1750">
        <f t="shared" si="323"/>
        <v>0</v>
      </c>
      <c r="MG669" s="1750">
        <f t="shared" si="324"/>
        <v>0</v>
      </c>
      <c r="MH669" s="1750">
        <f t="shared" si="325"/>
        <v>0</v>
      </c>
      <c r="MI669" s="1750">
        <f t="shared" si="326"/>
        <v>0</v>
      </c>
      <c r="MJ669" s="1750">
        <f t="shared" si="327"/>
        <v>0</v>
      </c>
      <c r="MK669" s="1750">
        <f t="shared" si="333"/>
        <v>0</v>
      </c>
      <c r="ML669" s="1750">
        <f t="shared" si="334"/>
        <v>0</v>
      </c>
      <c r="MM669" s="1750">
        <f t="shared" si="335"/>
        <v>0</v>
      </c>
      <c r="MN669" s="1750">
        <f t="shared" si="336"/>
        <v>0</v>
      </c>
      <c r="MO669" s="1750">
        <f t="shared" si="337"/>
        <v>2</v>
      </c>
      <c r="MP669" s="1750">
        <f t="shared" si="328"/>
        <v>0</v>
      </c>
      <c r="MQ669" s="1750">
        <f t="shared" si="329"/>
        <v>0</v>
      </c>
      <c r="MR669" s="1750">
        <f t="shared" si="330"/>
        <v>0</v>
      </c>
      <c r="MS669" s="1750">
        <f t="shared" si="331"/>
        <v>0</v>
      </c>
      <c r="MT669" s="1750">
        <f t="shared" si="332"/>
        <v>0</v>
      </c>
      <c r="NP669" s="357" t="s">
        <v>6434</v>
      </c>
    </row>
    <row r="670" spans="1:380" ht="13.9" customHeight="1">
      <c r="A670" s="1901" t="str">
        <f t="shared" si="0"/>
        <v/>
      </c>
      <c r="B670" s="2238">
        <f>'Part V-Revenues &amp; Expenses'!B32</f>
        <v>80</v>
      </c>
      <c r="C670" s="2229">
        <f>'Part V-Revenues &amp; Expenses'!C32</f>
        <v>4</v>
      </c>
      <c r="D670" s="2230">
        <f>'Part V-Revenues &amp; Expenses'!D32</f>
        <v>2</v>
      </c>
      <c r="E670" s="2231">
        <f>'Part V-Revenues &amp; Expenses'!E32</f>
        <v>3</v>
      </c>
      <c r="F670" s="2231">
        <f>'Part V-Revenues &amp; Expenses'!F32</f>
        <v>1571</v>
      </c>
      <c r="G670" s="2231">
        <f>'Part V-Revenues &amp; Expenses'!G32</f>
        <v>2028</v>
      </c>
      <c r="H670" s="2231">
        <f>'Part V-Revenues &amp; Expenses'!H32</f>
        <v>1748</v>
      </c>
      <c r="I670" s="2231">
        <f>'Part V-Revenues &amp; Expenses'!I32</f>
        <v>0</v>
      </c>
      <c r="J670" s="2231">
        <f>'Part V-Revenues &amp; Expenses'!J32</f>
        <v>122</v>
      </c>
      <c r="K670" s="2232">
        <f>'Part V-Revenues &amp; Expenses'!K32</f>
        <v>0</v>
      </c>
      <c r="L670" s="2233">
        <f t="shared" si="340"/>
        <v>1626</v>
      </c>
      <c r="M670" s="2233">
        <f t="shared" si="341"/>
        <v>4878</v>
      </c>
      <c r="N670" s="2094" t="str">
        <f>'Part V-Revenues &amp; Expenses'!N32</f>
        <v>No</v>
      </c>
      <c r="O670" s="2234" t="str">
        <f>'Part V-Revenues &amp; Expenses'!O32</f>
        <v>Low-Rise Apt</v>
      </c>
      <c r="P670" s="2094" t="str">
        <f>'Part V-Revenues &amp; Expenses'!P32</f>
        <v>New Construction</v>
      </c>
      <c r="Q670" s="2235" t="str">
        <f>'Part V-Revenues &amp; Expenses'!Q32</f>
        <v>No</v>
      </c>
      <c r="R670" s="2236"/>
      <c r="S670" s="2237"/>
      <c r="T670" s="2160"/>
      <c r="U670" s="2160"/>
      <c r="V670" s="2160"/>
      <c r="W670" s="2160"/>
      <c r="X670" s="357" t="str">
        <f t="shared" si="3"/>
        <v/>
      </c>
      <c r="Y670" s="357" t="str">
        <f t="shared" si="4"/>
        <v/>
      </c>
      <c r="Z670" s="357" t="str">
        <f t="shared" si="5"/>
        <v/>
      </c>
      <c r="AA670" s="357" t="str">
        <f t="shared" si="6"/>
        <v/>
      </c>
      <c r="AB670" s="357">
        <f t="shared" si="7"/>
        <v>3</v>
      </c>
      <c r="AC670" s="357" t="str">
        <f t="shared" si="8"/>
        <v/>
      </c>
      <c r="AD670" s="357" t="str">
        <f t="shared" si="9"/>
        <v/>
      </c>
      <c r="AE670" s="357" t="str">
        <f t="shared" si="10"/>
        <v/>
      </c>
      <c r="AF670" s="357" t="str">
        <f t="shared" si="11"/>
        <v/>
      </c>
      <c r="AG670" s="357" t="str">
        <f t="shared" si="12"/>
        <v/>
      </c>
      <c r="AH670" s="357" t="str">
        <f t="shared" si="13"/>
        <v/>
      </c>
      <c r="AI670" s="357" t="str">
        <f t="shared" si="14"/>
        <v/>
      </c>
      <c r="AJ670" s="357" t="str">
        <f t="shared" si="15"/>
        <v/>
      </c>
      <c r="AK670" s="357" t="str">
        <f t="shared" si="16"/>
        <v/>
      </c>
      <c r="AL670" s="357" t="str">
        <f t="shared" si="17"/>
        <v/>
      </c>
      <c r="AM670" s="357" t="str">
        <f t="shared" si="18"/>
        <v/>
      </c>
      <c r="AN670" s="357" t="str">
        <f t="shared" si="19"/>
        <v/>
      </c>
      <c r="AO670" s="357" t="str">
        <f t="shared" si="20"/>
        <v/>
      </c>
      <c r="AP670" s="357" t="str">
        <f t="shared" si="21"/>
        <v/>
      </c>
      <c r="AQ670" s="357" t="str">
        <f t="shared" si="22"/>
        <v/>
      </c>
      <c r="AR670" s="357" t="str">
        <f t="shared" si="23"/>
        <v/>
      </c>
      <c r="AS670" s="357" t="str">
        <f t="shared" si="24"/>
        <v/>
      </c>
      <c r="AT670" s="357" t="str">
        <f t="shared" si="25"/>
        <v/>
      </c>
      <c r="AU670" s="357" t="str">
        <f t="shared" si="26"/>
        <v/>
      </c>
      <c r="AV670" s="357" t="str">
        <f t="shared" si="27"/>
        <v/>
      </c>
      <c r="AW670" s="357" t="str">
        <f t="shared" si="28"/>
        <v/>
      </c>
      <c r="AX670" s="357" t="str">
        <f t="shared" si="29"/>
        <v/>
      </c>
      <c r="AY670" s="357" t="str">
        <f t="shared" si="30"/>
        <v/>
      </c>
      <c r="AZ670" s="357" t="str">
        <f t="shared" si="31"/>
        <v/>
      </c>
      <c r="BA670" s="357" t="str">
        <f t="shared" si="32"/>
        <v/>
      </c>
      <c r="BB670" s="357" t="str">
        <f t="shared" si="33"/>
        <v/>
      </c>
      <c r="BC670" s="357" t="str">
        <f t="shared" si="34"/>
        <v/>
      </c>
      <c r="BD670" s="357" t="str">
        <f t="shared" si="35"/>
        <v/>
      </c>
      <c r="BE670" s="357" t="str">
        <f t="shared" si="36"/>
        <v/>
      </c>
      <c r="BF670" s="357" t="str">
        <f t="shared" si="37"/>
        <v/>
      </c>
      <c r="BG670" s="357" t="str">
        <f t="shared" si="38"/>
        <v/>
      </c>
      <c r="BH670" s="357" t="str">
        <f t="shared" si="39"/>
        <v/>
      </c>
      <c r="BI670" s="357" t="str">
        <f t="shared" si="40"/>
        <v/>
      </c>
      <c r="BJ670" s="357" t="str">
        <f t="shared" si="41"/>
        <v/>
      </c>
      <c r="BK670" s="357" t="str">
        <f t="shared" si="42"/>
        <v/>
      </c>
      <c r="BL670" s="357" t="str">
        <f t="shared" si="43"/>
        <v/>
      </c>
      <c r="BM670" s="357" t="str">
        <f t="shared" si="44"/>
        <v/>
      </c>
      <c r="BN670" s="357" t="str">
        <f t="shared" si="45"/>
        <v/>
      </c>
      <c r="BO670" s="357" t="str">
        <f t="shared" si="46"/>
        <v/>
      </c>
      <c r="BP670" s="357" t="str">
        <f t="shared" si="47"/>
        <v/>
      </c>
      <c r="BQ670" s="357" t="str">
        <f t="shared" si="48"/>
        <v/>
      </c>
      <c r="BR670" s="357" t="str">
        <f t="shared" si="49"/>
        <v/>
      </c>
      <c r="BS670" s="357" t="str">
        <f t="shared" si="50"/>
        <v/>
      </c>
      <c r="BT670" s="357" t="str">
        <f t="shared" si="51"/>
        <v/>
      </c>
      <c r="BU670" s="357" t="str">
        <f t="shared" si="52"/>
        <v/>
      </c>
      <c r="BV670" s="357" t="str">
        <f t="shared" si="53"/>
        <v/>
      </c>
      <c r="BW670" s="357" t="str">
        <f t="shared" si="54"/>
        <v/>
      </c>
      <c r="BX670" s="357" t="str">
        <f t="shared" si="55"/>
        <v/>
      </c>
      <c r="BY670" s="357" t="str">
        <f t="shared" si="56"/>
        <v/>
      </c>
      <c r="BZ670" s="357" t="str">
        <f t="shared" si="57"/>
        <v/>
      </c>
      <c r="CA670" s="357" t="str">
        <f t="shared" si="58"/>
        <v/>
      </c>
      <c r="CB670" s="357" t="str">
        <f t="shared" si="59"/>
        <v/>
      </c>
      <c r="CC670" s="357" t="str">
        <f t="shared" si="60"/>
        <v/>
      </c>
      <c r="CD670" s="357" t="str">
        <f t="shared" si="61"/>
        <v/>
      </c>
      <c r="CE670" s="357" t="str">
        <f t="shared" si="62"/>
        <v/>
      </c>
      <c r="CF670" s="357" t="str">
        <f t="shared" si="63"/>
        <v/>
      </c>
      <c r="CG670" s="357" t="str">
        <f t="shared" si="64"/>
        <v/>
      </c>
      <c r="CH670" s="357" t="str">
        <f t="shared" si="65"/>
        <v/>
      </c>
      <c r="CI670" s="357" t="str">
        <f t="shared" si="66"/>
        <v/>
      </c>
      <c r="CJ670" s="357" t="str">
        <f t="shared" si="67"/>
        <v/>
      </c>
      <c r="CK670" s="357" t="str">
        <f t="shared" si="68"/>
        <v/>
      </c>
      <c r="CL670" s="357" t="str">
        <f t="shared" si="69"/>
        <v/>
      </c>
      <c r="CM670" s="357" t="str">
        <f t="shared" si="70"/>
        <v/>
      </c>
      <c r="CN670" s="357" t="str">
        <f t="shared" si="71"/>
        <v/>
      </c>
      <c r="CO670" s="357" t="str">
        <f t="shared" si="72"/>
        <v/>
      </c>
      <c r="CP670" s="357" t="str">
        <f t="shared" si="73"/>
        <v/>
      </c>
      <c r="CQ670" s="357" t="str">
        <f t="shared" si="74"/>
        <v/>
      </c>
      <c r="CR670" s="357" t="str">
        <f t="shared" si="75"/>
        <v/>
      </c>
      <c r="CS670" s="357" t="str">
        <f t="shared" si="76"/>
        <v/>
      </c>
      <c r="CT670" s="357">
        <f t="shared" si="77"/>
        <v>3</v>
      </c>
      <c r="CU670" s="357" t="str">
        <f t="shared" si="78"/>
        <v/>
      </c>
      <c r="CV670" s="357" t="str">
        <f t="shared" si="79"/>
        <v/>
      </c>
      <c r="CW670" s="357" t="str">
        <f t="shared" si="80"/>
        <v/>
      </c>
      <c r="CX670" s="357" t="str">
        <f t="shared" si="81"/>
        <v/>
      </c>
      <c r="CY670" s="357" t="str">
        <f t="shared" si="82"/>
        <v/>
      </c>
      <c r="CZ670" s="357" t="str">
        <f t="shared" si="83"/>
        <v/>
      </c>
      <c r="DA670" s="357" t="str">
        <f t="shared" si="84"/>
        <v/>
      </c>
      <c r="DB670" s="357" t="str">
        <f t="shared" si="85"/>
        <v/>
      </c>
      <c r="DC670" s="357" t="str">
        <f t="shared" si="86"/>
        <v/>
      </c>
      <c r="DD670" s="357" t="str">
        <f t="shared" si="87"/>
        <v/>
      </c>
      <c r="DE670" s="357" t="str">
        <f t="shared" si="88"/>
        <v/>
      </c>
      <c r="DF670" s="357" t="str">
        <f t="shared" si="89"/>
        <v/>
      </c>
      <c r="DG670" s="357" t="str">
        <f t="shared" si="90"/>
        <v/>
      </c>
      <c r="DH670" s="357" t="str">
        <f t="shared" si="91"/>
        <v/>
      </c>
      <c r="DI670" s="357" t="str">
        <f t="shared" si="92"/>
        <v/>
      </c>
      <c r="DJ670" s="357" t="str">
        <f t="shared" si="93"/>
        <v/>
      </c>
      <c r="DK670" s="357" t="str">
        <f t="shared" si="94"/>
        <v/>
      </c>
      <c r="DL670" s="357" t="str">
        <f t="shared" si="95"/>
        <v/>
      </c>
      <c r="DM670" s="357" t="str">
        <f t="shared" si="96"/>
        <v/>
      </c>
      <c r="DN670" s="357" t="str">
        <f t="shared" si="97"/>
        <v/>
      </c>
      <c r="DO670" s="357" t="str">
        <f t="shared" si="98"/>
        <v/>
      </c>
      <c r="DP670" s="357" t="str">
        <f t="shared" si="99"/>
        <v/>
      </c>
      <c r="DQ670" s="357" t="str">
        <f t="shared" si="100"/>
        <v/>
      </c>
      <c r="DR670" s="357" t="str">
        <f t="shared" si="101"/>
        <v/>
      </c>
      <c r="DS670" s="357" t="str">
        <f t="shared" si="102"/>
        <v/>
      </c>
      <c r="DT670" s="357" t="str">
        <f t="shared" si="103"/>
        <v/>
      </c>
      <c r="DU670" s="357" t="str">
        <f t="shared" si="104"/>
        <v/>
      </c>
      <c r="DV670" s="357" t="str">
        <f t="shared" si="105"/>
        <v/>
      </c>
      <c r="DW670" s="357" t="str">
        <f t="shared" si="106"/>
        <v/>
      </c>
      <c r="DX670" s="357" t="str">
        <f t="shared" si="107"/>
        <v/>
      </c>
      <c r="DY670" s="357" t="str">
        <f t="shared" si="108"/>
        <v/>
      </c>
      <c r="DZ670" s="357" t="str">
        <f t="shared" si="109"/>
        <v/>
      </c>
      <c r="EA670" s="357" t="str">
        <f t="shared" si="110"/>
        <v/>
      </c>
      <c r="EB670" s="357" t="str">
        <f t="shared" si="111"/>
        <v/>
      </c>
      <c r="EC670" s="357" t="str">
        <f t="shared" si="112"/>
        <v/>
      </c>
      <c r="ED670" s="357" t="str">
        <f t="shared" si="113"/>
        <v/>
      </c>
      <c r="EE670" s="357" t="str">
        <f t="shared" si="114"/>
        <v/>
      </c>
      <c r="EF670" s="357" t="str">
        <f t="shared" si="115"/>
        <v/>
      </c>
      <c r="EG670" s="357" t="str">
        <f t="shared" si="116"/>
        <v/>
      </c>
      <c r="EH670" s="357" t="str">
        <f t="shared" si="117"/>
        <v/>
      </c>
      <c r="EI670" s="357" t="str">
        <f t="shared" si="118"/>
        <v/>
      </c>
      <c r="EJ670" s="357" t="str">
        <f t="shared" si="119"/>
        <v/>
      </c>
      <c r="EK670" s="357" t="str">
        <f t="shared" si="120"/>
        <v/>
      </c>
      <c r="EL670" s="357" t="str">
        <f t="shared" si="121"/>
        <v/>
      </c>
      <c r="EM670" s="357">
        <f t="shared" si="122"/>
        <v>4713</v>
      </c>
      <c r="EN670" s="357" t="str">
        <f t="shared" si="123"/>
        <v/>
      </c>
      <c r="EO670" s="357" t="str">
        <f t="shared" si="124"/>
        <v/>
      </c>
      <c r="EP670" s="357" t="str">
        <f t="shared" si="125"/>
        <v/>
      </c>
      <c r="EQ670" s="357" t="str">
        <f t="shared" si="126"/>
        <v/>
      </c>
      <c r="ER670" s="357" t="str">
        <f t="shared" si="127"/>
        <v/>
      </c>
      <c r="ES670" s="357" t="str">
        <f t="shared" si="128"/>
        <v/>
      </c>
      <c r="ET670" s="357" t="str">
        <f t="shared" si="129"/>
        <v/>
      </c>
      <c r="EU670" s="357" t="str">
        <f t="shared" si="130"/>
        <v/>
      </c>
      <c r="EV670" s="357" t="str">
        <f t="shared" si="131"/>
        <v/>
      </c>
      <c r="EW670" s="357" t="str">
        <f t="shared" si="132"/>
        <v/>
      </c>
      <c r="EX670" s="357" t="str">
        <f t="shared" si="133"/>
        <v/>
      </c>
      <c r="EY670" s="357" t="str">
        <f t="shared" si="134"/>
        <v/>
      </c>
      <c r="EZ670" s="357" t="str">
        <f t="shared" si="135"/>
        <v/>
      </c>
      <c r="FA670" s="357" t="str">
        <f t="shared" si="136"/>
        <v/>
      </c>
      <c r="FB670" s="357" t="str">
        <f t="shared" si="137"/>
        <v/>
      </c>
      <c r="FC670" s="357" t="str">
        <f t="shared" si="138"/>
        <v/>
      </c>
      <c r="FD670" s="357" t="str">
        <f t="shared" si="139"/>
        <v/>
      </c>
      <c r="FE670" s="357" t="str">
        <f t="shared" si="140"/>
        <v/>
      </c>
      <c r="FF670" s="357" t="str">
        <f t="shared" si="141"/>
        <v/>
      </c>
      <c r="FG670" s="357" t="str">
        <f t="shared" si="142"/>
        <v/>
      </c>
      <c r="FH670" s="357" t="str">
        <f t="shared" si="143"/>
        <v/>
      </c>
      <c r="FI670" s="357" t="str">
        <f t="shared" si="144"/>
        <v/>
      </c>
      <c r="FJ670" s="357" t="str">
        <f t="shared" si="145"/>
        <v/>
      </c>
      <c r="FK670" s="357" t="str">
        <f t="shared" si="146"/>
        <v/>
      </c>
      <c r="FL670" s="357" t="str">
        <f t="shared" si="147"/>
        <v/>
      </c>
      <c r="FM670" s="357" t="str">
        <f t="shared" si="148"/>
        <v/>
      </c>
      <c r="FN670" s="357" t="str">
        <f t="shared" si="149"/>
        <v/>
      </c>
      <c r="FO670" s="357" t="str">
        <f t="shared" si="150"/>
        <v/>
      </c>
      <c r="FP670" s="357" t="str">
        <f t="shared" si="151"/>
        <v/>
      </c>
      <c r="FQ670" s="357" t="str">
        <f t="shared" si="152"/>
        <v/>
      </c>
      <c r="FR670" s="357" t="str">
        <f t="shared" si="153"/>
        <v/>
      </c>
      <c r="FS670" s="357" t="str">
        <f t="shared" si="154"/>
        <v/>
      </c>
      <c r="FT670" s="357" t="str">
        <f t="shared" si="155"/>
        <v/>
      </c>
      <c r="FU670" s="357" t="str">
        <f t="shared" si="156"/>
        <v/>
      </c>
      <c r="FV670" s="357" t="str">
        <f t="shared" si="157"/>
        <v/>
      </c>
      <c r="FW670" s="357" t="str">
        <f t="shared" si="158"/>
        <v/>
      </c>
      <c r="FX670" s="357" t="str">
        <f t="shared" si="159"/>
        <v/>
      </c>
      <c r="FY670" s="357" t="str">
        <f t="shared" si="160"/>
        <v/>
      </c>
      <c r="FZ670" s="357" t="str">
        <f t="shared" si="161"/>
        <v/>
      </c>
      <c r="GA670" s="357" t="str">
        <f t="shared" si="162"/>
        <v/>
      </c>
      <c r="GB670" s="357" t="str">
        <f t="shared" si="163"/>
        <v/>
      </c>
      <c r="GC670" s="357" t="str">
        <f t="shared" si="164"/>
        <v/>
      </c>
      <c r="GD670" s="357" t="str">
        <f t="shared" si="165"/>
        <v/>
      </c>
      <c r="GE670" s="357" t="str">
        <f t="shared" si="166"/>
        <v/>
      </c>
      <c r="GF670" s="357" t="str">
        <f t="shared" si="167"/>
        <v/>
      </c>
      <c r="GG670" s="357" t="str">
        <f t="shared" si="168"/>
        <v/>
      </c>
      <c r="GH670" s="357" t="str">
        <f t="shared" si="169"/>
        <v/>
      </c>
      <c r="GI670" s="357" t="str">
        <f t="shared" si="170"/>
        <v/>
      </c>
      <c r="GJ670" s="357" t="str">
        <f t="shared" si="171"/>
        <v/>
      </c>
      <c r="GK670" s="357">
        <f t="shared" si="172"/>
        <v>3</v>
      </c>
      <c r="GL670" s="357" t="str">
        <f t="shared" si="173"/>
        <v/>
      </c>
      <c r="GM670" s="357" t="str">
        <f t="shared" si="174"/>
        <v/>
      </c>
      <c r="GN670" s="357" t="str">
        <f t="shared" si="175"/>
        <v/>
      </c>
      <c r="GO670" s="357" t="str">
        <f t="shared" si="176"/>
        <v/>
      </c>
      <c r="GP670" s="357" t="str">
        <f t="shared" si="177"/>
        <v/>
      </c>
      <c r="GQ670" s="357" t="str">
        <f t="shared" si="178"/>
        <v/>
      </c>
      <c r="GR670" s="357" t="str">
        <f t="shared" si="179"/>
        <v/>
      </c>
      <c r="GS670" s="357" t="str">
        <f t="shared" si="180"/>
        <v/>
      </c>
      <c r="GT670" s="357" t="str">
        <f t="shared" si="181"/>
        <v/>
      </c>
      <c r="GU670" s="357" t="str">
        <f t="shared" si="182"/>
        <v/>
      </c>
      <c r="GV670" s="357" t="str">
        <f t="shared" si="183"/>
        <v/>
      </c>
      <c r="GW670" s="357" t="str">
        <f t="shared" si="184"/>
        <v/>
      </c>
      <c r="GX670" s="357" t="str">
        <f t="shared" si="185"/>
        <v/>
      </c>
      <c r="GY670" s="357" t="str">
        <f t="shared" si="186"/>
        <v/>
      </c>
      <c r="GZ670" s="357" t="str">
        <f t="shared" si="187"/>
        <v/>
      </c>
      <c r="HA670" s="357" t="str">
        <f t="shared" si="188"/>
        <v/>
      </c>
      <c r="HB670" s="357" t="str">
        <f t="shared" si="189"/>
        <v/>
      </c>
      <c r="HC670" s="357" t="str">
        <f t="shared" si="190"/>
        <v/>
      </c>
      <c r="HD670" s="357" t="str">
        <f t="shared" si="191"/>
        <v/>
      </c>
      <c r="HE670" s="357" t="str">
        <f t="shared" si="192"/>
        <v/>
      </c>
      <c r="HF670" s="357" t="str">
        <f t="shared" si="193"/>
        <v/>
      </c>
      <c r="HG670" s="357" t="str">
        <f t="shared" si="194"/>
        <v/>
      </c>
      <c r="HH670" s="357" t="str">
        <f t="shared" si="195"/>
        <v/>
      </c>
      <c r="HI670" s="357" t="str">
        <f t="shared" si="196"/>
        <v/>
      </c>
      <c r="HJ670" s="357" t="str">
        <f t="shared" si="197"/>
        <v/>
      </c>
      <c r="HK670" s="357" t="str">
        <f t="shared" si="198"/>
        <v/>
      </c>
      <c r="HL670" s="357" t="str">
        <f t="shared" si="199"/>
        <v/>
      </c>
      <c r="HM670" s="357" t="str">
        <f t="shared" si="200"/>
        <v/>
      </c>
      <c r="HN670" s="357" t="str">
        <f t="shared" si="201"/>
        <v/>
      </c>
      <c r="HO670" s="357" t="str">
        <f t="shared" si="202"/>
        <v/>
      </c>
      <c r="HP670" s="357" t="str">
        <f t="shared" si="203"/>
        <v/>
      </c>
      <c r="HQ670" s="357" t="str">
        <f t="shared" si="204"/>
        <v/>
      </c>
      <c r="HR670" s="357" t="str">
        <f t="shared" si="205"/>
        <v/>
      </c>
      <c r="HS670" s="357" t="str">
        <f t="shared" si="206"/>
        <v/>
      </c>
      <c r="HT670" s="357" t="str">
        <f t="shared" si="207"/>
        <v/>
      </c>
      <c r="HU670" s="357" t="str">
        <f t="shared" si="208"/>
        <v/>
      </c>
      <c r="HV670" s="357" t="str">
        <f t="shared" si="209"/>
        <v/>
      </c>
      <c r="HW670" s="357" t="str">
        <f t="shared" si="210"/>
        <v/>
      </c>
      <c r="HX670" s="357" t="str">
        <f t="shared" si="211"/>
        <v/>
      </c>
      <c r="HY670" s="357" t="str">
        <f t="shared" si="212"/>
        <v/>
      </c>
      <c r="HZ670" s="1903" t="str">
        <f t="shared" si="213"/>
        <v/>
      </c>
      <c r="IA670" s="1903" t="str">
        <f t="shared" si="214"/>
        <v/>
      </c>
      <c r="IB670" s="1903" t="str">
        <f t="shared" si="215"/>
        <v/>
      </c>
      <c r="IC670" s="1903" t="str">
        <f t="shared" si="216"/>
        <v/>
      </c>
      <c r="ID670" s="1903">
        <f t="shared" si="217"/>
        <v>3</v>
      </c>
      <c r="IE670" s="1903" t="str">
        <f t="shared" si="218"/>
        <v/>
      </c>
      <c r="IF670" s="1903" t="str">
        <f t="shared" si="219"/>
        <v/>
      </c>
      <c r="IG670" s="1903" t="str">
        <f t="shared" si="220"/>
        <v/>
      </c>
      <c r="IH670" s="1903" t="str">
        <f t="shared" si="221"/>
        <v/>
      </c>
      <c r="II670" s="1903" t="str">
        <f t="shared" si="222"/>
        <v/>
      </c>
      <c r="IJ670" s="1903" t="str">
        <f t="shared" si="223"/>
        <v/>
      </c>
      <c r="IK670" s="1903" t="str">
        <f t="shared" si="224"/>
        <v/>
      </c>
      <c r="IL670" s="1903" t="str">
        <f t="shared" si="225"/>
        <v/>
      </c>
      <c r="IM670" s="1903" t="str">
        <f t="shared" si="226"/>
        <v/>
      </c>
      <c r="IN670" s="1903" t="str">
        <f t="shared" si="227"/>
        <v/>
      </c>
      <c r="IO670" s="1903" t="str">
        <f t="shared" si="228"/>
        <v/>
      </c>
      <c r="IP670" s="1903" t="str">
        <f t="shared" si="229"/>
        <v/>
      </c>
      <c r="IQ670" s="1903" t="str">
        <f t="shared" si="230"/>
        <v/>
      </c>
      <c r="IR670" s="1903" t="str">
        <f t="shared" si="231"/>
        <v/>
      </c>
      <c r="IS670" s="1903" t="str">
        <f t="shared" si="232"/>
        <v/>
      </c>
      <c r="IT670" s="1903" t="str">
        <f t="shared" si="233"/>
        <v/>
      </c>
      <c r="IU670" s="1903" t="str">
        <f t="shared" si="234"/>
        <v/>
      </c>
      <c r="IV670" s="1903" t="str">
        <f t="shared" si="235"/>
        <v/>
      </c>
      <c r="IW670" s="1903" t="str">
        <f t="shared" si="236"/>
        <v/>
      </c>
      <c r="IX670" s="1903" t="str">
        <f t="shared" si="237"/>
        <v/>
      </c>
      <c r="IY670" s="1903" t="str">
        <f t="shared" si="238"/>
        <v/>
      </c>
      <c r="IZ670" s="1903" t="str">
        <f t="shared" si="239"/>
        <v/>
      </c>
      <c r="JA670" s="1903" t="str">
        <f t="shared" si="240"/>
        <v/>
      </c>
      <c r="JB670" s="1903" t="str">
        <f t="shared" si="241"/>
        <v/>
      </c>
      <c r="JC670" s="1903" t="str">
        <f t="shared" si="242"/>
        <v/>
      </c>
      <c r="JD670" s="1903" t="str">
        <f t="shared" si="243"/>
        <v/>
      </c>
      <c r="JE670" s="1903" t="str">
        <f t="shared" si="244"/>
        <v/>
      </c>
      <c r="JF670" s="1903" t="str">
        <f t="shared" si="245"/>
        <v/>
      </c>
      <c r="JG670" s="1903" t="str">
        <f t="shared" si="246"/>
        <v/>
      </c>
      <c r="JH670" s="1903" t="str">
        <f t="shared" si="247"/>
        <v/>
      </c>
      <c r="JI670" s="1903" t="str">
        <f t="shared" si="248"/>
        <v/>
      </c>
      <c r="JJ670" s="1903" t="str">
        <f t="shared" si="249"/>
        <v/>
      </c>
      <c r="JK670" s="1903" t="str">
        <f t="shared" si="250"/>
        <v/>
      </c>
      <c r="JL670" s="1903" t="str">
        <f t="shared" si="251"/>
        <v/>
      </c>
      <c r="JM670" s="1903" t="str">
        <f t="shared" si="252"/>
        <v/>
      </c>
      <c r="JN670" s="1903" t="str">
        <f t="shared" si="253"/>
        <v/>
      </c>
      <c r="JO670" s="1903" t="str">
        <f t="shared" si="254"/>
        <v/>
      </c>
      <c r="JP670" s="1903" t="str">
        <f t="shared" si="255"/>
        <v/>
      </c>
      <c r="JQ670" s="1903" t="str">
        <f t="shared" si="256"/>
        <v/>
      </c>
      <c r="JR670" s="1903" t="str">
        <f t="shared" si="257"/>
        <v/>
      </c>
      <c r="JS670" s="1903" t="str">
        <f t="shared" si="258"/>
        <v/>
      </c>
      <c r="JT670" s="1903" t="str">
        <f t="shared" si="259"/>
        <v/>
      </c>
      <c r="JU670" s="1903" t="str">
        <f t="shared" si="260"/>
        <v/>
      </c>
      <c r="JV670" s="1903" t="str">
        <f t="shared" si="261"/>
        <v/>
      </c>
      <c r="JW670" s="1903">
        <f t="shared" si="262"/>
        <v>3</v>
      </c>
      <c r="JX670" s="1903" t="str">
        <f t="shared" si="263"/>
        <v/>
      </c>
      <c r="JY670" s="1903" t="str">
        <f t="shared" si="264"/>
        <v/>
      </c>
      <c r="JZ670" s="1903" t="str">
        <f t="shared" si="265"/>
        <v/>
      </c>
      <c r="KA670" s="1903" t="str">
        <f t="shared" si="266"/>
        <v/>
      </c>
      <c r="KB670" s="1903" t="str">
        <f t="shared" si="267"/>
        <v/>
      </c>
      <c r="KC670" s="1903" t="str">
        <f t="shared" si="268"/>
        <v/>
      </c>
      <c r="KD670" s="1903" t="str">
        <f t="shared" si="269"/>
        <v/>
      </c>
      <c r="KE670" s="1903" t="str">
        <f t="shared" si="270"/>
        <v/>
      </c>
      <c r="KF670" s="1903" t="str">
        <f t="shared" si="271"/>
        <v/>
      </c>
      <c r="KG670" s="1903" t="str">
        <f t="shared" si="272"/>
        <v/>
      </c>
      <c r="KH670" s="1903" t="str">
        <f t="shared" si="273"/>
        <v/>
      </c>
      <c r="KI670" s="1903" t="str">
        <f t="shared" si="274"/>
        <v/>
      </c>
      <c r="KJ670" s="1903" t="str">
        <f t="shared" si="275"/>
        <v/>
      </c>
      <c r="KK670" s="1903" t="str">
        <f t="shared" si="276"/>
        <v/>
      </c>
      <c r="KL670" s="1903" t="str">
        <f t="shared" si="277"/>
        <v/>
      </c>
      <c r="KM670" s="1903" t="str">
        <f t="shared" si="278"/>
        <v/>
      </c>
      <c r="KN670" s="1903" t="str">
        <f t="shared" si="279"/>
        <v/>
      </c>
      <c r="KO670" s="1903" t="str">
        <f t="shared" si="280"/>
        <v/>
      </c>
      <c r="KP670" s="1903" t="str">
        <f t="shared" si="281"/>
        <v/>
      </c>
      <c r="KQ670" s="1903" t="str">
        <f t="shared" si="282"/>
        <v/>
      </c>
      <c r="KR670" s="1903" t="str">
        <f t="shared" si="283"/>
        <v/>
      </c>
      <c r="KS670" s="1903" t="str">
        <f t="shared" si="284"/>
        <v/>
      </c>
      <c r="KT670" s="1903" t="str">
        <f t="shared" si="285"/>
        <v/>
      </c>
      <c r="KU670" s="1903" t="str">
        <f t="shared" si="286"/>
        <v/>
      </c>
      <c r="KV670" s="1903" t="str">
        <f t="shared" si="287"/>
        <v/>
      </c>
      <c r="KW670" s="1903" t="str">
        <f t="shared" si="288"/>
        <v/>
      </c>
      <c r="KX670" s="1903" t="str">
        <f t="shared" si="289"/>
        <v/>
      </c>
      <c r="KY670" s="1903" t="str">
        <f t="shared" si="290"/>
        <v/>
      </c>
      <c r="KZ670" s="1903" t="str">
        <f t="shared" si="291"/>
        <v/>
      </c>
      <c r="LA670" s="1903" t="str">
        <f t="shared" si="292"/>
        <v/>
      </c>
      <c r="LB670" s="1903" t="str">
        <f t="shared" si="293"/>
        <v/>
      </c>
      <c r="LC670" s="1903" t="str">
        <f t="shared" si="294"/>
        <v/>
      </c>
      <c r="LD670" s="1903" t="str">
        <f t="shared" si="295"/>
        <v/>
      </c>
      <c r="LE670" s="1903" t="str">
        <f t="shared" si="296"/>
        <v/>
      </c>
      <c r="LF670" s="1903" t="str">
        <f t="shared" si="297"/>
        <v/>
      </c>
      <c r="LG670" s="1750" t="str">
        <f t="shared" si="298"/>
        <v/>
      </c>
      <c r="LH670" s="1750" t="str">
        <f t="shared" si="299"/>
        <v/>
      </c>
      <c r="LI670" s="1750" t="str">
        <f t="shared" si="300"/>
        <v/>
      </c>
      <c r="LJ670" s="1750" t="str">
        <f t="shared" si="301"/>
        <v/>
      </c>
      <c r="LK670" s="1750" t="str">
        <f t="shared" si="302"/>
        <v/>
      </c>
      <c r="LL670" s="357" t="str">
        <f t="shared" si="303"/>
        <v/>
      </c>
      <c r="LM670" s="357" t="str">
        <f t="shared" si="304"/>
        <v/>
      </c>
      <c r="LN670" s="357" t="str">
        <f t="shared" si="305"/>
        <v/>
      </c>
      <c r="LO670" s="357" t="str">
        <f t="shared" si="306"/>
        <v/>
      </c>
      <c r="LP670" s="357" t="str">
        <f t="shared" si="307"/>
        <v/>
      </c>
      <c r="LQ670" s="357" t="str">
        <f t="shared" si="308"/>
        <v/>
      </c>
      <c r="LR670" s="357" t="str">
        <f t="shared" si="309"/>
        <v/>
      </c>
      <c r="LS670" s="357" t="str">
        <f t="shared" si="310"/>
        <v/>
      </c>
      <c r="LT670" s="357" t="str">
        <f t="shared" si="311"/>
        <v/>
      </c>
      <c r="LU670" s="357" t="str">
        <f t="shared" si="312"/>
        <v/>
      </c>
      <c r="LV670" s="357" t="str">
        <f t="shared" si="313"/>
        <v/>
      </c>
      <c r="LW670" s="357" t="str">
        <f t="shared" si="314"/>
        <v/>
      </c>
      <c r="LX670" s="357" t="str">
        <f t="shared" si="315"/>
        <v/>
      </c>
      <c r="LY670" s="357" t="str">
        <f t="shared" si="316"/>
        <v/>
      </c>
      <c r="LZ670" s="357" t="str">
        <f t="shared" si="317"/>
        <v/>
      </c>
      <c r="MA670" s="357" t="str">
        <f t="shared" si="318"/>
        <v/>
      </c>
      <c r="MB670" s="357" t="str">
        <f t="shared" si="319"/>
        <v/>
      </c>
      <c r="MC670" s="357" t="str">
        <f t="shared" si="320"/>
        <v/>
      </c>
      <c r="MD670" s="357" t="str">
        <f t="shared" si="321"/>
        <v/>
      </c>
      <c r="ME670" s="357" t="str">
        <f t="shared" si="322"/>
        <v/>
      </c>
      <c r="MF670" s="1750">
        <f t="shared" si="323"/>
        <v>0</v>
      </c>
      <c r="MG670" s="1750">
        <f t="shared" si="324"/>
        <v>0</v>
      </c>
      <c r="MH670" s="1750">
        <f t="shared" si="325"/>
        <v>0</v>
      </c>
      <c r="MI670" s="1750">
        <f t="shared" si="326"/>
        <v>0</v>
      </c>
      <c r="MJ670" s="1750">
        <f t="shared" si="327"/>
        <v>0</v>
      </c>
      <c r="MK670" s="1750">
        <f t="shared" si="333"/>
        <v>0</v>
      </c>
      <c r="ML670" s="1750">
        <f t="shared" si="334"/>
        <v>0</v>
      </c>
      <c r="MM670" s="1750">
        <f t="shared" si="335"/>
        <v>0</v>
      </c>
      <c r="MN670" s="1750">
        <f t="shared" si="336"/>
        <v>0</v>
      </c>
      <c r="MO670" s="1750">
        <f t="shared" si="337"/>
        <v>3</v>
      </c>
      <c r="MP670" s="1750">
        <f t="shared" si="328"/>
        <v>0</v>
      </c>
      <c r="MQ670" s="1750">
        <f t="shared" si="329"/>
        <v>0</v>
      </c>
      <c r="MR670" s="1750">
        <f t="shared" si="330"/>
        <v>0</v>
      </c>
      <c r="MS670" s="1750">
        <f t="shared" si="331"/>
        <v>0</v>
      </c>
      <c r="MT670" s="1750">
        <f t="shared" si="332"/>
        <v>0</v>
      </c>
      <c r="NP670" s="357" t="s">
        <v>6435</v>
      </c>
    </row>
    <row r="671" spans="1:380" ht="13.9" customHeight="1">
      <c r="A671" s="1901" t="str">
        <f t="shared" si="0"/>
        <v/>
      </c>
      <c r="B671" s="2238">
        <f>'Part V-Revenues &amp; Expenses'!B33</f>
        <v>0</v>
      </c>
      <c r="C671" s="2229">
        <f>'Part V-Revenues &amp; Expenses'!C33</f>
        <v>0</v>
      </c>
      <c r="D671" s="2230">
        <f>'Part V-Revenues &amp; Expenses'!D33</f>
        <v>0</v>
      </c>
      <c r="E671" s="2231">
        <f>'Part V-Revenues &amp; Expenses'!E33</f>
        <v>0</v>
      </c>
      <c r="F671" s="2231">
        <f>'Part V-Revenues &amp; Expenses'!F33</f>
        <v>0</v>
      </c>
      <c r="G671" s="2231">
        <f>'Part V-Revenues &amp; Expenses'!G33</f>
        <v>0</v>
      </c>
      <c r="H671" s="2231">
        <f>'Part V-Revenues &amp; Expenses'!H33</f>
        <v>0</v>
      </c>
      <c r="I671" s="2231">
        <f>'Part V-Revenues &amp; Expenses'!I33</f>
        <v>0</v>
      </c>
      <c r="J671" s="2231">
        <f>'Part V-Revenues &amp; Expenses'!J33</f>
        <v>0</v>
      </c>
      <c r="K671" s="2232">
        <f>'Part V-Revenues &amp; Expenses'!K33</f>
        <v>0</v>
      </c>
      <c r="L671" s="2233">
        <f t="shared" si="340"/>
        <v>0</v>
      </c>
      <c r="M671" s="2233">
        <f t="shared" si="341"/>
        <v>0</v>
      </c>
      <c r="N671" s="2094">
        <f>'Part V-Revenues &amp; Expenses'!N33</f>
        <v>0</v>
      </c>
      <c r="O671" s="2234">
        <f>'Part V-Revenues &amp; Expenses'!O33</f>
        <v>0</v>
      </c>
      <c r="P671" s="2094">
        <f>'Part V-Revenues &amp; Expenses'!P33</f>
        <v>0</v>
      </c>
      <c r="Q671" s="2235">
        <f>'Part V-Revenues &amp; Expenses'!Q33</f>
        <v>0</v>
      </c>
      <c r="R671" s="2236"/>
      <c r="S671" s="2237"/>
      <c r="T671" s="2160"/>
      <c r="U671" s="2160"/>
      <c r="V671" s="2160"/>
      <c r="W671" s="2160"/>
      <c r="X671" s="357" t="str">
        <f t="shared" si="3"/>
        <v/>
      </c>
      <c r="Y671" s="357" t="str">
        <f t="shared" si="4"/>
        <v/>
      </c>
      <c r="Z671" s="357" t="str">
        <f t="shared" si="5"/>
        <v/>
      </c>
      <c r="AA671" s="357" t="str">
        <f t="shared" si="6"/>
        <v/>
      </c>
      <c r="AB671" s="357" t="str">
        <f t="shared" si="7"/>
        <v/>
      </c>
      <c r="AC671" s="357" t="str">
        <f t="shared" si="8"/>
        <v/>
      </c>
      <c r="AD671" s="357" t="str">
        <f t="shared" si="9"/>
        <v/>
      </c>
      <c r="AE671" s="357" t="str">
        <f t="shared" si="10"/>
        <v/>
      </c>
      <c r="AF671" s="357" t="str">
        <f t="shared" si="11"/>
        <v/>
      </c>
      <c r="AG671" s="357" t="str">
        <f t="shared" si="12"/>
        <v/>
      </c>
      <c r="AH671" s="357" t="str">
        <f t="shared" si="13"/>
        <v/>
      </c>
      <c r="AI671" s="357" t="str">
        <f t="shared" si="14"/>
        <v/>
      </c>
      <c r="AJ671" s="357" t="str">
        <f t="shared" si="15"/>
        <v/>
      </c>
      <c r="AK671" s="357" t="str">
        <f t="shared" si="16"/>
        <v/>
      </c>
      <c r="AL671" s="357" t="str">
        <f t="shared" si="17"/>
        <v/>
      </c>
      <c r="AM671" s="357" t="str">
        <f t="shared" si="18"/>
        <v/>
      </c>
      <c r="AN671" s="357" t="str">
        <f t="shared" si="19"/>
        <v/>
      </c>
      <c r="AO671" s="357" t="str">
        <f t="shared" si="20"/>
        <v/>
      </c>
      <c r="AP671" s="357" t="str">
        <f t="shared" si="21"/>
        <v/>
      </c>
      <c r="AQ671" s="357" t="str">
        <f t="shared" si="22"/>
        <v/>
      </c>
      <c r="AR671" s="357" t="str">
        <f t="shared" si="23"/>
        <v/>
      </c>
      <c r="AS671" s="357" t="str">
        <f t="shared" si="24"/>
        <v/>
      </c>
      <c r="AT671" s="357" t="str">
        <f t="shared" si="25"/>
        <v/>
      </c>
      <c r="AU671" s="357" t="str">
        <f t="shared" si="26"/>
        <v/>
      </c>
      <c r="AV671" s="357" t="str">
        <f t="shared" si="27"/>
        <v/>
      </c>
      <c r="AW671" s="357" t="str">
        <f t="shared" si="28"/>
        <v/>
      </c>
      <c r="AX671" s="357" t="str">
        <f t="shared" si="29"/>
        <v/>
      </c>
      <c r="AY671" s="357" t="str">
        <f t="shared" si="30"/>
        <v/>
      </c>
      <c r="AZ671" s="357" t="str">
        <f t="shared" si="31"/>
        <v/>
      </c>
      <c r="BA671" s="357" t="str">
        <f t="shared" si="32"/>
        <v/>
      </c>
      <c r="BB671" s="357" t="str">
        <f t="shared" si="33"/>
        <v/>
      </c>
      <c r="BC671" s="357" t="str">
        <f t="shared" si="34"/>
        <v/>
      </c>
      <c r="BD671" s="357" t="str">
        <f t="shared" si="35"/>
        <v/>
      </c>
      <c r="BE671" s="357" t="str">
        <f t="shared" si="36"/>
        <v/>
      </c>
      <c r="BF671" s="357" t="str">
        <f t="shared" si="37"/>
        <v/>
      </c>
      <c r="BG671" s="357" t="str">
        <f t="shared" si="38"/>
        <v/>
      </c>
      <c r="BH671" s="357" t="str">
        <f t="shared" si="39"/>
        <v/>
      </c>
      <c r="BI671" s="357" t="str">
        <f t="shared" si="40"/>
        <v/>
      </c>
      <c r="BJ671" s="357" t="str">
        <f t="shared" si="41"/>
        <v/>
      </c>
      <c r="BK671" s="357" t="str">
        <f t="shared" si="42"/>
        <v/>
      </c>
      <c r="BL671" s="357" t="str">
        <f t="shared" si="43"/>
        <v/>
      </c>
      <c r="BM671" s="357" t="str">
        <f t="shared" si="44"/>
        <v/>
      </c>
      <c r="BN671" s="357" t="str">
        <f t="shared" si="45"/>
        <v/>
      </c>
      <c r="BO671" s="357" t="str">
        <f t="shared" si="46"/>
        <v/>
      </c>
      <c r="BP671" s="357" t="str">
        <f t="shared" si="47"/>
        <v/>
      </c>
      <c r="BQ671" s="357" t="str">
        <f t="shared" si="48"/>
        <v/>
      </c>
      <c r="BR671" s="357" t="str">
        <f t="shared" si="49"/>
        <v/>
      </c>
      <c r="BS671" s="357" t="str">
        <f t="shared" si="50"/>
        <v/>
      </c>
      <c r="BT671" s="357" t="str">
        <f t="shared" si="51"/>
        <v/>
      </c>
      <c r="BU671" s="357" t="str">
        <f t="shared" si="52"/>
        <v/>
      </c>
      <c r="BV671" s="357" t="str">
        <f t="shared" si="53"/>
        <v/>
      </c>
      <c r="BW671" s="357" t="str">
        <f t="shared" si="54"/>
        <v/>
      </c>
      <c r="BX671" s="357" t="str">
        <f t="shared" si="55"/>
        <v/>
      </c>
      <c r="BY671" s="357" t="str">
        <f t="shared" si="56"/>
        <v/>
      </c>
      <c r="BZ671" s="357" t="str">
        <f t="shared" si="57"/>
        <v/>
      </c>
      <c r="CA671" s="357" t="str">
        <f t="shared" si="58"/>
        <v/>
      </c>
      <c r="CB671" s="357" t="str">
        <f t="shared" si="59"/>
        <v/>
      </c>
      <c r="CC671" s="357" t="str">
        <f t="shared" si="60"/>
        <v/>
      </c>
      <c r="CD671" s="357" t="str">
        <f t="shared" si="61"/>
        <v/>
      </c>
      <c r="CE671" s="357" t="str">
        <f t="shared" si="62"/>
        <v/>
      </c>
      <c r="CF671" s="357" t="str">
        <f t="shared" si="63"/>
        <v/>
      </c>
      <c r="CG671" s="357" t="str">
        <f t="shared" si="64"/>
        <v/>
      </c>
      <c r="CH671" s="357" t="str">
        <f t="shared" si="65"/>
        <v/>
      </c>
      <c r="CI671" s="357" t="str">
        <f t="shared" si="66"/>
        <v/>
      </c>
      <c r="CJ671" s="357" t="str">
        <f t="shared" si="67"/>
        <v/>
      </c>
      <c r="CK671" s="357" t="str">
        <f t="shared" si="68"/>
        <v/>
      </c>
      <c r="CL671" s="357" t="str">
        <f t="shared" si="69"/>
        <v/>
      </c>
      <c r="CM671" s="357" t="str">
        <f t="shared" si="70"/>
        <v/>
      </c>
      <c r="CN671" s="357" t="str">
        <f t="shared" si="71"/>
        <v/>
      </c>
      <c r="CO671" s="357" t="str">
        <f t="shared" si="72"/>
        <v/>
      </c>
      <c r="CP671" s="357" t="str">
        <f t="shared" si="73"/>
        <v/>
      </c>
      <c r="CQ671" s="357" t="str">
        <f t="shared" si="74"/>
        <v/>
      </c>
      <c r="CR671" s="357" t="str">
        <f t="shared" si="75"/>
        <v/>
      </c>
      <c r="CS671" s="357" t="str">
        <f t="shared" si="76"/>
        <v/>
      </c>
      <c r="CT671" s="357" t="str">
        <f t="shared" si="77"/>
        <v/>
      </c>
      <c r="CU671" s="357" t="str">
        <f t="shared" si="78"/>
        <v/>
      </c>
      <c r="CV671" s="357" t="str">
        <f t="shared" si="79"/>
        <v/>
      </c>
      <c r="CW671" s="357" t="str">
        <f t="shared" si="80"/>
        <v/>
      </c>
      <c r="CX671" s="357" t="str">
        <f t="shared" si="81"/>
        <v/>
      </c>
      <c r="CY671" s="357" t="str">
        <f t="shared" si="82"/>
        <v/>
      </c>
      <c r="CZ671" s="357" t="str">
        <f t="shared" si="83"/>
        <v/>
      </c>
      <c r="DA671" s="357" t="str">
        <f t="shared" si="84"/>
        <v/>
      </c>
      <c r="DB671" s="357" t="str">
        <f t="shared" si="85"/>
        <v/>
      </c>
      <c r="DC671" s="357" t="str">
        <f t="shared" si="86"/>
        <v/>
      </c>
      <c r="DD671" s="357" t="str">
        <f t="shared" si="87"/>
        <v/>
      </c>
      <c r="DE671" s="357" t="str">
        <f t="shared" si="88"/>
        <v/>
      </c>
      <c r="DF671" s="357" t="str">
        <f t="shared" si="89"/>
        <v/>
      </c>
      <c r="DG671" s="357" t="str">
        <f t="shared" si="90"/>
        <v/>
      </c>
      <c r="DH671" s="357" t="str">
        <f t="shared" si="91"/>
        <v/>
      </c>
      <c r="DI671" s="357" t="str">
        <f t="shared" si="92"/>
        <v/>
      </c>
      <c r="DJ671" s="357" t="str">
        <f t="shared" si="93"/>
        <v/>
      </c>
      <c r="DK671" s="357" t="str">
        <f t="shared" si="94"/>
        <v/>
      </c>
      <c r="DL671" s="357" t="str">
        <f t="shared" si="95"/>
        <v/>
      </c>
      <c r="DM671" s="357" t="str">
        <f t="shared" si="96"/>
        <v/>
      </c>
      <c r="DN671" s="357" t="str">
        <f t="shared" si="97"/>
        <v/>
      </c>
      <c r="DO671" s="357" t="str">
        <f t="shared" si="98"/>
        <v/>
      </c>
      <c r="DP671" s="357" t="str">
        <f t="shared" si="99"/>
        <v/>
      </c>
      <c r="DQ671" s="357" t="str">
        <f t="shared" si="100"/>
        <v/>
      </c>
      <c r="DR671" s="357" t="str">
        <f t="shared" si="101"/>
        <v/>
      </c>
      <c r="DS671" s="357" t="str">
        <f t="shared" si="102"/>
        <v/>
      </c>
      <c r="DT671" s="357" t="str">
        <f t="shared" si="103"/>
        <v/>
      </c>
      <c r="DU671" s="357" t="str">
        <f t="shared" si="104"/>
        <v/>
      </c>
      <c r="DV671" s="357" t="str">
        <f t="shared" si="105"/>
        <v/>
      </c>
      <c r="DW671" s="357" t="str">
        <f t="shared" si="106"/>
        <v/>
      </c>
      <c r="DX671" s="357" t="str">
        <f t="shared" si="107"/>
        <v/>
      </c>
      <c r="DY671" s="357" t="str">
        <f t="shared" si="108"/>
        <v/>
      </c>
      <c r="DZ671" s="357" t="str">
        <f t="shared" si="109"/>
        <v/>
      </c>
      <c r="EA671" s="357" t="str">
        <f t="shared" si="110"/>
        <v/>
      </c>
      <c r="EB671" s="357" t="str">
        <f t="shared" si="111"/>
        <v/>
      </c>
      <c r="EC671" s="357" t="str">
        <f t="shared" si="112"/>
        <v/>
      </c>
      <c r="ED671" s="357" t="str">
        <f t="shared" si="113"/>
        <v/>
      </c>
      <c r="EE671" s="357" t="str">
        <f t="shared" si="114"/>
        <v/>
      </c>
      <c r="EF671" s="357" t="str">
        <f t="shared" si="115"/>
        <v/>
      </c>
      <c r="EG671" s="357" t="str">
        <f t="shared" si="116"/>
        <v/>
      </c>
      <c r="EH671" s="357" t="str">
        <f t="shared" si="117"/>
        <v/>
      </c>
      <c r="EI671" s="357" t="str">
        <f t="shared" si="118"/>
        <v/>
      </c>
      <c r="EJ671" s="357" t="str">
        <f t="shared" si="119"/>
        <v/>
      </c>
      <c r="EK671" s="357" t="str">
        <f t="shared" si="120"/>
        <v/>
      </c>
      <c r="EL671" s="357" t="str">
        <f t="shared" si="121"/>
        <v/>
      </c>
      <c r="EM671" s="357" t="str">
        <f t="shared" si="122"/>
        <v/>
      </c>
      <c r="EN671" s="357" t="str">
        <f t="shared" si="123"/>
        <v/>
      </c>
      <c r="EO671" s="357" t="str">
        <f t="shared" si="124"/>
        <v/>
      </c>
      <c r="EP671" s="357" t="str">
        <f t="shared" si="125"/>
        <v/>
      </c>
      <c r="EQ671" s="357" t="str">
        <f t="shared" si="126"/>
        <v/>
      </c>
      <c r="ER671" s="357" t="str">
        <f t="shared" si="127"/>
        <v/>
      </c>
      <c r="ES671" s="357" t="str">
        <f t="shared" si="128"/>
        <v/>
      </c>
      <c r="ET671" s="357" t="str">
        <f t="shared" si="129"/>
        <v/>
      </c>
      <c r="EU671" s="357" t="str">
        <f t="shared" si="130"/>
        <v/>
      </c>
      <c r="EV671" s="357" t="str">
        <f t="shared" si="131"/>
        <v/>
      </c>
      <c r="EW671" s="357" t="str">
        <f t="shared" si="132"/>
        <v/>
      </c>
      <c r="EX671" s="357" t="str">
        <f t="shared" si="133"/>
        <v/>
      </c>
      <c r="EY671" s="357" t="str">
        <f t="shared" si="134"/>
        <v/>
      </c>
      <c r="EZ671" s="357" t="str">
        <f t="shared" si="135"/>
        <v/>
      </c>
      <c r="FA671" s="357" t="str">
        <f t="shared" si="136"/>
        <v/>
      </c>
      <c r="FB671" s="357" t="str">
        <f t="shared" si="137"/>
        <v/>
      </c>
      <c r="FC671" s="357" t="str">
        <f t="shared" si="138"/>
        <v/>
      </c>
      <c r="FD671" s="357" t="str">
        <f t="shared" si="139"/>
        <v/>
      </c>
      <c r="FE671" s="357" t="str">
        <f t="shared" si="140"/>
        <v/>
      </c>
      <c r="FF671" s="357" t="str">
        <f t="shared" si="141"/>
        <v/>
      </c>
      <c r="FG671" s="357" t="str">
        <f t="shared" si="142"/>
        <v/>
      </c>
      <c r="FH671" s="357" t="str">
        <f t="shared" si="143"/>
        <v/>
      </c>
      <c r="FI671" s="357" t="str">
        <f t="shared" si="144"/>
        <v/>
      </c>
      <c r="FJ671" s="357" t="str">
        <f t="shared" si="145"/>
        <v/>
      </c>
      <c r="FK671" s="357" t="str">
        <f t="shared" si="146"/>
        <v/>
      </c>
      <c r="FL671" s="357" t="str">
        <f t="shared" si="147"/>
        <v/>
      </c>
      <c r="FM671" s="357" t="str">
        <f t="shared" si="148"/>
        <v/>
      </c>
      <c r="FN671" s="357" t="str">
        <f t="shared" si="149"/>
        <v/>
      </c>
      <c r="FO671" s="357" t="str">
        <f t="shared" si="150"/>
        <v/>
      </c>
      <c r="FP671" s="357" t="str">
        <f t="shared" si="151"/>
        <v/>
      </c>
      <c r="FQ671" s="357" t="str">
        <f t="shared" si="152"/>
        <v/>
      </c>
      <c r="FR671" s="357" t="str">
        <f t="shared" si="153"/>
        <v/>
      </c>
      <c r="FS671" s="357" t="str">
        <f t="shared" si="154"/>
        <v/>
      </c>
      <c r="FT671" s="357" t="str">
        <f t="shared" si="155"/>
        <v/>
      </c>
      <c r="FU671" s="357" t="str">
        <f t="shared" si="156"/>
        <v/>
      </c>
      <c r="FV671" s="357" t="str">
        <f t="shared" si="157"/>
        <v/>
      </c>
      <c r="FW671" s="357" t="str">
        <f t="shared" si="158"/>
        <v/>
      </c>
      <c r="FX671" s="357" t="str">
        <f t="shared" si="159"/>
        <v/>
      </c>
      <c r="FY671" s="357" t="str">
        <f t="shared" si="160"/>
        <v/>
      </c>
      <c r="FZ671" s="357" t="str">
        <f t="shared" si="161"/>
        <v/>
      </c>
      <c r="GA671" s="357" t="str">
        <f t="shared" si="162"/>
        <v/>
      </c>
      <c r="GB671" s="357" t="str">
        <f t="shared" si="163"/>
        <v/>
      </c>
      <c r="GC671" s="357" t="str">
        <f t="shared" si="164"/>
        <v/>
      </c>
      <c r="GD671" s="357" t="str">
        <f t="shared" si="165"/>
        <v/>
      </c>
      <c r="GE671" s="357" t="str">
        <f t="shared" si="166"/>
        <v/>
      </c>
      <c r="GF671" s="357" t="str">
        <f t="shared" si="167"/>
        <v/>
      </c>
      <c r="GG671" s="357" t="str">
        <f t="shared" si="168"/>
        <v/>
      </c>
      <c r="GH671" s="357" t="str">
        <f t="shared" si="169"/>
        <v/>
      </c>
      <c r="GI671" s="357" t="str">
        <f t="shared" si="170"/>
        <v/>
      </c>
      <c r="GJ671" s="357" t="str">
        <f t="shared" si="171"/>
        <v/>
      </c>
      <c r="GK671" s="357" t="str">
        <f t="shared" si="172"/>
        <v/>
      </c>
      <c r="GL671" s="357" t="str">
        <f t="shared" si="173"/>
        <v/>
      </c>
      <c r="GM671" s="357" t="str">
        <f t="shared" si="174"/>
        <v/>
      </c>
      <c r="GN671" s="357" t="str">
        <f t="shared" si="175"/>
        <v/>
      </c>
      <c r="GO671" s="357" t="str">
        <f t="shared" si="176"/>
        <v/>
      </c>
      <c r="GP671" s="357" t="str">
        <f t="shared" si="177"/>
        <v/>
      </c>
      <c r="GQ671" s="357" t="str">
        <f t="shared" si="178"/>
        <v/>
      </c>
      <c r="GR671" s="357" t="str">
        <f t="shared" si="179"/>
        <v/>
      </c>
      <c r="GS671" s="357" t="str">
        <f t="shared" si="180"/>
        <v/>
      </c>
      <c r="GT671" s="357" t="str">
        <f t="shared" si="181"/>
        <v/>
      </c>
      <c r="GU671" s="357" t="str">
        <f t="shared" si="182"/>
        <v/>
      </c>
      <c r="GV671" s="357" t="str">
        <f t="shared" si="183"/>
        <v/>
      </c>
      <c r="GW671" s="357" t="str">
        <f t="shared" si="184"/>
        <v/>
      </c>
      <c r="GX671" s="357" t="str">
        <f t="shared" si="185"/>
        <v/>
      </c>
      <c r="GY671" s="357" t="str">
        <f t="shared" si="186"/>
        <v/>
      </c>
      <c r="GZ671" s="357" t="str">
        <f t="shared" si="187"/>
        <v/>
      </c>
      <c r="HA671" s="357" t="str">
        <f t="shared" si="188"/>
        <v/>
      </c>
      <c r="HB671" s="357" t="str">
        <f t="shared" si="189"/>
        <v/>
      </c>
      <c r="HC671" s="357" t="str">
        <f t="shared" si="190"/>
        <v/>
      </c>
      <c r="HD671" s="357" t="str">
        <f t="shared" si="191"/>
        <v/>
      </c>
      <c r="HE671" s="357" t="str">
        <f t="shared" si="192"/>
        <v/>
      </c>
      <c r="HF671" s="357" t="str">
        <f t="shared" si="193"/>
        <v/>
      </c>
      <c r="HG671" s="357" t="str">
        <f t="shared" si="194"/>
        <v/>
      </c>
      <c r="HH671" s="357" t="str">
        <f t="shared" si="195"/>
        <v/>
      </c>
      <c r="HI671" s="357" t="str">
        <f t="shared" si="196"/>
        <v/>
      </c>
      <c r="HJ671" s="357" t="str">
        <f t="shared" si="197"/>
        <v/>
      </c>
      <c r="HK671" s="357" t="str">
        <f t="shared" si="198"/>
        <v/>
      </c>
      <c r="HL671" s="357" t="str">
        <f t="shared" si="199"/>
        <v/>
      </c>
      <c r="HM671" s="357" t="str">
        <f t="shared" si="200"/>
        <v/>
      </c>
      <c r="HN671" s="357" t="str">
        <f t="shared" si="201"/>
        <v/>
      </c>
      <c r="HO671" s="357" t="str">
        <f t="shared" si="202"/>
        <v/>
      </c>
      <c r="HP671" s="357" t="str">
        <f t="shared" si="203"/>
        <v/>
      </c>
      <c r="HQ671" s="357" t="str">
        <f t="shared" si="204"/>
        <v/>
      </c>
      <c r="HR671" s="357" t="str">
        <f t="shared" si="205"/>
        <v/>
      </c>
      <c r="HS671" s="357" t="str">
        <f t="shared" si="206"/>
        <v/>
      </c>
      <c r="HT671" s="357" t="str">
        <f t="shared" si="207"/>
        <v/>
      </c>
      <c r="HU671" s="357" t="str">
        <f t="shared" si="208"/>
        <v/>
      </c>
      <c r="HV671" s="357" t="str">
        <f t="shared" si="209"/>
        <v/>
      </c>
      <c r="HW671" s="357" t="str">
        <f t="shared" si="210"/>
        <v/>
      </c>
      <c r="HX671" s="357" t="str">
        <f t="shared" si="211"/>
        <v/>
      </c>
      <c r="HY671" s="357" t="str">
        <f t="shared" si="212"/>
        <v/>
      </c>
      <c r="HZ671" s="1903" t="str">
        <f t="shared" si="213"/>
        <v/>
      </c>
      <c r="IA671" s="1903" t="str">
        <f t="shared" si="214"/>
        <v/>
      </c>
      <c r="IB671" s="1903" t="str">
        <f t="shared" si="215"/>
        <v/>
      </c>
      <c r="IC671" s="1903" t="str">
        <f t="shared" si="216"/>
        <v/>
      </c>
      <c r="ID671" s="1903" t="str">
        <f t="shared" si="217"/>
        <v/>
      </c>
      <c r="IE671" s="1903" t="str">
        <f t="shared" si="218"/>
        <v/>
      </c>
      <c r="IF671" s="1903" t="str">
        <f t="shared" si="219"/>
        <v/>
      </c>
      <c r="IG671" s="1903" t="str">
        <f t="shared" si="220"/>
        <v/>
      </c>
      <c r="IH671" s="1903" t="str">
        <f t="shared" si="221"/>
        <v/>
      </c>
      <c r="II671" s="1903" t="str">
        <f t="shared" si="222"/>
        <v/>
      </c>
      <c r="IJ671" s="1903" t="str">
        <f t="shared" si="223"/>
        <v/>
      </c>
      <c r="IK671" s="1903" t="str">
        <f t="shared" si="224"/>
        <v/>
      </c>
      <c r="IL671" s="1903" t="str">
        <f t="shared" si="225"/>
        <v/>
      </c>
      <c r="IM671" s="1903" t="str">
        <f t="shared" si="226"/>
        <v/>
      </c>
      <c r="IN671" s="1903" t="str">
        <f t="shared" si="227"/>
        <v/>
      </c>
      <c r="IO671" s="1903" t="str">
        <f t="shared" si="228"/>
        <v/>
      </c>
      <c r="IP671" s="1903" t="str">
        <f t="shared" si="229"/>
        <v/>
      </c>
      <c r="IQ671" s="1903" t="str">
        <f t="shared" si="230"/>
        <v/>
      </c>
      <c r="IR671" s="1903" t="str">
        <f t="shared" si="231"/>
        <v/>
      </c>
      <c r="IS671" s="1903" t="str">
        <f t="shared" si="232"/>
        <v/>
      </c>
      <c r="IT671" s="1903" t="str">
        <f t="shared" si="233"/>
        <v/>
      </c>
      <c r="IU671" s="1903" t="str">
        <f t="shared" si="234"/>
        <v/>
      </c>
      <c r="IV671" s="1903" t="str">
        <f t="shared" si="235"/>
        <v/>
      </c>
      <c r="IW671" s="1903" t="str">
        <f t="shared" si="236"/>
        <v/>
      </c>
      <c r="IX671" s="1903" t="str">
        <f t="shared" si="237"/>
        <v/>
      </c>
      <c r="IY671" s="1903" t="str">
        <f t="shared" si="238"/>
        <v/>
      </c>
      <c r="IZ671" s="1903" t="str">
        <f t="shared" si="239"/>
        <v/>
      </c>
      <c r="JA671" s="1903" t="str">
        <f t="shared" si="240"/>
        <v/>
      </c>
      <c r="JB671" s="1903" t="str">
        <f t="shared" si="241"/>
        <v/>
      </c>
      <c r="JC671" s="1903" t="str">
        <f t="shared" si="242"/>
        <v/>
      </c>
      <c r="JD671" s="1903" t="str">
        <f t="shared" si="243"/>
        <v/>
      </c>
      <c r="JE671" s="1903" t="str">
        <f t="shared" si="244"/>
        <v/>
      </c>
      <c r="JF671" s="1903" t="str">
        <f t="shared" si="245"/>
        <v/>
      </c>
      <c r="JG671" s="1903" t="str">
        <f t="shared" si="246"/>
        <v/>
      </c>
      <c r="JH671" s="1903" t="str">
        <f t="shared" si="247"/>
        <v/>
      </c>
      <c r="JI671" s="1903" t="str">
        <f t="shared" si="248"/>
        <v/>
      </c>
      <c r="JJ671" s="1903" t="str">
        <f t="shared" si="249"/>
        <v/>
      </c>
      <c r="JK671" s="1903" t="str">
        <f t="shared" si="250"/>
        <v/>
      </c>
      <c r="JL671" s="1903" t="str">
        <f t="shared" si="251"/>
        <v/>
      </c>
      <c r="JM671" s="1903" t="str">
        <f t="shared" si="252"/>
        <v/>
      </c>
      <c r="JN671" s="1903" t="str">
        <f t="shared" si="253"/>
        <v/>
      </c>
      <c r="JO671" s="1903" t="str">
        <f t="shared" si="254"/>
        <v/>
      </c>
      <c r="JP671" s="1903" t="str">
        <f t="shared" si="255"/>
        <v/>
      </c>
      <c r="JQ671" s="1903" t="str">
        <f t="shared" si="256"/>
        <v/>
      </c>
      <c r="JR671" s="1903" t="str">
        <f t="shared" si="257"/>
        <v/>
      </c>
      <c r="JS671" s="1903" t="str">
        <f t="shared" si="258"/>
        <v/>
      </c>
      <c r="JT671" s="1903" t="str">
        <f t="shared" si="259"/>
        <v/>
      </c>
      <c r="JU671" s="1903" t="str">
        <f t="shared" si="260"/>
        <v/>
      </c>
      <c r="JV671" s="1903" t="str">
        <f t="shared" si="261"/>
        <v/>
      </c>
      <c r="JW671" s="1903" t="str">
        <f t="shared" si="262"/>
        <v/>
      </c>
      <c r="JX671" s="1903" t="str">
        <f t="shared" si="263"/>
        <v/>
      </c>
      <c r="JY671" s="1903" t="str">
        <f t="shared" si="264"/>
        <v/>
      </c>
      <c r="JZ671" s="1903" t="str">
        <f t="shared" si="265"/>
        <v/>
      </c>
      <c r="KA671" s="1903" t="str">
        <f t="shared" si="266"/>
        <v/>
      </c>
      <c r="KB671" s="1903" t="str">
        <f t="shared" si="267"/>
        <v/>
      </c>
      <c r="KC671" s="1903" t="str">
        <f t="shared" si="268"/>
        <v/>
      </c>
      <c r="KD671" s="1903" t="str">
        <f t="shared" si="269"/>
        <v/>
      </c>
      <c r="KE671" s="1903" t="str">
        <f t="shared" si="270"/>
        <v/>
      </c>
      <c r="KF671" s="1903" t="str">
        <f t="shared" si="271"/>
        <v/>
      </c>
      <c r="KG671" s="1903" t="str">
        <f t="shared" si="272"/>
        <v/>
      </c>
      <c r="KH671" s="1903" t="str">
        <f t="shared" si="273"/>
        <v/>
      </c>
      <c r="KI671" s="1903" t="str">
        <f t="shared" si="274"/>
        <v/>
      </c>
      <c r="KJ671" s="1903" t="str">
        <f t="shared" si="275"/>
        <v/>
      </c>
      <c r="KK671" s="1903" t="str">
        <f t="shared" si="276"/>
        <v/>
      </c>
      <c r="KL671" s="1903" t="str">
        <f t="shared" si="277"/>
        <v/>
      </c>
      <c r="KM671" s="1903" t="str">
        <f t="shared" si="278"/>
        <v/>
      </c>
      <c r="KN671" s="1903" t="str">
        <f t="shared" si="279"/>
        <v/>
      </c>
      <c r="KO671" s="1903" t="str">
        <f t="shared" si="280"/>
        <v/>
      </c>
      <c r="KP671" s="1903" t="str">
        <f t="shared" si="281"/>
        <v/>
      </c>
      <c r="KQ671" s="1903" t="str">
        <f t="shared" si="282"/>
        <v/>
      </c>
      <c r="KR671" s="1903" t="str">
        <f t="shared" si="283"/>
        <v/>
      </c>
      <c r="KS671" s="1903" t="str">
        <f t="shared" si="284"/>
        <v/>
      </c>
      <c r="KT671" s="1903" t="str">
        <f t="shared" si="285"/>
        <v/>
      </c>
      <c r="KU671" s="1903" t="str">
        <f t="shared" si="286"/>
        <v/>
      </c>
      <c r="KV671" s="1903" t="str">
        <f t="shared" si="287"/>
        <v/>
      </c>
      <c r="KW671" s="1903" t="str">
        <f t="shared" si="288"/>
        <v/>
      </c>
      <c r="KX671" s="1903" t="str">
        <f t="shared" si="289"/>
        <v/>
      </c>
      <c r="KY671" s="1903" t="str">
        <f t="shared" si="290"/>
        <v/>
      </c>
      <c r="KZ671" s="1903" t="str">
        <f t="shared" si="291"/>
        <v/>
      </c>
      <c r="LA671" s="1903" t="str">
        <f t="shared" si="292"/>
        <v/>
      </c>
      <c r="LB671" s="1903" t="str">
        <f t="shared" si="293"/>
        <v/>
      </c>
      <c r="LC671" s="1903" t="str">
        <f t="shared" si="294"/>
        <v/>
      </c>
      <c r="LD671" s="1903" t="str">
        <f t="shared" si="295"/>
        <v/>
      </c>
      <c r="LE671" s="1903" t="str">
        <f t="shared" si="296"/>
        <v/>
      </c>
      <c r="LF671" s="1903" t="str">
        <f t="shared" si="297"/>
        <v/>
      </c>
      <c r="LG671" s="1750" t="str">
        <f t="shared" si="298"/>
        <v/>
      </c>
      <c r="LH671" s="1750" t="str">
        <f t="shared" si="299"/>
        <v/>
      </c>
      <c r="LI671" s="1750" t="str">
        <f t="shared" si="300"/>
        <v/>
      </c>
      <c r="LJ671" s="1750" t="str">
        <f t="shared" si="301"/>
        <v/>
      </c>
      <c r="LK671" s="1750" t="str">
        <f t="shared" si="302"/>
        <v/>
      </c>
      <c r="LL671" s="357" t="str">
        <f t="shared" si="303"/>
        <v/>
      </c>
      <c r="LM671" s="357" t="str">
        <f t="shared" si="304"/>
        <v/>
      </c>
      <c r="LN671" s="357" t="str">
        <f t="shared" si="305"/>
        <v/>
      </c>
      <c r="LO671" s="357" t="str">
        <f t="shared" si="306"/>
        <v/>
      </c>
      <c r="LP671" s="357" t="str">
        <f t="shared" si="307"/>
        <v/>
      </c>
      <c r="LQ671" s="357" t="str">
        <f t="shared" si="308"/>
        <v/>
      </c>
      <c r="LR671" s="357" t="str">
        <f t="shared" si="309"/>
        <v/>
      </c>
      <c r="LS671" s="357" t="str">
        <f t="shared" si="310"/>
        <v/>
      </c>
      <c r="LT671" s="357" t="str">
        <f t="shared" si="311"/>
        <v/>
      </c>
      <c r="LU671" s="357" t="str">
        <f t="shared" si="312"/>
        <v/>
      </c>
      <c r="LV671" s="357" t="str">
        <f t="shared" si="313"/>
        <v/>
      </c>
      <c r="LW671" s="357" t="str">
        <f t="shared" si="314"/>
        <v/>
      </c>
      <c r="LX671" s="357" t="str">
        <f t="shared" si="315"/>
        <v/>
      </c>
      <c r="LY671" s="357" t="str">
        <f t="shared" si="316"/>
        <v/>
      </c>
      <c r="LZ671" s="357" t="str">
        <f t="shared" si="317"/>
        <v/>
      </c>
      <c r="MA671" s="357" t="str">
        <f t="shared" si="318"/>
        <v/>
      </c>
      <c r="MB671" s="357" t="str">
        <f t="shared" si="319"/>
        <v/>
      </c>
      <c r="MC671" s="357" t="str">
        <f t="shared" si="320"/>
        <v/>
      </c>
      <c r="MD671" s="357" t="str">
        <f t="shared" si="321"/>
        <v/>
      </c>
      <c r="ME671" s="357" t="str">
        <f t="shared" si="322"/>
        <v/>
      </c>
      <c r="MF671" s="1750">
        <f t="shared" si="323"/>
        <v>0</v>
      </c>
      <c r="MG671" s="1750">
        <f t="shared" si="324"/>
        <v>0</v>
      </c>
      <c r="MH671" s="1750">
        <f t="shared" si="325"/>
        <v>0</v>
      </c>
      <c r="MI671" s="1750">
        <f t="shared" si="326"/>
        <v>0</v>
      </c>
      <c r="MJ671" s="1750">
        <f t="shared" si="327"/>
        <v>0</v>
      </c>
      <c r="MK671" s="1750">
        <f t="shared" si="333"/>
        <v>0</v>
      </c>
      <c r="ML671" s="1750">
        <f t="shared" si="334"/>
        <v>0</v>
      </c>
      <c r="MM671" s="1750">
        <f t="shared" si="335"/>
        <v>0</v>
      </c>
      <c r="MN671" s="1750">
        <f t="shared" si="336"/>
        <v>0</v>
      </c>
      <c r="MO671" s="1750">
        <f t="shared" si="337"/>
        <v>0</v>
      </c>
      <c r="MP671" s="1750">
        <f t="shared" si="328"/>
        <v>0</v>
      </c>
      <c r="MQ671" s="1750">
        <f t="shared" si="329"/>
        <v>0</v>
      </c>
      <c r="MR671" s="1750">
        <f t="shared" si="330"/>
        <v>0</v>
      </c>
      <c r="MS671" s="1750">
        <f t="shared" si="331"/>
        <v>0</v>
      </c>
      <c r="MT671" s="1750">
        <f t="shared" si="332"/>
        <v>0</v>
      </c>
      <c r="NP671" s="357" t="s">
        <v>6436</v>
      </c>
    </row>
    <row r="672" spans="1:380" ht="13.9" customHeight="1">
      <c r="A672" s="1901" t="str">
        <f t="shared" si="0"/>
        <v/>
      </c>
      <c r="B672" s="2238">
        <f>'Part V-Revenues &amp; Expenses'!B34</f>
        <v>0</v>
      </c>
      <c r="C672" s="2229">
        <f>'Part V-Revenues &amp; Expenses'!C34</f>
        <v>0</v>
      </c>
      <c r="D672" s="2230">
        <f>'Part V-Revenues &amp; Expenses'!D34</f>
        <v>0</v>
      </c>
      <c r="E672" s="2231">
        <f>'Part V-Revenues &amp; Expenses'!E34</f>
        <v>0</v>
      </c>
      <c r="F672" s="2231">
        <f>'Part V-Revenues &amp; Expenses'!F34</f>
        <v>0</v>
      </c>
      <c r="G672" s="2231">
        <f>'Part V-Revenues &amp; Expenses'!G34</f>
        <v>0</v>
      </c>
      <c r="H672" s="2231">
        <f>'Part V-Revenues &amp; Expenses'!H34</f>
        <v>0</v>
      </c>
      <c r="I672" s="2231">
        <f>'Part V-Revenues &amp; Expenses'!I34</f>
        <v>0</v>
      </c>
      <c r="J672" s="2231">
        <f>'Part V-Revenues &amp; Expenses'!J34</f>
        <v>0</v>
      </c>
      <c r="K672" s="2232">
        <f>'Part V-Revenues &amp; Expenses'!K34</f>
        <v>0</v>
      </c>
      <c r="L672" s="2233">
        <f t="shared" si="340"/>
        <v>0</v>
      </c>
      <c r="M672" s="2233">
        <f t="shared" si="341"/>
        <v>0</v>
      </c>
      <c r="N672" s="2094">
        <f>'Part V-Revenues &amp; Expenses'!N34</f>
        <v>0</v>
      </c>
      <c r="O672" s="2234">
        <f>'Part V-Revenues &amp; Expenses'!O34</f>
        <v>0</v>
      </c>
      <c r="P672" s="2094">
        <f>'Part V-Revenues &amp; Expenses'!P34</f>
        <v>0</v>
      </c>
      <c r="Q672" s="2235">
        <f>'Part V-Revenues &amp; Expenses'!Q34</f>
        <v>0</v>
      </c>
      <c r="R672" s="2236"/>
      <c r="S672" s="2237"/>
      <c r="T672" s="2160"/>
      <c r="U672" s="2160"/>
      <c r="V672" s="2160"/>
      <c r="W672" s="2160"/>
      <c r="X672" s="357" t="str">
        <f t="shared" si="3"/>
        <v/>
      </c>
      <c r="Y672" s="357" t="str">
        <f t="shared" si="4"/>
        <v/>
      </c>
      <c r="Z672" s="357" t="str">
        <f t="shared" si="5"/>
        <v/>
      </c>
      <c r="AA672" s="357" t="str">
        <f t="shared" si="6"/>
        <v/>
      </c>
      <c r="AB672" s="357" t="str">
        <f t="shared" si="7"/>
        <v/>
      </c>
      <c r="AC672" s="357" t="str">
        <f t="shared" si="8"/>
        <v/>
      </c>
      <c r="AD672" s="357" t="str">
        <f t="shared" si="9"/>
        <v/>
      </c>
      <c r="AE672" s="357" t="str">
        <f t="shared" si="10"/>
        <v/>
      </c>
      <c r="AF672" s="357" t="str">
        <f t="shared" si="11"/>
        <v/>
      </c>
      <c r="AG672" s="357" t="str">
        <f t="shared" si="12"/>
        <v/>
      </c>
      <c r="AH672" s="357" t="str">
        <f t="shared" si="13"/>
        <v/>
      </c>
      <c r="AI672" s="357" t="str">
        <f t="shared" si="14"/>
        <v/>
      </c>
      <c r="AJ672" s="357" t="str">
        <f t="shared" si="15"/>
        <v/>
      </c>
      <c r="AK672" s="357" t="str">
        <f t="shared" si="16"/>
        <v/>
      </c>
      <c r="AL672" s="357" t="str">
        <f t="shared" si="17"/>
        <v/>
      </c>
      <c r="AM672" s="357" t="str">
        <f t="shared" si="18"/>
        <v/>
      </c>
      <c r="AN672" s="357" t="str">
        <f t="shared" si="19"/>
        <v/>
      </c>
      <c r="AO672" s="357" t="str">
        <f t="shared" si="20"/>
        <v/>
      </c>
      <c r="AP672" s="357" t="str">
        <f t="shared" si="21"/>
        <v/>
      </c>
      <c r="AQ672" s="357" t="str">
        <f t="shared" si="22"/>
        <v/>
      </c>
      <c r="AR672" s="357" t="str">
        <f t="shared" si="23"/>
        <v/>
      </c>
      <c r="AS672" s="357" t="str">
        <f t="shared" si="24"/>
        <v/>
      </c>
      <c r="AT672" s="357" t="str">
        <f t="shared" si="25"/>
        <v/>
      </c>
      <c r="AU672" s="357" t="str">
        <f t="shared" si="26"/>
        <v/>
      </c>
      <c r="AV672" s="357" t="str">
        <f t="shared" si="27"/>
        <v/>
      </c>
      <c r="AW672" s="357" t="str">
        <f t="shared" si="28"/>
        <v/>
      </c>
      <c r="AX672" s="357" t="str">
        <f t="shared" si="29"/>
        <v/>
      </c>
      <c r="AY672" s="357" t="str">
        <f t="shared" si="30"/>
        <v/>
      </c>
      <c r="AZ672" s="357" t="str">
        <f t="shared" si="31"/>
        <v/>
      </c>
      <c r="BA672" s="357" t="str">
        <f t="shared" si="32"/>
        <v/>
      </c>
      <c r="BB672" s="357" t="str">
        <f t="shared" si="33"/>
        <v/>
      </c>
      <c r="BC672" s="357" t="str">
        <f t="shared" si="34"/>
        <v/>
      </c>
      <c r="BD672" s="357" t="str">
        <f t="shared" si="35"/>
        <v/>
      </c>
      <c r="BE672" s="357" t="str">
        <f t="shared" si="36"/>
        <v/>
      </c>
      <c r="BF672" s="357" t="str">
        <f t="shared" si="37"/>
        <v/>
      </c>
      <c r="BG672" s="357" t="str">
        <f t="shared" si="38"/>
        <v/>
      </c>
      <c r="BH672" s="357" t="str">
        <f t="shared" si="39"/>
        <v/>
      </c>
      <c r="BI672" s="357" t="str">
        <f t="shared" si="40"/>
        <v/>
      </c>
      <c r="BJ672" s="357" t="str">
        <f t="shared" si="41"/>
        <v/>
      </c>
      <c r="BK672" s="357" t="str">
        <f t="shared" si="42"/>
        <v/>
      </c>
      <c r="BL672" s="357" t="str">
        <f t="shared" si="43"/>
        <v/>
      </c>
      <c r="BM672" s="357" t="str">
        <f t="shared" si="44"/>
        <v/>
      </c>
      <c r="BN672" s="357" t="str">
        <f t="shared" si="45"/>
        <v/>
      </c>
      <c r="BO672" s="357" t="str">
        <f t="shared" si="46"/>
        <v/>
      </c>
      <c r="BP672" s="357" t="str">
        <f t="shared" si="47"/>
        <v/>
      </c>
      <c r="BQ672" s="357" t="str">
        <f t="shared" si="48"/>
        <v/>
      </c>
      <c r="BR672" s="357" t="str">
        <f t="shared" si="49"/>
        <v/>
      </c>
      <c r="BS672" s="357" t="str">
        <f t="shared" si="50"/>
        <v/>
      </c>
      <c r="BT672" s="357" t="str">
        <f t="shared" si="51"/>
        <v/>
      </c>
      <c r="BU672" s="357" t="str">
        <f t="shared" si="52"/>
        <v/>
      </c>
      <c r="BV672" s="357" t="str">
        <f t="shared" si="53"/>
        <v/>
      </c>
      <c r="BW672" s="357" t="str">
        <f t="shared" si="54"/>
        <v/>
      </c>
      <c r="BX672" s="357" t="str">
        <f t="shared" si="55"/>
        <v/>
      </c>
      <c r="BY672" s="357" t="str">
        <f t="shared" si="56"/>
        <v/>
      </c>
      <c r="BZ672" s="357" t="str">
        <f t="shared" si="57"/>
        <v/>
      </c>
      <c r="CA672" s="357" t="str">
        <f t="shared" si="58"/>
        <v/>
      </c>
      <c r="CB672" s="357" t="str">
        <f t="shared" si="59"/>
        <v/>
      </c>
      <c r="CC672" s="357" t="str">
        <f t="shared" si="60"/>
        <v/>
      </c>
      <c r="CD672" s="357" t="str">
        <f t="shared" si="61"/>
        <v/>
      </c>
      <c r="CE672" s="357" t="str">
        <f t="shared" si="62"/>
        <v/>
      </c>
      <c r="CF672" s="357" t="str">
        <f t="shared" si="63"/>
        <v/>
      </c>
      <c r="CG672" s="357" t="str">
        <f t="shared" si="64"/>
        <v/>
      </c>
      <c r="CH672" s="357" t="str">
        <f t="shared" si="65"/>
        <v/>
      </c>
      <c r="CI672" s="357" t="str">
        <f t="shared" si="66"/>
        <v/>
      </c>
      <c r="CJ672" s="357" t="str">
        <f t="shared" si="67"/>
        <v/>
      </c>
      <c r="CK672" s="357" t="str">
        <f t="shared" si="68"/>
        <v/>
      </c>
      <c r="CL672" s="357" t="str">
        <f t="shared" si="69"/>
        <v/>
      </c>
      <c r="CM672" s="357" t="str">
        <f t="shared" si="70"/>
        <v/>
      </c>
      <c r="CN672" s="357" t="str">
        <f t="shared" si="71"/>
        <v/>
      </c>
      <c r="CO672" s="357" t="str">
        <f t="shared" si="72"/>
        <v/>
      </c>
      <c r="CP672" s="357" t="str">
        <f t="shared" si="73"/>
        <v/>
      </c>
      <c r="CQ672" s="357" t="str">
        <f t="shared" si="74"/>
        <v/>
      </c>
      <c r="CR672" s="357" t="str">
        <f t="shared" si="75"/>
        <v/>
      </c>
      <c r="CS672" s="357" t="str">
        <f t="shared" si="76"/>
        <v/>
      </c>
      <c r="CT672" s="357" t="str">
        <f t="shared" si="77"/>
        <v/>
      </c>
      <c r="CU672" s="357" t="str">
        <f t="shared" si="78"/>
        <v/>
      </c>
      <c r="CV672" s="357" t="str">
        <f t="shared" si="79"/>
        <v/>
      </c>
      <c r="CW672" s="357" t="str">
        <f t="shared" si="80"/>
        <v/>
      </c>
      <c r="CX672" s="357" t="str">
        <f t="shared" si="81"/>
        <v/>
      </c>
      <c r="CY672" s="357" t="str">
        <f t="shared" si="82"/>
        <v/>
      </c>
      <c r="CZ672" s="357" t="str">
        <f t="shared" si="83"/>
        <v/>
      </c>
      <c r="DA672" s="357" t="str">
        <f t="shared" si="84"/>
        <v/>
      </c>
      <c r="DB672" s="357" t="str">
        <f t="shared" si="85"/>
        <v/>
      </c>
      <c r="DC672" s="357" t="str">
        <f t="shared" si="86"/>
        <v/>
      </c>
      <c r="DD672" s="357" t="str">
        <f t="shared" si="87"/>
        <v/>
      </c>
      <c r="DE672" s="357" t="str">
        <f t="shared" si="88"/>
        <v/>
      </c>
      <c r="DF672" s="357" t="str">
        <f t="shared" si="89"/>
        <v/>
      </c>
      <c r="DG672" s="357" t="str">
        <f t="shared" si="90"/>
        <v/>
      </c>
      <c r="DH672" s="357" t="str">
        <f t="shared" si="91"/>
        <v/>
      </c>
      <c r="DI672" s="357" t="str">
        <f t="shared" si="92"/>
        <v/>
      </c>
      <c r="DJ672" s="357" t="str">
        <f t="shared" si="93"/>
        <v/>
      </c>
      <c r="DK672" s="357" t="str">
        <f t="shared" si="94"/>
        <v/>
      </c>
      <c r="DL672" s="357" t="str">
        <f t="shared" si="95"/>
        <v/>
      </c>
      <c r="DM672" s="357" t="str">
        <f t="shared" si="96"/>
        <v/>
      </c>
      <c r="DN672" s="357" t="str">
        <f t="shared" si="97"/>
        <v/>
      </c>
      <c r="DO672" s="357" t="str">
        <f t="shared" si="98"/>
        <v/>
      </c>
      <c r="DP672" s="357" t="str">
        <f t="shared" si="99"/>
        <v/>
      </c>
      <c r="DQ672" s="357" t="str">
        <f t="shared" si="100"/>
        <v/>
      </c>
      <c r="DR672" s="357" t="str">
        <f t="shared" si="101"/>
        <v/>
      </c>
      <c r="DS672" s="357" t="str">
        <f t="shared" si="102"/>
        <v/>
      </c>
      <c r="DT672" s="357" t="str">
        <f t="shared" si="103"/>
        <v/>
      </c>
      <c r="DU672" s="357" t="str">
        <f t="shared" si="104"/>
        <v/>
      </c>
      <c r="DV672" s="357" t="str">
        <f t="shared" si="105"/>
        <v/>
      </c>
      <c r="DW672" s="357" t="str">
        <f t="shared" si="106"/>
        <v/>
      </c>
      <c r="DX672" s="357" t="str">
        <f t="shared" si="107"/>
        <v/>
      </c>
      <c r="DY672" s="357" t="str">
        <f t="shared" si="108"/>
        <v/>
      </c>
      <c r="DZ672" s="357" t="str">
        <f t="shared" si="109"/>
        <v/>
      </c>
      <c r="EA672" s="357" t="str">
        <f t="shared" si="110"/>
        <v/>
      </c>
      <c r="EB672" s="357" t="str">
        <f t="shared" si="111"/>
        <v/>
      </c>
      <c r="EC672" s="357" t="str">
        <f t="shared" si="112"/>
        <v/>
      </c>
      <c r="ED672" s="357" t="str">
        <f t="shared" si="113"/>
        <v/>
      </c>
      <c r="EE672" s="357" t="str">
        <f t="shared" si="114"/>
        <v/>
      </c>
      <c r="EF672" s="357" t="str">
        <f t="shared" si="115"/>
        <v/>
      </c>
      <c r="EG672" s="357" t="str">
        <f t="shared" si="116"/>
        <v/>
      </c>
      <c r="EH672" s="357" t="str">
        <f t="shared" si="117"/>
        <v/>
      </c>
      <c r="EI672" s="357" t="str">
        <f t="shared" si="118"/>
        <v/>
      </c>
      <c r="EJ672" s="357" t="str">
        <f t="shared" si="119"/>
        <v/>
      </c>
      <c r="EK672" s="357" t="str">
        <f t="shared" si="120"/>
        <v/>
      </c>
      <c r="EL672" s="357" t="str">
        <f t="shared" si="121"/>
        <v/>
      </c>
      <c r="EM672" s="357" t="str">
        <f t="shared" si="122"/>
        <v/>
      </c>
      <c r="EN672" s="357" t="str">
        <f t="shared" si="123"/>
        <v/>
      </c>
      <c r="EO672" s="357" t="str">
        <f t="shared" si="124"/>
        <v/>
      </c>
      <c r="EP672" s="357" t="str">
        <f t="shared" si="125"/>
        <v/>
      </c>
      <c r="EQ672" s="357" t="str">
        <f t="shared" si="126"/>
        <v/>
      </c>
      <c r="ER672" s="357" t="str">
        <f t="shared" si="127"/>
        <v/>
      </c>
      <c r="ES672" s="357" t="str">
        <f t="shared" si="128"/>
        <v/>
      </c>
      <c r="ET672" s="357" t="str">
        <f t="shared" si="129"/>
        <v/>
      </c>
      <c r="EU672" s="357" t="str">
        <f t="shared" si="130"/>
        <v/>
      </c>
      <c r="EV672" s="357" t="str">
        <f t="shared" si="131"/>
        <v/>
      </c>
      <c r="EW672" s="357" t="str">
        <f t="shared" si="132"/>
        <v/>
      </c>
      <c r="EX672" s="357" t="str">
        <f t="shared" si="133"/>
        <v/>
      </c>
      <c r="EY672" s="357" t="str">
        <f t="shared" si="134"/>
        <v/>
      </c>
      <c r="EZ672" s="357" t="str">
        <f t="shared" si="135"/>
        <v/>
      </c>
      <c r="FA672" s="357" t="str">
        <f t="shared" si="136"/>
        <v/>
      </c>
      <c r="FB672" s="357" t="str">
        <f t="shared" si="137"/>
        <v/>
      </c>
      <c r="FC672" s="357" t="str">
        <f t="shared" si="138"/>
        <v/>
      </c>
      <c r="FD672" s="357" t="str">
        <f t="shared" si="139"/>
        <v/>
      </c>
      <c r="FE672" s="357" t="str">
        <f t="shared" si="140"/>
        <v/>
      </c>
      <c r="FF672" s="357" t="str">
        <f t="shared" si="141"/>
        <v/>
      </c>
      <c r="FG672" s="357" t="str">
        <f t="shared" si="142"/>
        <v/>
      </c>
      <c r="FH672" s="357" t="str">
        <f t="shared" si="143"/>
        <v/>
      </c>
      <c r="FI672" s="357" t="str">
        <f t="shared" si="144"/>
        <v/>
      </c>
      <c r="FJ672" s="357" t="str">
        <f t="shared" si="145"/>
        <v/>
      </c>
      <c r="FK672" s="357" t="str">
        <f t="shared" si="146"/>
        <v/>
      </c>
      <c r="FL672" s="357" t="str">
        <f t="shared" si="147"/>
        <v/>
      </c>
      <c r="FM672" s="357" t="str">
        <f t="shared" si="148"/>
        <v/>
      </c>
      <c r="FN672" s="357" t="str">
        <f t="shared" si="149"/>
        <v/>
      </c>
      <c r="FO672" s="357" t="str">
        <f t="shared" si="150"/>
        <v/>
      </c>
      <c r="FP672" s="357" t="str">
        <f t="shared" si="151"/>
        <v/>
      </c>
      <c r="FQ672" s="357" t="str">
        <f t="shared" si="152"/>
        <v/>
      </c>
      <c r="FR672" s="357" t="str">
        <f t="shared" si="153"/>
        <v/>
      </c>
      <c r="FS672" s="357" t="str">
        <f t="shared" si="154"/>
        <v/>
      </c>
      <c r="FT672" s="357" t="str">
        <f t="shared" si="155"/>
        <v/>
      </c>
      <c r="FU672" s="357" t="str">
        <f t="shared" si="156"/>
        <v/>
      </c>
      <c r="FV672" s="357" t="str">
        <f t="shared" si="157"/>
        <v/>
      </c>
      <c r="FW672" s="357" t="str">
        <f t="shared" si="158"/>
        <v/>
      </c>
      <c r="FX672" s="357" t="str">
        <f t="shared" si="159"/>
        <v/>
      </c>
      <c r="FY672" s="357" t="str">
        <f t="shared" si="160"/>
        <v/>
      </c>
      <c r="FZ672" s="357" t="str">
        <f t="shared" si="161"/>
        <v/>
      </c>
      <c r="GA672" s="357" t="str">
        <f t="shared" si="162"/>
        <v/>
      </c>
      <c r="GB672" s="357" t="str">
        <f t="shared" si="163"/>
        <v/>
      </c>
      <c r="GC672" s="357" t="str">
        <f t="shared" si="164"/>
        <v/>
      </c>
      <c r="GD672" s="357" t="str">
        <f t="shared" si="165"/>
        <v/>
      </c>
      <c r="GE672" s="357" t="str">
        <f t="shared" si="166"/>
        <v/>
      </c>
      <c r="GF672" s="357" t="str">
        <f t="shared" si="167"/>
        <v/>
      </c>
      <c r="GG672" s="357" t="str">
        <f t="shared" si="168"/>
        <v/>
      </c>
      <c r="GH672" s="357" t="str">
        <f t="shared" si="169"/>
        <v/>
      </c>
      <c r="GI672" s="357" t="str">
        <f t="shared" si="170"/>
        <v/>
      </c>
      <c r="GJ672" s="357" t="str">
        <f t="shared" si="171"/>
        <v/>
      </c>
      <c r="GK672" s="357" t="str">
        <f t="shared" si="172"/>
        <v/>
      </c>
      <c r="GL672" s="357" t="str">
        <f t="shared" si="173"/>
        <v/>
      </c>
      <c r="GM672" s="357" t="str">
        <f t="shared" si="174"/>
        <v/>
      </c>
      <c r="GN672" s="357" t="str">
        <f t="shared" si="175"/>
        <v/>
      </c>
      <c r="GO672" s="357" t="str">
        <f t="shared" si="176"/>
        <v/>
      </c>
      <c r="GP672" s="357" t="str">
        <f t="shared" si="177"/>
        <v/>
      </c>
      <c r="GQ672" s="357" t="str">
        <f t="shared" si="178"/>
        <v/>
      </c>
      <c r="GR672" s="357" t="str">
        <f t="shared" si="179"/>
        <v/>
      </c>
      <c r="GS672" s="357" t="str">
        <f t="shared" si="180"/>
        <v/>
      </c>
      <c r="GT672" s="357" t="str">
        <f t="shared" si="181"/>
        <v/>
      </c>
      <c r="GU672" s="357" t="str">
        <f t="shared" si="182"/>
        <v/>
      </c>
      <c r="GV672" s="357" t="str">
        <f t="shared" si="183"/>
        <v/>
      </c>
      <c r="GW672" s="357" t="str">
        <f t="shared" si="184"/>
        <v/>
      </c>
      <c r="GX672" s="357" t="str">
        <f t="shared" si="185"/>
        <v/>
      </c>
      <c r="GY672" s="357" t="str">
        <f t="shared" si="186"/>
        <v/>
      </c>
      <c r="GZ672" s="357" t="str">
        <f t="shared" si="187"/>
        <v/>
      </c>
      <c r="HA672" s="357" t="str">
        <f t="shared" si="188"/>
        <v/>
      </c>
      <c r="HB672" s="357" t="str">
        <f t="shared" si="189"/>
        <v/>
      </c>
      <c r="HC672" s="357" t="str">
        <f t="shared" si="190"/>
        <v/>
      </c>
      <c r="HD672" s="357" t="str">
        <f t="shared" si="191"/>
        <v/>
      </c>
      <c r="HE672" s="357" t="str">
        <f t="shared" si="192"/>
        <v/>
      </c>
      <c r="HF672" s="357" t="str">
        <f t="shared" si="193"/>
        <v/>
      </c>
      <c r="HG672" s="357" t="str">
        <f t="shared" si="194"/>
        <v/>
      </c>
      <c r="HH672" s="357" t="str">
        <f t="shared" si="195"/>
        <v/>
      </c>
      <c r="HI672" s="357" t="str">
        <f t="shared" si="196"/>
        <v/>
      </c>
      <c r="HJ672" s="357" t="str">
        <f t="shared" si="197"/>
        <v/>
      </c>
      <c r="HK672" s="357" t="str">
        <f t="shared" si="198"/>
        <v/>
      </c>
      <c r="HL672" s="357" t="str">
        <f t="shared" si="199"/>
        <v/>
      </c>
      <c r="HM672" s="357" t="str">
        <f t="shared" si="200"/>
        <v/>
      </c>
      <c r="HN672" s="357" t="str">
        <f t="shared" si="201"/>
        <v/>
      </c>
      <c r="HO672" s="357" t="str">
        <f t="shared" si="202"/>
        <v/>
      </c>
      <c r="HP672" s="357" t="str">
        <f t="shared" si="203"/>
        <v/>
      </c>
      <c r="HQ672" s="357" t="str">
        <f t="shared" si="204"/>
        <v/>
      </c>
      <c r="HR672" s="357" t="str">
        <f t="shared" si="205"/>
        <v/>
      </c>
      <c r="HS672" s="357" t="str">
        <f t="shared" si="206"/>
        <v/>
      </c>
      <c r="HT672" s="357" t="str">
        <f t="shared" si="207"/>
        <v/>
      </c>
      <c r="HU672" s="357" t="str">
        <f t="shared" si="208"/>
        <v/>
      </c>
      <c r="HV672" s="357" t="str">
        <f t="shared" si="209"/>
        <v/>
      </c>
      <c r="HW672" s="357" t="str">
        <f t="shared" si="210"/>
        <v/>
      </c>
      <c r="HX672" s="357" t="str">
        <f t="shared" si="211"/>
        <v/>
      </c>
      <c r="HY672" s="357" t="str">
        <f t="shared" si="212"/>
        <v/>
      </c>
      <c r="HZ672" s="1903" t="str">
        <f t="shared" si="213"/>
        <v/>
      </c>
      <c r="IA672" s="1903" t="str">
        <f t="shared" si="214"/>
        <v/>
      </c>
      <c r="IB672" s="1903" t="str">
        <f t="shared" si="215"/>
        <v/>
      </c>
      <c r="IC672" s="1903" t="str">
        <f t="shared" si="216"/>
        <v/>
      </c>
      <c r="ID672" s="1903" t="str">
        <f t="shared" si="217"/>
        <v/>
      </c>
      <c r="IE672" s="1903" t="str">
        <f t="shared" si="218"/>
        <v/>
      </c>
      <c r="IF672" s="1903" t="str">
        <f t="shared" si="219"/>
        <v/>
      </c>
      <c r="IG672" s="1903" t="str">
        <f t="shared" si="220"/>
        <v/>
      </c>
      <c r="IH672" s="1903" t="str">
        <f t="shared" si="221"/>
        <v/>
      </c>
      <c r="II672" s="1903" t="str">
        <f t="shared" si="222"/>
        <v/>
      </c>
      <c r="IJ672" s="1903" t="str">
        <f t="shared" si="223"/>
        <v/>
      </c>
      <c r="IK672" s="1903" t="str">
        <f t="shared" si="224"/>
        <v/>
      </c>
      <c r="IL672" s="1903" t="str">
        <f t="shared" si="225"/>
        <v/>
      </c>
      <c r="IM672" s="1903" t="str">
        <f t="shared" si="226"/>
        <v/>
      </c>
      <c r="IN672" s="1903" t="str">
        <f t="shared" si="227"/>
        <v/>
      </c>
      <c r="IO672" s="1903" t="str">
        <f t="shared" si="228"/>
        <v/>
      </c>
      <c r="IP672" s="1903" t="str">
        <f t="shared" si="229"/>
        <v/>
      </c>
      <c r="IQ672" s="1903" t="str">
        <f t="shared" si="230"/>
        <v/>
      </c>
      <c r="IR672" s="1903" t="str">
        <f t="shared" si="231"/>
        <v/>
      </c>
      <c r="IS672" s="1903" t="str">
        <f t="shared" si="232"/>
        <v/>
      </c>
      <c r="IT672" s="1903" t="str">
        <f t="shared" si="233"/>
        <v/>
      </c>
      <c r="IU672" s="1903" t="str">
        <f t="shared" si="234"/>
        <v/>
      </c>
      <c r="IV672" s="1903" t="str">
        <f t="shared" si="235"/>
        <v/>
      </c>
      <c r="IW672" s="1903" t="str">
        <f t="shared" si="236"/>
        <v/>
      </c>
      <c r="IX672" s="1903" t="str">
        <f t="shared" si="237"/>
        <v/>
      </c>
      <c r="IY672" s="1903" t="str">
        <f t="shared" si="238"/>
        <v/>
      </c>
      <c r="IZ672" s="1903" t="str">
        <f t="shared" si="239"/>
        <v/>
      </c>
      <c r="JA672" s="1903" t="str">
        <f t="shared" si="240"/>
        <v/>
      </c>
      <c r="JB672" s="1903" t="str">
        <f t="shared" si="241"/>
        <v/>
      </c>
      <c r="JC672" s="1903" t="str">
        <f t="shared" si="242"/>
        <v/>
      </c>
      <c r="JD672" s="1903" t="str">
        <f t="shared" si="243"/>
        <v/>
      </c>
      <c r="JE672" s="1903" t="str">
        <f t="shared" si="244"/>
        <v/>
      </c>
      <c r="JF672" s="1903" t="str">
        <f t="shared" si="245"/>
        <v/>
      </c>
      <c r="JG672" s="1903" t="str">
        <f t="shared" si="246"/>
        <v/>
      </c>
      <c r="JH672" s="1903" t="str">
        <f t="shared" si="247"/>
        <v/>
      </c>
      <c r="JI672" s="1903" t="str">
        <f t="shared" si="248"/>
        <v/>
      </c>
      <c r="JJ672" s="1903" t="str">
        <f t="shared" si="249"/>
        <v/>
      </c>
      <c r="JK672" s="1903" t="str">
        <f t="shared" si="250"/>
        <v/>
      </c>
      <c r="JL672" s="1903" t="str">
        <f t="shared" si="251"/>
        <v/>
      </c>
      <c r="JM672" s="1903" t="str">
        <f t="shared" si="252"/>
        <v/>
      </c>
      <c r="JN672" s="1903" t="str">
        <f t="shared" si="253"/>
        <v/>
      </c>
      <c r="JO672" s="1903" t="str">
        <f t="shared" si="254"/>
        <v/>
      </c>
      <c r="JP672" s="1903" t="str">
        <f t="shared" si="255"/>
        <v/>
      </c>
      <c r="JQ672" s="1903" t="str">
        <f t="shared" si="256"/>
        <v/>
      </c>
      <c r="JR672" s="1903" t="str">
        <f t="shared" si="257"/>
        <v/>
      </c>
      <c r="JS672" s="1903" t="str">
        <f t="shared" si="258"/>
        <v/>
      </c>
      <c r="JT672" s="1903" t="str">
        <f t="shared" si="259"/>
        <v/>
      </c>
      <c r="JU672" s="1903" t="str">
        <f t="shared" si="260"/>
        <v/>
      </c>
      <c r="JV672" s="1903" t="str">
        <f t="shared" si="261"/>
        <v/>
      </c>
      <c r="JW672" s="1903" t="str">
        <f t="shared" si="262"/>
        <v/>
      </c>
      <c r="JX672" s="1903" t="str">
        <f t="shared" si="263"/>
        <v/>
      </c>
      <c r="JY672" s="1903" t="str">
        <f t="shared" si="264"/>
        <v/>
      </c>
      <c r="JZ672" s="1903" t="str">
        <f t="shared" si="265"/>
        <v/>
      </c>
      <c r="KA672" s="1903" t="str">
        <f t="shared" si="266"/>
        <v/>
      </c>
      <c r="KB672" s="1903" t="str">
        <f t="shared" si="267"/>
        <v/>
      </c>
      <c r="KC672" s="1903" t="str">
        <f t="shared" si="268"/>
        <v/>
      </c>
      <c r="KD672" s="1903" t="str">
        <f t="shared" si="269"/>
        <v/>
      </c>
      <c r="KE672" s="1903" t="str">
        <f t="shared" si="270"/>
        <v/>
      </c>
      <c r="KF672" s="1903" t="str">
        <f t="shared" si="271"/>
        <v/>
      </c>
      <c r="KG672" s="1903" t="str">
        <f t="shared" si="272"/>
        <v/>
      </c>
      <c r="KH672" s="1903" t="str">
        <f t="shared" si="273"/>
        <v/>
      </c>
      <c r="KI672" s="1903" t="str">
        <f t="shared" si="274"/>
        <v/>
      </c>
      <c r="KJ672" s="1903" t="str">
        <f t="shared" si="275"/>
        <v/>
      </c>
      <c r="KK672" s="1903" t="str">
        <f t="shared" si="276"/>
        <v/>
      </c>
      <c r="KL672" s="1903" t="str">
        <f t="shared" si="277"/>
        <v/>
      </c>
      <c r="KM672" s="1903" t="str">
        <f t="shared" si="278"/>
        <v/>
      </c>
      <c r="KN672" s="1903" t="str">
        <f t="shared" si="279"/>
        <v/>
      </c>
      <c r="KO672" s="1903" t="str">
        <f t="shared" si="280"/>
        <v/>
      </c>
      <c r="KP672" s="1903" t="str">
        <f t="shared" si="281"/>
        <v/>
      </c>
      <c r="KQ672" s="1903" t="str">
        <f t="shared" si="282"/>
        <v/>
      </c>
      <c r="KR672" s="1903" t="str">
        <f t="shared" si="283"/>
        <v/>
      </c>
      <c r="KS672" s="1903" t="str">
        <f t="shared" si="284"/>
        <v/>
      </c>
      <c r="KT672" s="1903" t="str">
        <f t="shared" si="285"/>
        <v/>
      </c>
      <c r="KU672" s="1903" t="str">
        <f t="shared" si="286"/>
        <v/>
      </c>
      <c r="KV672" s="1903" t="str">
        <f t="shared" si="287"/>
        <v/>
      </c>
      <c r="KW672" s="1903" t="str">
        <f t="shared" si="288"/>
        <v/>
      </c>
      <c r="KX672" s="1903" t="str">
        <f t="shared" si="289"/>
        <v/>
      </c>
      <c r="KY672" s="1903" t="str">
        <f t="shared" si="290"/>
        <v/>
      </c>
      <c r="KZ672" s="1903" t="str">
        <f t="shared" si="291"/>
        <v/>
      </c>
      <c r="LA672" s="1903" t="str">
        <f t="shared" si="292"/>
        <v/>
      </c>
      <c r="LB672" s="1903" t="str">
        <f t="shared" si="293"/>
        <v/>
      </c>
      <c r="LC672" s="1903" t="str">
        <f t="shared" si="294"/>
        <v/>
      </c>
      <c r="LD672" s="1903" t="str">
        <f t="shared" si="295"/>
        <v/>
      </c>
      <c r="LE672" s="1903" t="str">
        <f t="shared" si="296"/>
        <v/>
      </c>
      <c r="LF672" s="1903" t="str">
        <f t="shared" si="297"/>
        <v/>
      </c>
      <c r="LG672" s="1750" t="str">
        <f t="shared" si="298"/>
        <v/>
      </c>
      <c r="LH672" s="1750" t="str">
        <f t="shared" si="299"/>
        <v/>
      </c>
      <c r="LI672" s="1750" t="str">
        <f t="shared" si="300"/>
        <v/>
      </c>
      <c r="LJ672" s="1750" t="str">
        <f t="shared" si="301"/>
        <v/>
      </c>
      <c r="LK672" s="1750" t="str">
        <f t="shared" si="302"/>
        <v/>
      </c>
      <c r="LL672" s="357" t="str">
        <f t="shared" si="303"/>
        <v/>
      </c>
      <c r="LM672" s="357" t="str">
        <f t="shared" si="304"/>
        <v/>
      </c>
      <c r="LN672" s="357" t="str">
        <f t="shared" si="305"/>
        <v/>
      </c>
      <c r="LO672" s="357" t="str">
        <f t="shared" si="306"/>
        <v/>
      </c>
      <c r="LP672" s="357" t="str">
        <f t="shared" si="307"/>
        <v/>
      </c>
      <c r="LQ672" s="357" t="str">
        <f t="shared" si="308"/>
        <v/>
      </c>
      <c r="LR672" s="357" t="str">
        <f t="shared" si="309"/>
        <v/>
      </c>
      <c r="LS672" s="357" t="str">
        <f t="shared" si="310"/>
        <v/>
      </c>
      <c r="LT672" s="357" t="str">
        <f t="shared" si="311"/>
        <v/>
      </c>
      <c r="LU672" s="357" t="str">
        <f t="shared" si="312"/>
        <v/>
      </c>
      <c r="LV672" s="357" t="str">
        <f t="shared" si="313"/>
        <v/>
      </c>
      <c r="LW672" s="357" t="str">
        <f t="shared" si="314"/>
        <v/>
      </c>
      <c r="LX672" s="357" t="str">
        <f t="shared" si="315"/>
        <v/>
      </c>
      <c r="LY672" s="357" t="str">
        <f t="shared" si="316"/>
        <v/>
      </c>
      <c r="LZ672" s="357" t="str">
        <f t="shared" si="317"/>
        <v/>
      </c>
      <c r="MA672" s="357" t="str">
        <f t="shared" si="318"/>
        <v/>
      </c>
      <c r="MB672" s="357" t="str">
        <f t="shared" si="319"/>
        <v/>
      </c>
      <c r="MC672" s="357" t="str">
        <f t="shared" si="320"/>
        <v/>
      </c>
      <c r="MD672" s="357" t="str">
        <f t="shared" si="321"/>
        <v/>
      </c>
      <c r="ME672" s="357" t="str">
        <f t="shared" si="322"/>
        <v/>
      </c>
      <c r="MF672" s="1750">
        <f t="shared" si="323"/>
        <v>0</v>
      </c>
      <c r="MG672" s="1750">
        <f t="shared" si="324"/>
        <v>0</v>
      </c>
      <c r="MH672" s="1750">
        <f t="shared" si="325"/>
        <v>0</v>
      </c>
      <c r="MI672" s="1750">
        <f t="shared" si="326"/>
        <v>0</v>
      </c>
      <c r="MJ672" s="1750">
        <f t="shared" si="327"/>
        <v>0</v>
      </c>
      <c r="MK672" s="1750">
        <f t="shared" si="333"/>
        <v>0</v>
      </c>
      <c r="ML672" s="1750">
        <f t="shared" si="334"/>
        <v>0</v>
      </c>
      <c r="MM672" s="1750">
        <f t="shared" si="335"/>
        <v>0</v>
      </c>
      <c r="MN672" s="1750">
        <f t="shared" si="336"/>
        <v>0</v>
      </c>
      <c r="MO672" s="1750">
        <f t="shared" si="337"/>
        <v>0</v>
      </c>
      <c r="MP672" s="1750">
        <f t="shared" si="328"/>
        <v>0</v>
      </c>
      <c r="MQ672" s="1750">
        <f t="shared" si="329"/>
        <v>0</v>
      </c>
      <c r="MR672" s="1750">
        <f t="shared" si="330"/>
        <v>0</v>
      </c>
      <c r="MS672" s="1750">
        <f t="shared" si="331"/>
        <v>0</v>
      </c>
      <c r="MT672" s="1750">
        <f t="shared" si="332"/>
        <v>0</v>
      </c>
      <c r="NP672" s="357" t="s">
        <v>6437</v>
      </c>
    </row>
    <row r="673" spans="1:380" ht="13.9" customHeight="1">
      <c r="A673" s="1901" t="str">
        <f t="shared" si="0"/>
        <v/>
      </c>
      <c r="B673" s="2238">
        <f>'Part V-Revenues &amp; Expenses'!B35</f>
        <v>0</v>
      </c>
      <c r="C673" s="2229">
        <f>'Part V-Revenues &amp; Expenses'!C35</f>
        <v>0</v>
      </c>
      <c r="D673" s="2230">
        <f>'Part V-Revenues &amp; Expenses'!D35</f>
        <v>0</v>
      </c>
      <c r="E673" s="2231">
        <f>'Part V-Revenues &amp; Expenses'!E35</f>
        <v>0</v>
      </c>
      <c r="F673" s="2231">
        <f>'Part V-Revenues &amp; Expenses'!F35</f>
        <v>0</v>
      </c>
      <c r="G673" s="2231">
        <f>'Part V-Revenues &amp; Expenses'!G35</f>
        <v>0</v>
      </c>
      <c r="H673" s="2231">
        <f>'Part V-Revenues &amp; Expenses'!H35</f>
        <v>0</v>
      </c>
      <c r="I673" s="2231">
        <f>'Part V-Revenues &amp; Expenses'!I35</f>
        <v>0</v>
      </c>
      <c r="J673" s="2231">
        <f>'Part V-Revenues &amp; Expenses'!J35</f>
        <v>0</v>
      </c>
      <c r="K673" s="2232">
        <f>'Part V-Revenues &amp; Expenses'!K35</f>
        <v>0</v>
      </c>
      <c r="L673" s="2233">
        <f t="shared" si="340"/>
        <v>0</v>
      </c>
      <c r="M673" s="2233">
        <f t="shared" si="341"/>
        <v>0</v>
      </c>
      <c r="N673" s="2094">
        <f>'Part V-Revenues &amp; Expenses'!N35</f>
        <v>0</v>
      </c>
      <c r="O673" s="2234">
        <f>'Part V-Revenues &amp; Expenses'!O35</f>
        <v>0</v>
      </c>
      <c r="P673" s="2094">
        <f>'Part V-Revenues &amp; Expenses'!P35</f>
        <v>0</v>
      </c>
      <c r="Q673" s="2235">
        <f>'Part V-Revenues &amp; Expenses'!Q35</f>
        <v>0</v>
      </c>
      <c r="R673" s="2236"/>
      <c r="S673" s="2237"/>
      <c r="T673" s="2160"/>
      <c r="U673" s="2160"/>
      <c r="V673" s="2160"/>
      <c r="W673" s="2160"/>
      <c r="X673" s="357" t="str">
        <f t="shared" si="3"/>
        <v/>
      </c>
      <c r="Y673" s="357" t="str">
        <f t="shared" si="4"/>
        <v/>
      </c>
      <c r="Z673" s="357" t="str">
        <f t="shared" si="5"/>
        <v/>
      </c>
      <c r="AA673" s="357" t="str">
        <f t="shared" si="6"/>
        <v/>
      </c>
      <c r="AB673" s="357" t="str">
        <f t="shared" si="7"/>
        <v/>
      </c>
      <c r="AC673" s="357" t="str">
        <f t="shared" si="8"/>
        <v/>
      </c>
      <c r="AD673" s="357" t="str">
        <f t="shared" si="9"/>
        <v/>
      </c>
      <c r="AE673" s="357" t="str">
        <f t="shared" si="10"/>
        <v/>
      </c>
      <c r="AF673" s="357" t="str">
        <f t="shared" si="11"/>
        <v/>
      </c>
      <c r="AG673" s="357" t="str">
        <f t="shared" si="12"/>
        <v/>
      </c>
      <c r="AH673" s="357" t="str">
        <f t="shared" si="13"/>
        <v/>
      </c>
      <c r="AI673" s="357" t="str">
        <f t="shared" si="14"/>
        <v/>
      </c>
      <c r="AJ673" s="357" t="str">
        <f t="shared" si="15"/>
        <v/>
      </c>
      <c r="AK673" s="357" t="str">
        <f t="shared" si="16"/>
        <v/>
      </c>
      <c r="AL673" s="357" t="str">
        <f t="shared" si="17"/>
        <v/>
      </c>
      <c r="AM673" s="357" t="str">
        <f t="shared" si="18"/>
        <v/>
      </c>
      <c r="AN673" s="357" t="str">
        <f t="shared" si="19"/>
        <v/>
      </c>
      <c r="AO673" s="357" t="str">
        <f t="shared" si="20"/>
        <v/>
      </c>
      <c r="AP673" s="357" t="str">
        <f t="shared" si="21"/>
        <v/>
      </c>
      <c r="AQ673" s="357" t="str">
        <f t="shared" si="22"/>
        <v/>
      </c>
      <c r="AR673" s="357" t="str">
        <f t="shared" si="23"/>
        <v/>
      </c>
      <c r="AS673" s="357" t="str">
        <f t="shared" si="24"/>
        <v/>
      </c>
      <c r="AT673" s="357" t="str">
        <f t="shared" si="25"/>
        <v/>
      </c>
      <c r="AU673" s="357" t="str">
        <f t="shared" si="26"/>
        <v/>
      </c>
      <c r="AV673" s="357" t="str">
        <f t="shared" si="27"/>
        <v/>
      </c>
      <c r="AW673" s="357" t="str">
        <f t="shared" si="28"/>
        <v/>
      </c>
      <c r="AX673" s="357" t="str">
        <f t="shared" si="29"/>
        <v/>
      </c>
      <c r="AY673" s="357" t="str">
        <f t="shared" si="30"/>
        <v/>
      </c>
      <c r="AZ673" s="357" t="str">
        <f t="shared" si="31"/>
        <v/>
      </c>
      <c r="BA673" s="357" t="str">
        <f t="shared" si="32"/>
        <v/>
      </c>
      <c r="BB673" s="357" t="str">
        <f t="shared" si="33"/>
        <v/>
      </c>
      <c r="BC673" s="357" t="str">
        <f t="shared" si="34"/>
        <v/>
      </c>
      <c r="BD673" s="357" t="str">
        <f t="shared" si="35"/>
        <v/>
      </c>
      <c r="BE673" s="357" t="str">
        <f t="shared" si="36"/>
        <v/>
      </c>
      <c r="BF673" s="357" t="str">
        <f t="shared" si="37"/>
        <v/>
      </c>
      <c r="BG673" s="357" t="str">
        <f t="shared" si="38"/>
        <v/>
      </c>
      <c r="BH673" s="357" t="str">
        <f t="shared" si="39"/>
        <v/>
      </c>
      <c r="BI673" s="357" t="str">
        <f t="shared" si="40"/>
        <v/>
      </c>
      <c r="BJ673" s="357" t="str">
        <f t="shared" si="41"/>
        <v/>
      </c>
      <c r="BK673" s="357" t="str">
        <f t="shared" si="42"/>
        <v/>
      </c>
      <c r="BL673" s="357" t="str">
        <f t="shared" si="43"/>
        <v/>
      </c>
      <c r="BM673" s="357" t="str">
        <f t="shared" si="44"/>
        <v/>
      </c>
      <c r="BN673" s="357" t="str">
        <f t="shared" si="45"/>
        <v/>
      </c>
      <c r="BO673" s="357" t="str">
        <f t="shared" si="46"/>
        <v/>
      </c>
      <c r="BP673" s="357" t="str">
        <f t="shared" si="47"/>
        <v/>
      </c>
      <c r="BQ673" s="357" t="str">
        <f t="shared" si="48"/>
        <v/>
      </c>
      <c r="BR673" s="357" t="str">
        <f t="shared" si="49"/>
        <v/>
      </c>
      <c r="BS673" s="357" t="str">
        <f t="shared" si="50"/>
        <v/>
      </c>
      <c r="BT673" s="357" t="str">
        <f t="shared" si="51"/>
        <v/>
      </c>
      <c r="BU673" s="357" t="str">
        <f t="shared" si="52"/>
        <v/>
      </c>
      <c r="BV673" s="357" t="str">
        <f t="shared" si="53"/>
        <v/>
      </c>
      <c r="BW673" s="357" t="str">
        <f t="shared" si="54"/>
        <v/>
      </c>
      <c r="BX673" s="357" t="str">
        <f t="shared" si="55"/>
        <v/>
      </c>
      <c r="BY673" s="357" t="str">
        <f t="shared" si="56"/>
        <v/>
      </c>
      <c r="BZ673" s="357" t="str">
        <f t="shared" si="57"/>
        <v/>
      </c>
      <c r="CA673" s="357" t="str">
        <f t="shared" si="58"/>
        <v/>
      </c>
      <c r="CB673" s="357" t="str">
        <f t="shared" si="59"/>
        <v/>
      </c>
      <c r="CC673" s="357" t="str">
        <f t="shared" si="60"/>
        <v/>
      </c>
      <c r="CD673" s="357" t="str">
        <f t="shared" si="61"/>
        <v/>
      </c>
      <c r="CE673" s="357" t="str">
        <f t="shared" si="62"/>
        <v/>
      </c>
      <c r="CF673" s="357" t="str">
        <f t="shared" si="63"/>
        <v/>
      </c>
      <c r="CG673" s="357" t="str">
        <f t="shared" si="64"/>
        <v/>
      </c>
      <c r="CH673" s="357" t="str">
        <f t="shared" si="65"/>
        <v/>
      </c>
      <c r="CI673" s="357" t="str">
        <f t="shared" si="66"/>
        <v/>
      </c>
      <c r="CJ673" s="357" t="str">
        <f t="shared" si="67"/>
        <v/>
      </c>
      <c r="CK673" s="357" t="str">
        <f t="shared" si="68"/>
        <v/>
      </c>
      <c r="CL673" s="357" t="str">
        <f t="shared" si="69"/>
        <v/>
      </c>
      <c r="CM673" s="357" t="str">
        <f t="shared" si="70"/>
        <v/>
      </c>
      <c r="CN673" s="357" t="str">
        <f t="shared" si="71"/>
        <v/>
      </c>
      <c r="CO673" s="357" t="str">
        <f t="shared" si="72"/>
        <v/>
      </c>
      <c r="CP673" s="357" t="str">
        <f t="shared" si="73"/>
        <v/>
      </c>
      <c r="CQ673" s="357" t="str">
        <f t="shared" si="74"/>
        <v/>
      </c>
      <c r="CR673" s="357" t="str">
        <f t="shared" si="75"/>
        <v/>
      </c>
      <c r="CS673" s="357" t="str">
        <f t="shared" si="76"/>
        <v/>
      </c>
      <c r="CT673" s="357" t="str">
        <f t="shared" si="77"/>
        <v/>
      </c>
      <c r="CU673" s="357" t="str">
        <f t="shared" si="78"/>
        <v/>
      </c>
      <c r="CV673" s="357" t="str">
        <f t="shared" si="79"/>
        <v/>
      </c>
      <c r="CW673" s="357" t="str">
        <f t="shared" si="80"/>
        <v/>
      </c>
      <c r="CX673" s="357" t="str">
        <f t="shared" si="81"/>
        <v/>
      </c>
      <c r="CY673" s="357" t="str">
        <f t="shared" si="82"/>
        <v/>
      </c>
      <c r="CZ673" s="357" t="str">
        <f t="shared" si="83"/>
        <v/>
      </c>
      <c r="DA673" s="357" t="str">
        <f t="shared" si="84"/>
        <v/>
      </c>
      <c r="DB673" s="357" t="str">
        <f t="shared" si="85"/>
        <v/>
      </c>
      <c r="DC673" s="357" t="str">
        <f t="shared" si="86"/>
        <v/>
      </c>
      <c r="DD673" s="357" t="str">
        <f t="shared" si="87"/>
        <v/>
      </c>
      <c r="DE673" s="357" t="str">
        <f t="shared" si="88"/>
        <v/>
      </c>
      <c r="DF673" s="357" t="str">
        <f t="shared" si="89"/>
        <v/>
      </c>
      <c r="DG673" s="357" t="str">
        <f t="shared" si="90"/>
        <v/>
      </c>
      <c r="DH673" s="357" t="str">
        <f t="shared" si="91"/>
        <v/>
      </c>
      <c r="DI673" s="357" t="str">
        <f t="shared" si="92"/>
        <v/>
      </c>
      <c r="DJ673" s="357" t="str">
        <f t="shared" si="93"/>
        <v/>
      </c>
      <c r="DK673" s="357" t="str">
        <f t="shared" si="94"/>
        <v/>
      </c>
      <c r="DL673" s="357" t="str">
        <f t="shared" si="95"/>
        <v/>
      </c>
      <c r="DM673" s="357" t="str">
        <f t="shared" si="96"/>
        <v/>
      </c>
      <c r="DN673" s="357" t="str">
        <f t="shared" si="97"/>
        <v/>
      </c>
      <c r="DO673" s="357" t="str">
        <f t="shared" si="98"/>
        <v/>
      </c>
      <c r="DP673" s="357" t="str">
        <f t="shared" si="99"/>
        <v/>
      </c>
      <c r="DQ673" s="357" t="str">
        <f t="shared" si="100"/>
        <v/>
      </c>
      <c r="DR673" s="357" t="str">
        <f t="shared" si="101"/>
        <v/>
      </c>
      <c r="DS673" s="357" t="str">
        <f t="shared" si="102"/>
        <v/>
      </c>
      <c r="DT673" s="357" t="str">
        <f t="shared" si="103"/>
        <v/>
      </c>
      <c r="DU673" s="357" t="str">
        <f t="shared" si="104"/>
        <v/>
      </c>
      <c r="DV673" s="357" t="str">
        <f t="shared" si="105"/>
        <v/>
      </c>
      <c r="DW673" s="357" t="str">
        <f t="shared" si="106"/>
        <v/>
      </c>
      <c r="DX673" s="357" t="str">
        <f t="shared" si="107"/>
        <v/>
      </c>
      <c r="DY673" s="357" t="str">
        <f t="shared" si="108"/>
        <v/>
      </c>
      <c r="DZ673" s="357" t="str">
        <f t="shared" si="109"/>
        <v/>
      </c>
      <c r="EA673" s="357" t="str">
        <f t="shared" si="110"/>
        <v/>
      </c>
      <c r="EB673" s="357" t="str">
        <f t="shared" si="111"/>
        <v/>
      </c>
      <c r="EC673" s="357" t="str">
        <f t="shared" si="112"/>
        <v/>
      </c>
      <c r="ED673" s="357" t="str">
        <f t="shared" si="113"/>
        <v/>
      </c>
      <c r="EE673" s="357" t="str">
        <f t="shared" si="114"/>
        <v/>
      </c>
      <c r="EF673" s="357" t="str">
        <f t="shared" si="115"/>
        <v/>
      </c>
      <c r="EG673" s="357" t="str">
        <f t="shared" si="116"/>
        <v/>
      </c>
      <c r="EH673" s="357" t="str">
        <f t="shared" si="117"/>
        <v/>
      </c>
      <c r="EI673" s="357" t="str">
        <f t="shared" si="118"/>
        <v/>
      </c>
      <c r="EJ673" s="357" t="str">
        <f t="shared" si="119"/>
        <v/>
      </c>
      <c r="EK673" s="357" t="str">
        <f t="shared" si="120"/>
        <v/>
      </c>
      <c r="EL673" s="357" t="str">
        <f t="shared" si="121"/>
        <v/>
      </c>
      <c r="EM673" s="357" t="str">
        <f t="shared" si="122"/>
        <v/>
      </c>
      <c r="EN673" s="357" t="str">
        <f t="shared" si="123"/>
        <v/>
      </c>
      <c r="EO673" s="357" t="str">
        <f t="shared" si="124"/>
        <v/>
      </c>
      <c r="EP673" s="357" t="str">
        <f t="shared" si="125"/>
        <v/>
      </c>
      <c r="EQ673" s="357" t="str">
        <f t="shared" si="126"/>
        <v/>
      </c>
      <c r="ER673" s="357" t="str">
        <f t="shared" si="127"/>
        <v/>
      </c>
      <c r="ES673" s="357" t="str">
        <f t="shared" si="128"/>
        <v/>
      </c>
      <c r="ET673" s="357" t="str">
        <f t="shared" si="129"/>
        <v/>
      </c>
      <c r="EU673" s="357" t="str">
        <f t="shared" si="130"/>
        <v/>
      </c>
      <c r="EV673" s="357" t="str">
        <f t="shared" si="131"/>
        <v/>
      </c>
      <c r="EW673" s="357" t="str">
        <f t="shared" si="132"/>
        <v/>
      </c>
      <c r="EX673" s="357" t="str">
        <f t="shared" si="133"/>
        <v/>
      </c>
      <c r="EY673" s="357" t="str">
        <f t="shared" si="134"/>
        <v/>
      </c>
      <c r="EZ673" s="357" t="str">
        <f t="shared" si="135"/>
        <v/>
      </c>
      <c r="FA673" s="357" t="str">
        <f t="shared" si="136"/>
        <v/>
      </c>
      <c r="FB673" s="357" t="str">
        <f t="shared" si="137"/>
        <v/>
      </c>
      <c r="FC673" s="357" t="str">
        <f t="shared" si="138"/>
        <v/>
      </c>
      <c r="FD673" s="357" t="str">
        <f t="shared" si="139"/>
        <v/>
      </c>
      <c r="FE673" s="357" t="str">
        <f t="shared" si="140"/>
        <v/>
      </c>
      <c r="FF673" s="357" t="str">
        <f t="shared" si="141"/>
        <v/>
      </c>
      <c r="FG673" s="357" t="str">
        <f t="shared" si="142"/>
        <v/>
      </c>
      <c r="FH673" s="357" t="str">
        <f t="shared" si="143"/>
        <v/>
      </c>
      <c r="FI673" s="357" t="str">
        <f t="shared" si="144"/>
        <v/>
      </c>
      <c r="FJ673" s="357" t="str">
        <f t="shared" si="145"/>
        <v/>
      </c>
      <c r="FK673" s="357" t="str">
        <f t="shared" si="146"/>
        <v/>
      </c>
      <c r="FL673" s="357" t="str">
        <f t="shared" si="147"/>
        <v/>
      </c>
      <c r="FM673" s="357" t="str">
        <f t="shared" si="148"/>
        <v/>
      </c>
      <c r="FN673" s="357" t="str">
        <f t="shared" si="149"/>
        <v/>
      </c>
      <c r="FO673" s="357" t="str">
        <f t="shared" si="150"/>
        <v/>
      </c>
      <c r="FP673" s="357" t="str">
        <f t="shared" si="151"/>
        <v/>
      </c>
      <c r="FQ673" s="357" t="str">
        <f t="shared" si="152"/>
        <v/>
      </c>
      <c r="FR673" s="357" t="str">
        <f t="shared" si="153"/>
        <v/>
      </c>
      <c r="FS673" s="357" t="str">
        <f t="shared" si="154"/>
        <v/>
      </c>
      <c r="FT673" s="357" t="str">
        <f t="shared" si="155"/>
        <v/>
      </c>
      <c r="FU673" s="357" t="str">
        <f t="shared" si="156"/>
        <v/>
      </c>
      <c r="FV673" s="357" t="str">
        <f t="shared" si="157"/>
        <v/>
      </c>
      <c r="FW673" s="357" t="str">
        <f t="shared" si="158"/>
        <v/>
      </c>
      <c r="FX673" s="357" t="str">
        <f t="shared" si="159"/>
        <v/>
      </c>
      <c r="FY673" s="357" t="str">
        <f t="shared" si="160"/>
        <v/>
      </c>
      <c r="FZ673" s="357" t="str">
        <f t="shared" si="161"/>
        <v/>
      </c>
      <c r="GA673" s="357" t="str">
        <f t="shared" si="162"/>
        <v/>
      </c>
      <c r="GB673" s="357" t="str">
        <f t="shared" si="163"/>
        <v/>
      </c>
      <c r="GC673" s="357" t="str">
        <f t="shared" si="164"/>
        <v/>
      </c>
      <c r="GD673" s="357" t="str">
        <f t="shared" si="165"/>
        <v/>
      </c>
      <c r="GE673" s="357" t="str">
        <f t="shared" si="166"/>
        <v/>
      </c>
      <c r="GF673" s="357" t="str">
        <f t="shared" si="167"/>
        <v/>
      </c>
      <c r="GG673" s="357" t="str">
        <f t="shared" si="168"/>
        <v/>
      </c>
      <c r="GH673" s="357" t="str">
        <f t="shared" si="169"/>
        <v/>
      </c>
      <c r="GI673" s="357" t="str">
        <f t="shared" si="170"/>
        <v/>
      </c>
      <c r="GJ673" s="357" t="str">
        <f t="shared" si="171"/>
        <v/>
      </c>
      <c r="GK673" s="357" t="str">
        <f t="shared" si="172"/>
        <v/>
      </c>
      <c r="GL673" s="357" t="str">
        <f t="shared" si="173"/>
        <v/>
      </c>
      <c r="GM673" s="357" t="str">
        <f t="shared" si="174"/>
        <v/>
      </c>
      <c r="GN673" s="357" t="str">
        <f t="shared" si="175"/>
        <v/>
      </c>
      <c r="GO673" s="357" t="str">
        <f t="shared" si="176"/>
        <v/>
      </c>
      <c r="GP673" s="357" t="str">
        <f t="shared" si="177"/>
        <v/>
      </c>
      <c r="GQ673" s="357" t="str">
        <f t="shared" si="178"/>
        <v/>
      </c>
      <c r="GR673" s="357" t="str">
        <f t="shared" si="179"/>
        <v/>
      </c>
      <c r="GS673" s="357" t="str">
        <f t="shared" si="180"/>
        <v/>
      </c>
      <c r="GT673" s="357" t="str">
        <f t="shared" si="181"/>
        <v/>
      </c>
      <c r="GU673" s="357" t="str">
        <f t="shared" si="182"/>
        <v/>
      </c>
      <c r="GV673" s="357" t="str">
        <f t="shared" si="183"/>
        <v/>
      </c>
      <c r="GW673" s="357" t="str">
        <f t="shared" si="184"/>
        <v/>
      </c>
      <c r="GX673" s="357" t="str">
        <f t="shared" si="185"/>
        <v/>
      </c>
      <c r="GY673" s="357" t="str">
        <f t="shared" si="186"/>
        <v/>
      </c>
      <c r="GZ673" s="357" t="str">
        <f t="shared" si="187"/>
        <v/>
      </c>
      <c r="HA673" s="357" t="str">
        <f t="shared" si="188"/>
        <v/>
      </c>
      <c r="HB673" s="357" t="str">
        <f t="shared" si="189"/>
        <v/>
      </c>
      <c r="HC673" s="357" t="str">
        <f t="shared" si="190"/>
        <v/>
      </c>
      <c r="HD673" s="357" t="str">
        <f t="shared" si="191"/>
        <v/>
      </c>
      <c r="HE673" s="357" t="str">
        <f t="shared" si="192"/>
        <v/>
      </c>
      <c r="HF673" s="357" t="str">
        <f t="shared" si="193"/>
        <v/>
      </c>
      <c r="HG673" s="357" t="str">
        <f t="shared" si="194"/>
        <v/>
      </c>
      <c r="HH673" s="357" t="str">
        <f t="shared" si="195"/>
        <v/>
      </c>
      <c r="HI673" s="357" t="str">
        <f t="shared" si="196"/>
        <v/>
      </c>
      <c r="HJ673" s="357" t="str">
        <f t="shared" si="197"/>
        <v/>
      </c>
      <c r="HK673" s="357" t="str">
        <f t="shared" si="198"/>
        <v/>
      </c>
      <c r="HL673" s="357" t="str">
        <f t="shared" si="199"/>
        <v/>
      </c>
      <c r="HM673" s="357" t="str">
        <f t="shared" si="200"/>
        <v/>
      </c>
      <c r="HN673" s="357" t="str">
        <f t="shared" si="201"/>
        <v/>
      </c>
      <c r="HO673" s="357" t="str">
        <f t="shared" si="202"/>
        <v/>
      </c>
      <c r="HP673" s="357" t="str">
        <f t="shared" si="203"/>
        <v/>
      </c>
      <c r="HQ673" s="357" t="str">
        <f t="shared" si="204"/>
        <v/>
      </c>
      <c r="HR673" s="357" t="str">
        <f t="shared" si="205"/>
        <v/>
      </c>
      <c r="HS673" s="357" t="str">
        <f t="shared" si="206"/>
        <v/>
      </c>
      <c r="HT673" s="357" t="str">
        <f t="shared" si="207"/>
        <v/>
      </c>
      <c r="HU673" s="357" t="str">
        <f t="shared" si="208"/>
        <v/>
      </c>
      <c r="HV673" s="357" t="str">
        <f t="shared" si="209"/>
        <v/>
      </c>
      <c r="HW673" s="357" t="str">
        <f t="shared" si="210"/>
        <v/>
      </c>
      <c r="HX673" s="357" t="str">
        <f t="shared" si="211"/>
        <v/>
      </c>
      <c r="HY673" s="357" t="str">
        <f t="shared" si="212"/>
        <v/>
      </c>
      <c r="HZ673" s="1903" t="str">
        <f t="shared" si="213"/>
        <v/>
      </c>
      <c r="IA673" s="1903" t="str">
        <f t="shared" si="214"/>
        <v/>
      </c>
      <c r="IB673" s="1903" t="str">
        <f t="shared" si="215"/>
        <v/>
      </c>
      <c r="IC673" s="1903" t="str">
        <f t="shared" si="216"/>
        <v/>
      </c>
      <c r="ID673" s="1903" t="str">
        <f t="shared" si="217"/>
        <v/>
      </c>
      <c r="IE673" s="1903" t="str">
        <f t="shared" si="218"/>
        <v/>
      </c>
      <c r="IF673" s="1903" t="str">
        <f t="shared" si="219"/>
        <v/>
      </c>
      <c r="IG673" s="1903" t="str">
        <f t="shared" si="220"/>
        <v/>
      </c>
      <c r="IH673" s="1903" t="str">
        <f t="shared" si="221"/>
        <v/>
      </c>
      <c r="II673" s="1903" t="str">
        <f t="shared" si="222"/>
        <v/>
      </c>
      <c r="IJ673" s="1903" t="str">
        <f t="shared" si="223"/>
        <v/>
      </c>
      <c r="IK673" s="1903" t="str">
        <f t="shared" si="224"/>
        <v/>
      </c>
      <c r="IL673" s="1903" t="str">
        <f t="shared" si="225"/>
        <v/>
      </c>
      <c r="IM673" s="1903" t="str">
        <f t="shared" si="226"/>
        <v/>
      </c>
      <c r="IN673" s="1903" t="str">
        <f t="shared" si="227"/>
        <v/>
      </c>
      <c r="IO673" s="1903" t="str">
        <f t="shared" si="228"/>
        <v/>
      </c>
      <c r="IP673" s="1903" t="str">
        <f t="shared" si="229"/>
        <v/>
      </c>
      <c r="IQ673" s="1903" t="str">
        <f t="shared" si="230"/>
        <v/>
      </c>
      <c r="IR673" s="1903" t="str">
        <f t="shared" si="231"/>
        <v/>
      </c>
      <c r="IS673" s="1903" t="str">
        <f t="shared" si="232"/>
        <v/>
      </c>
      <c r="IT673" s="1903" t="str">
        <f t="shared" si="233"/>
        <v/>
      </c>
      <c r="IU673" s="1903" t="str">
        <f t="shared" si="234"/>
        <v/>
      </c>
      <c r="IV673" s="1903" t="str">
        <f t="shared" si="235"/>
        <v/>
      </c>
      <c r="IW673" s="1903" t="str">
        <f t="shared" si="236"/>
        <v/>
      </c>
      <c r="IX673" s="1903" t="str">
        <f t="shared" si="237"/>
        <v/>
      </c>
      <c r="IY673" s="1903" t="str">
        <f t="shared" si="238"/>
        <v/>
      </c>
      <c r="IZ673" s="1903" t="str">
        <f t="shared" si="239"/>
        <v/>
      </c>
      <c r="JA673" s="1903" t="str">
        <f t="shared" si="240"/>
        <v/>
      </c>
      <c r="JB673" s="1903" t="str">
        <f t="shared" si="241"/>
        <v/>
      </c>
      <c r="JC673" s="1903" t="str">
        <f t="shared" si="242"/>
        <v/>
      </c>
      <c r="JD673" s="1903" t="str">
        <f t="shared" si="243"/>
        <v/>
      </c>
      <c r="JE673" s="1903" t="str">
        <f t="shared" si="244"/>
        <v/>
      </c>
      <c r="JF673" s="1903" t="str">
        <f t="shared" si="245"/>
        <v/>
      </c>
      <c r="JG673" s="1903" t="str">
        <f t="shared" si="246"/>
        <v/>
      </c>
      <c r="JH673" s="1903" t="str">
        <f t="shared" si="247"/>
        <v/>
      </c>
      <c r="JI673" s="1903" t="str">
        <f t="shared" si="248"/>
        <v/>
      </c>
      <c r="JJ673" s="1903" t="str">
        <f t="shared" si="249"/>
        <v/>
      </c>
      <c r="JK673" s="1903" t="str">
        <f t="shared" si="250"/>
        <v/>
      </c>
      <c r="JL673" s="1903" t="str">
        <f t="shared" si="251"/>
        <v/>
      </c>
      <c r="JM673" s="1903" t="str">
        <f t="shared" si="252"/>
        <v/>
      </c>
      <c r="JN673" s="1903" t="str">
        <f t="shared" si="253"/>
        <v/>
      </c>
      <c r="JO673" s="1903" t="str">
        <f t="shared" si="254"/>
        <v/>
      </c>
      <c r="JP673" s="1903" t="str">
        <f t="shared" si="255"/>
        <v/>
      </c>
      <c r="JQ673" s="1903" t="str">
        <f t="shared" si="256"/>
        <v/>
      </c>
      <c r="JR673" s="1903" t="str">
        <f t="shared" si="257"/>
        <v/>
      </c>
      <c r="JS673" s="1903" t="str">
        <f t="shared" si="258"/>
        <v/>
      </c>
      <c r="JT673" s="1903" t="str">
        <f t="shared" si="259"/>
        <v/>
      </c>
      <c r="JU673" s="1903" t="str">
        <f t="shared" si="260"/>
        <v/>
      </c>
      <c r="JV673" s="1903" t="str">
        <f t="shared" si="261"/>
        <v/>
      </c>
      <c r="JW673" s="1903" t="str">
        <f t="shared" si="262"/>
        <v/>
      </c>
      <c r="JX673" s="1903" t="str">
        <f t="shared" si="263"/>
        <v/>
      </c>
      <c r="JY673" s="1903" t="str">
        <f t="shared" si="264"/>
        <v/>
      </c>
      <c r="JZ673" s="1903" t="str">
        <f t="shared" si="265"/>
        <v/>
      </c>
      <c r="KA673" s="1903" t="str">
        <f t="shared" si="266"/>
        <v/>
      </c>
      <c r="KB673" s="1903" t="str">
        <f t="shared" si="267"/>
        <v/>
      </c>
      <c r="KC673" s="1903" t="str">
        <f t="shared" si="268"/>
        <v/>
      </c>
      <c r="KD673" s="1903" t="str">
        <f t="shared" si="269"/>
        <v/>
      </c>
      <c r="KE673" s="1903" t="str">
        <f t="shared" si="270"/>
        <v/>
      </c>
      <c r="KF673" s="1903" t="str">
        <f t="shared" si="271"/>
        <v/>
      </c>
      <c r="KG673" s="1903" t="str">
        <f t="shared" si="272"/>
        <v/>
      </c>
      <c r="KH673" s="1903" t="str">
        <f t="shared" si="273"/>
        <v/>
      </c>
      <c r="KI673" s="1903" t="str">
        <f t="shared" si="274"/>
        <v/>
      </c>
      <c r="KJ673" s="1903" t="str">
        <f t="shared" si="275"/>
        <v/>
      </c>
      <c r="KK673" s="1903" t="str">
        <f t="shared" si="276"/>
        <v/>
      </c>
      <c r="KL673" s="1903" t="str">
        <f t="shared" si="277"/>
        <v/>
      </c>
      <c r="KM673" s="1903" t="str">
        <f t="shared" si="278"/>
        <v/>
      </c>
      <c r="KN673" s="1903" t="str">
        <f t="shared" si="279"/>
        <v/>
      </c>
      <c r="KO673" s="1903" t="str">
        <f t="shared" si="280"/>
        <v/>
      </c>
      <c r="KP673" s="1903" t="str">
        <f t="shared" si="281"/>
        <v/>
      </c>
      <c r="KQ673" s="1903" t="str">
        <f t="shared" si="282"/>
        <v/>
      </c>
      <c r="KR673" s="1903" t="str">
        <f t="shared" si="283"/>
        <v/>
      </c>
      <c r="KS673" s="1903" t="str">
        <f t="shared" si="284"/>
        <v/>
      </c>
      <c r="KT673" s="1903" t="str">
        <f t="shared" si="285"/>
        <v/>
      </c>
      <c r="KU673" s="1903" t="str">
        <f t="shared" si="286"/>
        <v/>
      </c>
      <c r="KV673" s="1903" t="str">
        <f t="shared" si="287"/>
        <v/>
      </c>
      <c r="KW673" s="1903" t="str">
        <f t="shared" si="288"/>
        <v/>
      </c>
      <c r="KX673" s="1903" t="str">
        <f t="shared" si="289"/>
        <v/>
      </c>
      <c r="KY673" s="1903" t="str">
        <f t="shared" si="290"/>
        <v/>
      </c>
      <c r="KZ673" s="1903" t="str">
        <f t="shared" si="291"/>
        <v/>
      </c>
      <c r="LA673" s="1903" t="str">
        <f t="shared" si="292"/>
        <v/>
      </c>
      <c r="LB673" s="1903" t="str">
        <f t="shared" si="293"/>
        <v/>
      </c>
      <c r="LC673" s="1903" t="str">
        <f t="shared" si="294"/>
        <v/>
      </c>
      <c r="LD673" s="1903" t="str">
        <f t="shared" si="295"/>
        <v/>
      </c>
      <c r="LE673" s="1903" t="str">
        <f t="shared" si="296"/>
        <v/>
      </c>
      <c r="LF673" s="1903" t="str">
        <f t="shared" si="297"/>
        <v/>
      </c>
      <c r="LG673" s="1750" t="str">
        <f t="shared" si="298"/>
        <v/>
      </c>
      <c r="LH673" s="1750" t="str">
        <f t="shared" si="299"/>
        <v/>
      </c>
      <c r="LI673" s="1750" t="str">
        <f t="shared" si="300"/>
        <v/>
      </c>
      <c r="LJ673" s="1750" t="str">
        <f t="shared" si="301"/>
        <v/>
      </c>
      <c r="LK673" s="1750" t="str">
        <f t="shared" si="302"/>
        <v/>
      </c>
      <c r="LL673" s="357" t="str">
        <f t="shared" si="303"/>
        <v/>
      </c>
      <c r="LM673" s="357" t="str">
        <f t="shared" si="304"/>
        <v/>
      </c>
      <c r="LN673" s="357" t="str">
        <f t="shared" si="305"/>
        <v/>
      </c>
      <c r="LO673" s="357" t="str">
        <f t="shared" si="306"/>
        <v/>
      </c>
      <c r="LP673" s="357" t="str">
        <f t="shared" si="307"/>
        <v/>
      </c>
      <c r="LQ673" s="357" t="str">
        <f t="shared" si="308"/>
        <v/>
      </c>
      <c r="LR673" s="357" t="str">
        <f t="shared" si="309"/>
        <v/>
      </c>
      <c r="LS673" s="357" t="str">
        <f t="shared" si="310"/>
        <v/>
      </c>
      <c r="LT673" s="357" t="str">
        <f t="shared" si="311"/>
        <v/>
      </c>
      <c r="LU673" s="357" t="str">
        <f t="shared" si="312"/>
        <v/>
      </c>
      <c r="LV673" s="357" t="str">
        <f t="shared" si="313"/>
        <v/>
      </c>
      <c r="LW673" s="357" t="str">
        <f t="shared" si="314"/>
        <v/>
      </c>
      <c r="LX673" s="357" t="str">
        <f t="shared" si="315"/>
        <v/>
      </c>
      <c r="LY673" s="357" t="str">
        <f t="shared" si="316"/>
        <v/>
      </c>
      <c r="LZ673" s="357" t="str">
        <f t="shared" si="317"/>
        <v/>
      </c>
      <c r="MA673" s="357" t="str">
        <f t="shared" si="318"/>
        <v/>
      </c>
      <c r="MB673" s="357" t="str">
        <f t="shared" si="319"/>
        <v/>
      </c>
      <c r="MC673" s="357" t="str">
        <f t="shared" si="320"/>
        <v/>
      </c>
      <c r="MD673" s="357" t="str">
        <f t="shared" si="321"/>
        <v/>
      </c>
      <c r="ME673" s="357" t="str">
        <f t="shared" si="322"/>
        <v/>
      </c>
      <c r="MF673" s="1750">
        <f t="shared" si="323"/>
        <v>0</v>
      </c>
      <c r="MG673" s="1750">
        <f t="shared" si="324"/>
        <v>0</v>
      </c>
      <c r="MH673" s="1750">
        <f t="shared" si="325"/>
        <v>0</v>
      </c>
      <c r="MI673" s="1750">
        <f t="shared" si="326"/>
        <v>0</v>
      </c>
      <c r="MJ673" s="1750">
        <f t="shared" si="327"/>
        <v>0</v>
      </c>
      <c r="MK673" s="1750">
        <f t="shared" si="333"/>
        <v>0</v>
      </c>
      <c r="ML673" s="1750">
        <f t="shared" si="334"/>
        <v>0</v>
      </c>
      <c r="MM673" s="1750">
        <f t="shared" si="335"/>
        <v>0</v>
      </c>
      <c r="MN673" s="1750">
        <f t="shared" si="336"/>
        <v>0</v>
      </c>
      <c r="MO673" s="1750">
        <f t="shared" si="337"/>
        <v>0</v>
      </c>
      <c r="MP673" s="1750">
        <f t="shared" si="328"/>
        <v>0</v>
      </c>
      <c r="MQ673" s="1750">
        <f t="shared" si="329"/>
        <v>0</v>
      </c>
      <c r="MR673" s="1750">
        <f t="shared" si="330"/>
        <v>0</v>
      </c>
      <c r="MS673" s="1750">
        <f t="shared" si="331"/>
        <v>0</v>
      </c>
      <c r="MT673" s="1750">
        <f t="shared" si="332"/>
        <v>0</v>
      </c>
      <c r="NP673" s="357" t="s">
        <v>6438</v>
      </c>
    </row>
    <row r="674" spans="1:380" ht="13.9" customHeight="1">
      <c r="A674" s="1901" t="str">
        <f t="shared" si="0"/>
        <v/>
      </c>
      <c r="B674" s="2238">
        <f>'Part V-Revenues &amp; Expenses'!B36</f>
        <v>0</v>
      </c>
      <c r="C674" s="2229">
        <f>'Part V-Revenues &amp; Expenses'!C36</f>
        <v>0</v>
      </c>
      <c r="D674" s="2230">
        <f>'Part V-Revenues &amp; Expenses'!D36</f>
        <v>0</v>
      </c>
      <c r="E674" s="2231">
        <f>'Part V-Revenues &amp; Expenses'!E36</f>
        <v>0</v>
      </c>
      <c r="F674" s="2231">
        <f>'Part V-Revenues &amp; Expenses'!F36</f>
        <v>0</v>
      </c>
      <c r="G674" s="2231">
        <f>'Part V-Revenues &amp; Expenses'!G36</f>
        <v>0</v>
      </c>
      <c r="H674" s="2231">
        <f>'Part V-Revenues &amp; Expenses'!H36</f>
        <v>0</v>
      </c>
      <c r="I674" s="2231">
        <f>'Part V-Revenues &amp; Expenses'!I36</f>
        <v>0</v>
      </c>
      <c r="J674" s="2231">
        <f>'Part V-Revenues &amp; Expenses'!J36</f>
        <v>0</v>
      </c>
      <c r="K674" s="2232">
        <f>'Part V-Revenues &amp; Expenses'!K36</f>
        <v>0</v>
      </c>
      <c r="L674" s="2233">
        <f t="shared" si="340"/>
        <v>0</v>
      </c>
      <c r="M674" s="2233">
        <f t="shared" si="341"/>
        <v>0</v>
      </c>
      <c r="N674" s="2094">
        <f>'Part V-Revenues &amp; Expenses'!N36</f>
        <v>0</v>
      </c>
      <c r="O674" s="2234">
        <f>'Part V-Revenues &amp; Expenses'!O36</f>
        <v>0</v>
      </c>
      <c r="P674" s="2094">
        <f>'Part V-Revenues &amp; Expenses'!P36</f>
        <v>0</v>
      </c>
      <c r="Q674" s="2235">
        <f>'Part V-Revenues &amp; Expenses'!Q36</f>
        <v>0</v>
      </c>
      <c r="R674" s="2236"/>
      <c r="S674" s="2237"/>
      <c r="T674" s="2160"/>
      <c r="U674" s="2160"/>
      <c r="V674" s="2160"/>
      <c r="W674" s="2160"/>
      <c r="X674" s="357" t="str">
        <f t="shared" si="3"/>
        <v/>
      </c>
      <c r="Y674" s="357" t="str">
        <f t="shared" si="4"/>
        <v/>
      </c>
      <c r="Z674" s="357" t="str">
        <f t="shared" si="5"/>
        <v/>
      </c>
      <c r="AA674" s="357" t="str">
        <f t="shared" si="6"/>
        <v/>
      </c>
      <c r="AB674" s="357" t="str">
        <f t="shared" si="7"/>
        <v/>
      </c>
      <c r="AC674" s="357" t="str">
        <f t="shared" si="8"/>
        <v/>
      </c>
      <c r="AD674" s="357" t="str">
        <f t="shared" si="9"/>
        <v/>
      </c>
      <c r="AE674" s="357" t="str">
        <f t="shared" si="10"/>
        <v/>
      </c>
      <c r="AF674" s="357" t="str">
        <f t="shared" si="11"/>
        <v/>
      </c>
      <c r="AG674" s="357" t="str">
        <f t="shared" si="12"/>
        <v/>
      </c>
      <c r="AH674" s="357" t="str">
        <f t="shared" si="13"/>
        <v/>
      </c>
      <c r="AI674" s="357" t="str">
        <f t="shared" si="14"/>
        <v/>
      </c>
      <c r="AJ674" s="357" t="str">
        <f t="shared" si="15"/>
        <v/>
      </c>
      <c r="AK674" s="357" t="str">
        <f t="shared" si="16"/>
        <v/>
      </c>
      <c r="AL674" s="357" t="str">
        <f t="shared" si="17"/>
        <v/>
      </c>
      <c r="AM674" s="357" t="str">
        <f t="shared" si="18"/>
        <v/>
      </c>
      <c r="AN674" s="357" t="str">
        <f t="shared" si="19"/>
        <v/>
      </c>
      <c r="AO674" s="357" t="str">
        <f t="shared" si="20"/>
        <v/>
      </c>
      <c r="AP674" s="357" t="str">
        <f t="shared" si="21"/>
        <v/>
      </c>
      <c r="AQ674" s="357" t="str">
        <f t="shared" si="22"/>
        <v/>
      </c>
      <c r="AR674" s="357" t="str">
        <f t="shared" si="23"/>
        <v/>
      </c>
      <c r="AS674" s="357" t="str">
        <f t="shared" si="24"/>
        <v/>
      </c>
      <c r="AT674" s="357" t="str">
        <f t="shared" si="25"/>
        <v/>
      </c>
      <c r="AU674" s="357" t="str">
        <f t="shared" si="26"/>
        <v/>
      </c>
      <c r="AV674" s="357" t="str">
        <f t="shared" si="27"/>
        <v/>
      </c>
      <c r="AW674" s="357" t="str">
        <f t="shared" si="28"/>
        <v/>
      </c>
      <c r="AX674" s="357" t="str">
        <f t="shared" si="29"/>
        <v/>
      </c>
      <c r="AY674" s="357" t="str">
        <f t="shared" si="30"/>
        <v/>
      </c>
      <c r="AZ674" s="357" t="str">
        <f t="shared" si="31"/>
        <v/>
      </c>
      <c r="BA674" s="357" t="str">
        <f t="shared" si="32"/>
        <v/>
      </c>
      <c r="BB674" s="357" t="str">
        <f t="shared" si="33"/>
        <v/>
      </c>
      <c r="BC674" s="357" t="str">
        <f t="shared" si="34"/>
        <v/>
      </c>
      <c r="BD674" s="357" t="str">
        <f t="shared" si="35"/>
        <v/>
      </c>
      <c r="BE674" s="357" t="str">
        <f t="shared" si="36"/>
        <v/>
      </c>
      <c r="BF674" s="357" t="str">
        <f t="shared" si="37"/>
        <v/>
      </c>
      <c r="BG674" s="357" t="str">
        <f t="shared" si="38"/>
        <v/>
      </c>
      <c r="BH674" s="357" t="str">
        <f t="shared" si="39"/>
        <v/>
      </c>
      <c r="BI674" s="357" t="str">
        <f t="shared" si="40"/>
        <v/>
      </c>
      <c r="BJ674" s="357" t="str">
        <f t="shared" si="41"/>
        <v/>
      </c>
      <c r="BK674" s="357" t="str">
        <f t="shared" si="42"/>
        <v/>
      </c>
      <c r="BL674" s="357" t="str">
        <f t="shared" si="43"/>
        <v/>
      </c>
      <c r="BM674" s="357" t="str">
        <f t="shared" si="44"/>
        <v/>
      </c>
      <c r="BN674" s="357" t="str">
        <f t="shared" si="45"/>
        <v/>
      </c>
      <c r="BO674" s="357" t="str">
        <f t="shared" si="46"/>
        <v/>
      </c>
      <c r="BP674" s="357" t="str">
        <f t="shared" si="47"/>
        <v/>
      </c>
      <c r="BQ674" s="357" t="str">
        <f t="shared" si="48"/>
        <v/>
      </c>
      <c r="BR674" s="357" t="str">
        <f t="shared" si="49"/>
        <v/>
      </c>
      <c r="BS674" s="357" t="str">
        <f t="shared" si="50"/>
        <v/>
      </c>
      <c r="BT674" s="357" t="str">
        <f t="shared" si="51"/>
        <v/>
      </c>
      <c r="BU674" s="357" t="str">
        <f t="shared" si="52"/>
        <v/>
      </c>
      <c r="BV674" s="357" t="str">
        <f t="shared" si="53"/>
        <v/>
      </c>
      <c r="BW674" s="357" t="str">
        <f t="shared" si="54"/>
        <v/>
      </c>
      <c r="BX674" s="357" t="str">
        <f t="shared" si="55"/>
        <v/>
      </c>
      <c r="BY674" s="357" t="str">
        <f t="shared" si="56"/>
        <v/>
      </c>
      <c r="BZ674" s="357" t="str">
        <f t="shared" si="57"/>
        <v/>
      </c>
      <c r="CA674" s="357" t="str">
        <f t="shared" si="58"/>
        <v/>
      </c>
      <c r="CB674" s="357" t="str">
        <f t="shared" si="59"/>
        <v/>
      </c>
      <c r="CC674" s="357" t="str">
        <f t="shared" si="60"/>
        <v/>
      </c>
      <c r="CD674" s="357" t="str">
        <f t="shared" si="61"/>
        <v/>
      </c>
      <c r="CE674" s="357" t="str">
        <f t="shared" si="62"/>
        <v/>
      </c>
      <c r="CF674" s="357" t="str">
        <f t="shared" si="63"/>
        <v/>
      </c>
      <c r="CG674" s="357" t="str">
        <f t="shared" si="64"/>
        <v/>
      </c>
      <c r="CH674" s="357" t="str">
        <f t="shared" si="65"/>
        <v/>
      </c>
      <c r="CI674" s="357" t="str">
        <f t="shared" si="66"/>
        <v/>
      </c>
      <c r="CJ674" s="357" t="str">
        <f t="shared" si="67"/>
        <v/>
      </c>
      <c r="CK674" s="357" t="str">
        <f t="shared" si="68"/>
        <v/>
      </c>
      <c r="CL674" s="357" t="str">
        <f t="shared" si="69"/>
        <v/>
      </c>
      <c r="CM674" s="357" t="str">
        <f t="shared" si="70"/>
        <v/>
      </c>
      <c r="CN674" s="357" t="str">
        <f t="shared" si="71"/>
        <v/>
      </c>
      <c r="CO674" s="357" t="str">
        <f t="shared" si="72"/>
        <v/>
      </c>
      <c r="CP674" s="357" t="str">
        <f t="shared" si="73"/>
        <v/>
      </c>
      <c r="CQ674" s="357" t="str">
        <f t="shared" si="74"/>
        <v/>
      </c>
      <c r="CR674" s="357" t="str">
        <f t="shared" si="75"/>
        <v/>
      </c>
      <c r="CS674" s="357" t="str">
        <f t="shared" si="76"/>
        <v/>
      </c>
      <c r="CT674" s="357" t="str">
        <f t="shared" si="77"/>
        <v/>
      </c>
      <c r="CU674" s="357" t="str">
        <f t="shared" si="78"/>
        <v/>
      </c>
      <c r="CV674" s="357" t="str">
        <f t="shared" si="79"/>
        <v/>
      </c>
      <c r="CW674" s="357" t="str">
        <f t="shared" si="80"/>
        <v/>
      </c>
      <c r="CX674" s="357" t="str">
        <f t="shared" si="81"/>
        <v/>
      </c>
      <c r="CY674" s="357" t="str">
        <f t="shared" si="82"/>
        <v/>
      </c>
      <c r="CZ674" s="357" t="str">
        <f t="shared" si="83"/>
        <v/>
      </c>
      <c r="DA674" s="357" t="str">
        <f t="shared" si="84"/>
        <v/>
      </c>
      <c r="DB674" s="357" t="str">
        <f t="shared" si="85"/>
        <v/>
      </c>
      <c r="DC674" s="357" t="str">
        <f t="shared" si="86"/>
        <v/>
      </c>
      <c r="DD674" s="357" t="str">
        <f t="shared" si="87"/>
        <v/>
      </c>
      <c r="DE674" s="357" t="str">
        <f t="shared" si="88"/>
        <v/>
      </c>
      <c r="DF674" s="357" t="str">
        <f t="shared" si="89"/>
        <v/>
      </c>
      <c r="DG674" s="357" t="str">
        <f t="shared" si="90"/>
        <v/>
      </c>
      <c r="DH674" s="357" t="str">
        <f t="shared" si="91"/>
        <v/>
      </c>
      <c r="DI674" s="357" t="str">
        <f t="shared" si="92"/>
        <v/>
      </c>
      <c r="DJ674" s="357" t="str">
        <f t="shared" si="93"/>
        <v/>
      </c>
      <c r="DK674" s="357" t="str">
        <f t="shared" si="94"/>
        <v/>
      </c>
      <c r="DL674" s="357" t="str">
        <f t="shared" si="95"/>
        <v/>
      </c>
      <c r="DM674" s="357" t="str">
        <f t="shared" si="96"/>
        <v/>
      </c>
      <c r="DN674" s="357" t="str">
        <f t="shared" si="97"/>
        <v/>
      </c>
      <c r="DO674" s="357" t="str">
        <f t="shared" si="98"/>
        <v/>
      </c>
      <c r="DP674" s="357" t="str">
        <f t="shared" si="99"/>
        <v/>
      </c>
      <c r="DQ674" s="357" t="str">
        <f t="shared" si="100"/>
        <v/>
      </c>
      <c r="DR674" s="357" t="str">
        <f t="shared" si="101"/>
        <v/>
      </c>
      <c r="DS674" s="357" t="str">
        <f t="shared" si="102"/>
        <v/>
      </c>
      <c r="DT674" s="357" t="str">
        <f t="shared" si="103"/>
        <v/>
      </c>
      <c r="DU674" s="357" t="str">
        <f t="shared" si="104"/>
        <v/>
      </c>
      <c r="DV674" s="357" t="str">
        <f t="shared" si="105"/>
        <v/>
      </c>
      <c r="DW674" s="357" t="str">
        <f t="shared" si="106"/>
        <v/>
      </c>
      <c r="DX674" s="357" t="str">
        <f t="shared" si="107"/>
        <v/>
      </c>
      <c r="DY674" s="357" t="str">
        <f t="shared" si="108"/>
        <v/>
      </c>
      <c r="DZ674" s="357" t="str">
        <f t="shared" si="109"/>
        <v/>
      </c>
      <c r="EA674" s="357" t="str">
        <f t="shared" si="110"/>
        <v/>
      </c>
      <c r="EB674" s="357" t="str">
        <f t="shared" si="111"/>
        <v/>
      </c>
      <c r="EC674" s="357" t="str">
        <f t="shared" si="112"/>
        <v/>
      </c>
      <c r="ED674" s="357" t="str">
        <f t="shared" si="113"/>
        <v/>
      </c>
      <c r="EE674" s="357" t="str">
        <f t="shared" si="114"/>
        <v/>
      </c>
      <c r="EF674" s="357" t="str">
        <f t="shared" si="115"/>
        <v/>
      </c>
      <c r="EG674" s="357" t="str">
        <f t="shared" si="116"/>
        <v/>
      </c>
      <c r="EH674" s="357" t="str">
        <f t="shared" si="117"/>
        <v/>
      </c>
      <c r="EI674" s="357" t="str">
        <f t="shared" si="118"/>
        <v/>
      </c>
      <c r="EJ674" s="357" t="str">
        <f t="shared" si="119"/>
        <v/>
      </c>
      <c r="EK674" s="357" t="str">
        <f t="shared" si="120"/>
        <v/>
      </c>
      <c r="EL674" s="357" t="str">
        <f t="shared" si="121"/>
        <v/>
      </c>
      <c r="EM674" s="357" t="str">
        <f t="shared" si="122"/>
        <v/>
      </c>
      <c r="EN674" s="357" t="str">
        <f t="shared" si="123"/>
        <v/>
      </c>
      <c r="EO674" s="357" t="str">
        <f t="shared" si="124"/>
        <v/>
      </c>
      <c r="EP674" s="357" t="str">
        <f t="shared" si="125"/>
        <v/>
      </c>
      <c r="EQ674" s="357" t="str">
        <f t="shared" si="126"/>
        <v/>
      </c>
      <c r="ER674" s="357" t="str">
        <f t="shared" si="127"/>
        <v/>
      </c>
      <c r="ES674" s="357" t="str">
        <f t="shared" si="128"/>
        <v/>
      </c>
      <c r="ET674" s="357" t="str">
        <f t="shared" si="129"/>
        <v/>
      </c>
      <c r="EU674" s="357" t="str">
        <f t="shared" si="130"/>
        <v/>
      </c>
      <c r="EV674" s="357" t="str">
        <f t="shared" si="131"/>
        <v/>
      </c>
      <c r="EW674" s="357" t="str">
        <f t="shared" si="132"/>
        <v/>
      </c>
      <c r="EX674" s="357" t="str">
        <f t="shared" si="133"/>
        <v/>
      </c>
      <c r="EY674" s="357" t="str">
        <f t="shared" si="134"/>
        <v/>
      </c>
      <c r="EZ674" s="357" t="str">
        <f t="shared" si="135"/>
        <v/>
      </c>
      <c r="FA674" s="357" t="str">
        <f t="shared" si="136"/>
        <v/>
      </c>
      <c r="FB674" s="357" t="str">
        <f t="shared" si="137"/>
        <v/>
      </c>
      <c r="FC674" s="357" t="str">
        <f t="shared" si="138"/>
        <v/>
      </c>
      <c r="FD674" s="357" t="str">
        <f t="shared" si="139"/>
        <v/>
      </c>
      <c r="FE674" s="357" t="str">
        <f t="shared" si="140"/>
        <v/>
      </c>
      <c r="FF674" s="357" t="str">
        <f t="shared" si="141"/>
        <v/>
      </c>
      <c r="FG674" s="357" t="str">
        <f t="shared" si="142"/>
        <v/>
      </c>
      <c r="FH674" s="357" t="str">
        <f t="shared" si="143"/>
        <v/>
      </c>
      <c r="FI674" s="357" t="str">
        <f t="shared" si="144"/>
        <v/>
      </c>
      <c r="FJ674" s="357" t="str">
        <f t="shared" si="145"/>
        <v/>
      </c>
      <c r="FK674" s="357" t="str">
        <f t="shared" si="146"/>
        <v/>
      </c>
      <c r="FL674" s="357" t="str">
        <f t="shared" si="147"/>
        <v/>
      </c>
      <c r="FM674" s="357" t="str">
        <f t="shared" si="148"/>
        <v/>
      </c>
      <c r="FN674" s="357" t="str">
        <f t="shared" si="149"/>
        <v/>
      </c>
      <c r="FO674" s="357" t="str">
        <f t="shared" si="150"/>
        <v/>
      </c>
      <c r="FP674" s="357" t="str">
        <f t="shared" si="151"/>
        <v/>
      </c>
      <c r="FQ674" s="357" t="str">
        <f t="shared" si="152"/>
        <v/>
      </c>
      <c r="FR674" s="357" t="str">
        <f t="shared" si="153"/>
        <v/>
      </c>
      <c r="FS674" s="357" t="str">
        <f t="shared" si="154"/>
        <v/>
      </c>
      <c r="FT674" s="357" t="str">
        <f t="shared" si="155"/>
        <v/>
      </c>
      <c r="FU674" s="357" t="str">
        <f t="shared" si="156"/>
        <v/>
      </c>
      <c r="FV674" s="357" t="str">
        <f t="shared" si="157"/>
        <v/>
      </c>
      <c r="FW674" s="357" t="str">
        <f t="shared" si="158"/>
        <v/>
      </c>
      <c r="FX674" s="357" t="str">
        <f t="shared" si="159"/>
        <v/>
      </c>
      <c r="FY674" s="357" t="str">
        <f t="shared" si="160"/>
        <v/>
      </c>
      <c r="FZ674" s="357" t="str">
        <f t="shared" si="161"/>
        <v/>
      </c>
      <c r="GA674" s="357" t="str">
        <f t="shared" si="162"/>
        <v/>
      </c>
      <c r="GB674" s="357" t="str">
        <f t="shared" si="163"/>
        <v/>
      </c>
      <c r="GC674" s="357" t="str">
        <f t="shared" si="164"/>
        <v/>
      </c>
      <c r="GD674" s="357" t="str">
        <f t="shared" si="165"/>
        <v/>
      </c>
      <c r="GE674" s="357" t="str">
        <f t="shared" si="166"/>
        <v/>
      </c>
      <c r="GF674" s="357" t="str">
        <f t="shared" si="167"/>
        <v/>
      </c>
      <c r="GG674" s="357" t="str">
        <f t="shared" si="168"/>
        <v/>
      </c>
      <c r="GH674" s="357" t="str">
        <f t="shared" si="169"/>
        <v/>
      </c>
      <c r="GI674" s="357" t="str">
        <f t="shared" si="170"/>
        <v/>
      </c>
      <c r="GJ674" s="357" t="str">
        <f t="shared" si="171"/>
        <v/>
      </c>
      <c r="GK674" s="357" t="str">
        <f t="shared" si="172"/>
        <v/>
      </c>
      <c r="GL674" s="357" t="str">
        <f t="shared" si="173"/>
        <v/>
      </c>
      <c r="GM674" s="357" t="str">
        <f t="shared" si="174"/>
        <v/>
      </c>
      <c r="GN674" s="357" t="str">
        <f t="shared" si="175"/>
        <v/>
      </c>
      <c r="GO674" s="357" t="str">
        <f t="shared" si="176"/>
        <v/>
      </c>
      <c r="GP674" s="357" t="str">
        <f t="shared" si="177"/>
        <v/>
      </c>
      <c r="GQ674" s="357" t="str">
        <f t="shared" si="178"/>
        <v/>
      </c>
      <c r="GR674" s="357" t="str">
        <f t="shared" si="179"/>
        <v/>
      </c>
      <c r="GS674" s="357" t="str">
        <f t="shared" si="180"/>
        <v/>
      </c>
      <c r="GT674" s="357" t="str">
        <f t="shared" si="181"/>
        <v/>
      </c>
      <c r="GU674" s="357" t="str">
        <f t="shared" si="182"/>
        <v/>
      </c>
      <c r="GV674" s="357" t="str">
        <f t="shared" si="183"/>
        <v/>
      </c>
      <c r="GW674" s="357" t="str">
        <f t="shared" si="184"/>
        <v/>
      </c>
      <c r="GX674" s="357" t="str">
        <f t="shared" si="185"/>
        <v/>
      </c>
      <c r="GY674" s="357" t="str">
        <f t="shared" si="186"/>
        <v/>
      </c>
      <c r="GZ674" s="357" t="str">
        <f t="shared" si="187"/>
        <v/>
      </c>
      <c r="HA674" s="357" t="str">
        <f t="shared" si="188"/>
        <v/>
      </c>
      <c r="HB674" s="357" t="str">
        <f t="shared" si="189"/>
        <v/>
      </c>
      <c r="HC674" s="357" t="str">
        <f t="shared" si="190"/>
        <v/>
      </c>
      <c r="HD674" s="357" t="str">
        <f t="shared" si="191"/>
        <v/>
      </c>
      <c r="HE674" s="357" t="str">
        <f t="shared" si="192"/>
        <v/>
      </c>
      <c r="HF674" s="357" t="str">
        <f t="shared" si="193"/>
        <v/>
      </c>
      <c r="HG674" s="357" t="str">
        <f t="shared" si="194"/>
        <v/>
      </c>
      <c r="HH674" s="357" t="str">
        <f t="shared" si="195"/>
        <v/>
      </c>
      <c r="HI674" s="357" t="str">
        <f t="shared" si="196"/>
        <v/>
      </c>
      <c r="HJ674" s="357" t="str">
        <f t="shared" si="197"/>
        <v/>
      </c>
      <c r="HK674" s="357" t="str">
        <f t="shared" si="198"/>
        <v/>
      </c>
      <c r="HL674" s="357" t="str">
        <f t="shared" si="199"/>
        <v/>
      </c>
      <c r="HM674" s="357" t="str">
        <f t="shared" si="200"/>
        <v/>
      </c>
      <c r="HN674" s="357" t="str">
        <f t="shared" si="201"/>
        <v/>
      </c>
      <c r="HO674" s="357" t="str">
        <f t="shared" si="202"/>
        <v/>
      </c>
      <c r="HP674" s="357" t="str">
        <f t="shared" si="203"/>
        <v/>
      </c>
      <c r="HQ674" s="357" t="str">
        <f t="shared" si="204"/>
        <v/>
      </c>
      <c r="HR674" s="357" t="str">
        <f t="shared" si="205"/>
        <v/>
      </c>
      <c r="HS674" s="357" t="str">
        <f t="shared" si="206"/>
        <v/>
      </c>
      <c r="HT674" s="357" t="str">
        <f t="shared" si="207"/>
        <v/>
      </c>
      <c r="HU674" s="357" t="str">
        <f t="shared" si="208"/>
        <v/>
      </c>
      <c r="HV674" s="357" t="str">
        <f t="shared" si="209"/>
        <v/>
      </c>
      <c r="HW674" s="357" t="str">
        <f t="shared" si="210"/>
        <v/>
      </c>
      <c r="HX674" s="357" t="str">
        <f t="shared" si="211"/>
        <v/>
      </c>
      <c r="HY674" s="357" t="str">
        <f t="shared" si="212"/>
        <v/>
      </c>
      <c r="HZ674" s="1903" t="str">
        <f t="shared" si="213"/>
        <v/>
      </c>
      <c r="IA674" s="1903" t="str">
        <f t="shared" si="214"/>
        <v/>
      </c>
      <c r="IB674" s="1903" t="str">
        <f t="shared" si="215"/>
        <v/>
      </c>
      <c r="IC674" s="1903" t="str">
        <f t="shared" si="216"/>
        <v/>
      </c>
      <c r="ID674" s="1903" t="str">
        <f t="shared" si="217"/>
        <v/>
      </c>
      <c r="IE674" s="1903" t="str">
        <f t="shared" si="218"/>
        <v/>
      </c>
      <c r="IF674" s="1903" t="str">
        <f t="shared" si="219"/>
        <v/>
      </c>
      <c r="IG674" s="1903" t="str">
        <f t="shared" si="220"/>
        <v/>
      </c>
      <c r="IH674" s="1903" t="str">
        <f t="shared" si="221"/>
        <v/>
      </c>
      <c r="II674" s="1903" t="str">
        <f t="shared" si="222"/>
        <v/>
      </c>
      <c r="IJ674" s="1903" t="str">
        <f t="shared" si="223"/>
        <v/>
      </c>
      <c r="IK674" s="1903" t="str">
        <f t="shared" si="224"/>
        <v/>
      </c>
      <c r="IL674" s="1903" t="str">
        <f t="shared" si="225"/>
        <v/>
      </c>
      <c r="IM674" s="1903" t="str">
        <f t="shared" si="226"/>
        <v/>
      </c>
      <c r="IN674" s="1903" t="str">
        <f t="shared" si="227"/>
        <v/>
      </c>
      <c r="IO674" s="1903" t="str">
        <f t="shared" si="228"/>
        <v/>
      </c>
      <c r="IP674" s="1903" t="str">
        <f t="shared" si="229"/>
        <v/>
      </c>
      <c r="IQ674" s="1903" t="str">
        <f t="shared" si="230"/>
        <v/>
      </c>
      <c r="IR674" s="1903" t="str">
        <f t="shared" si="231"/>
        <v/>
      </c>
      <c r="IS674" s="1903" t="str">
        <f t="shared" si="232"/>
        <v/>
      </c>
      <c r="IT674" s="1903" t="str">
        <f t="shared" si="233"/>
        <v/>
      </c>
      <c r="IU674" s="1903" t="str">
        <f t="shared" si="234"/>
        <v/>
      </c>
      <c r="IV674" s="1903" t="str">
        <f t="shared" si="235"/>
        <v/>
      </c>
      <c r="IW674" s="1903" t="str">
        <f t="shared" si="236"/>
        <v/>
      </c>
      <c r="IX674" s="1903" t="str">
        <f t="shared" si="237"/>
        <v/>
      </c>
      <c r="IY674" s="1903" t="str">
        <f t="shared" si="238"/>
        <v/>
      </c>
      <c r="IZ674" s="1903" t="str">
        <f t="shared" si="239"/>
        <v/>
      </c>
      <c r="JA674" s="1903" t="str">
        <f t="shared" si="240"/>
        <v/>
      </c>
      <c r="JB674" s="1903" t="str">
        <f t="shared" si="241"/>
        <v/>
      </c>
      <c r="JC674" s="1903" t="str">
        <f t="shared" si="242"/>
        <v/>
      </c>
      <c r="JD674" s="1903" t="str">
        <f t="shared" si="243"/>
        <v/>
      </c>
      <c r="JE674" s="1903" t="str">
        <f t="shared" si="244"/>
        <v/>
      </c>
      <c r="JF674" s="1903" t="str">
        <f t="shared" si="245"/>
        <v/>
      </c>
      <c r="JG674" s="1903" t="str">
        <f t="shared" si="246"/>
        <v/>
      </c>
      <c r="JH674" s="1903" t="str">
        <f t="shared" si="247"/>
        <v/>
      </c>
      <c r="JI674" s="1903" t="str">
        <f t="shared" si="248"/>
        <v/>
      </c>
      <c r="JJ674" s="1903" t="str">
        <f t="shared" si="249"/>
        <v/>
      </c>
      <c r="JK674" s="1903" t="str">
        <f t="shared" si="250"/>
        <v/>
      </c>
      <c r="JL674" s="1903" t="str">
        <f t="shared" si="251"/>
        <v/>
      </c>
      <c r="JM674" s="1903" t="str">
        <f t="shared" si="252"/>
        <v/>
      </c>
      <c r="JN674" s="1903" t="str">
        <f t="shared" si="253"/>
        <v/>
      </c>
      <c r="JO674" s="1903" t="str">
        <f t="shared" si="254"/>
        <v/>
      </c>
      <c r="JP674" s="1903" t="str">
        <f t="shared" si="255"/>
        <v/>
      </c>
      <c r="JQ674" s="1903" t="str">
        <f t="shared" si="256"/>
        <v/>
      </c>
      <c r="JR674" s="1903" t="str">
        <f t="shared" si="257"/>
        <v/>
      </c>
      <c r="JS674" s="1903" t="str">
        <f t="shared" si="258"/>
        <v/>
      </c>
      <c r="JT674" s="1903" t="str">
        <f t="shared" si="259"/>
        <v/>
      </c>
      <c r="JU674" s="1903" t="str">
        <f t="shared" si="260"/>
        <v/>
      </c>
      <c r="JV674" s="1903" t="str">
        <f t="shared" si="261"/>
        <v/>
      </c>
      <c r="JW674" s="1903" t="str">
        <f t="shared" si="262"/>
        <v/>
      </c>
      <c r="JX674" s="1903" t="str">
        <f t="shared" si="263"/>
        <v/>
      </c>
      <c r="JY674" s="1903" t="str">
        <f t="shared" si="264"/>
        <v/>
      </c>
      <c r="JZ674" s="1903" t="str">
        <f t="shared" si="265"/>
        <v/>
      </c>
      <c r="KA674" s="1903" t="str">
        <f t="shared" si="266"/>
        <v/>
      </c>
      <c r="KB674" s="1903" t="str">
        <f t="shared" si="267"/>
        <v/>
      </c>
      <c r="KC674" s="1903" t="str">
        <f t="shared" si="268"/>
        <v/>
      </c>
      <c r="KD674" s="1903" t="str">
        <f t="shared" si="269"/>
        <v/>
      </c>
      <c r="KE674" s="1903" t="str">
        <f t="shared" si="270"/>
        <v/>
      </c>
      <c r="KF674" s="1903" t="str">
        <f t="shared" si="271"/>
        <v/>
      </c>
      <c r="KG674" s="1903" t="str">
        <f t="shared" si="272"/>
        <v/>
      </c>
      <c r="KH674" s="1903" t="str">
        <f t="shared" si="273"/>
        <v/>
      </c>
      <c r="KI674" s="1903" t="str">
        <f t="shared" si="274"/>
        <v/>
      </c>
      <c r="KJ674" s="1903" t="str">
        <f t="shared" si="275"/>
        <v/>
      </c>
      <c r="KK674" s="1903" t="str">
        <f t="shared" si="276"/>
        <v/>
      </c>
      <c r="KL674" s="1903" t="str">
        <f t="shared" si="277"/>
        <v/>
      </c>
      <c r="KM674" s="1903" t="str">
        <f t="shared" si="278"/>
        <v/>
      </c>
      <c r="KN674" s="1903" t="str">
        <f t="shared" si="279"/>
        <v/>
      </c>
      <c r="KO674" s="1903" t="str">
        <f t="shared" si="280"/>
        <v/>
      </c>
      <c r="KP674" s="1903" t="str">
        <f t="shared" si="281"/>
        <v/>
      </c>
      <c r="KQ674" s="1903" t="str">
        <f t="shared" si="282"/>
        <v/>
      </c>
      <c r="KR674" s="1903" t="str">
        <f t="shared" si="283"/>
        <v/>
      </c>
      <c r="KS674" s="1903" t="str">
        <f t="shared" si="284"/>
        <v/>
      </c>
      <c r="KT674" s="1903" t="str">
        <f t="shared" si="285"/>
        <v/>
      </c>
      <c r="KU674" s="1903" t="str">
        <f t="shared" si="286"/>
        <v/>
      </c>
      <c r="KV674" s="1903" t="str">
        <f t="shared" si="287"/>
        <v/>
      </c>
      <c r="KW674" s="1903" t="str">
        <f t="shared" si="288"/>
        <v/>
      </c>
      <c r="KX674" s="1903" t="str">
        <f t="shared" si="289"/>
        <v/>
      </c>
      <c r="KY674" s="1903" t="str">
        <f t="shared" si="290"/>
        <v/>
      </c>
      <c r="KZ674" s="1903" t="str">
        <f t="shared" si="291"/>
        <v/>
      </c>
      <c r="LA674" s="1903" t="str">
        <f t="shared" si="292"/>
        <v/>
      </c>
      <c r="LB674" s="1903" t="str">
        <f t="shared" si="293"/>
        <v/>
      </c>
      <c r="LC674" s="1903" t="str">
        <f t="shared" si="294"/>
        <v/>
      </c>
      <c r="LD674" s="1903" t="str">
        <f t="shared" si="295"/>
        <v/>
      </c>
      <c r="LE674" s="1903" t="str">
        <f t="shared" si="296"/>
        <v/>
      </c>
      <c r="LF674" s="1903" t="str">
        <f t="shared" si="297"/>
        <v/>
      </c>
      <c r="LG674" s="1750" t="str">
        <f t="shared" si="298"/>
        <v/>
      </c>
      <c r="LH674" s="1750" t="str">
        <f t="shared" si="299"/>
        <v/>
      </c>
      <c r="LI674" s="1750" t="str">
        <f t="shared" si="300"/>
        <v/>
      </c>
      <c r="LJ674" s="1750" t="str">
        <f t="shared" si="301"/>
        <v/>
      </c>
      <c r="LK674" s="1750" t="str">
        <f t="shared" si="302"/>
        <v/>
      </c>
      <c r="LL674" s="357" t="str">
        <f t="shared" si="303"/>
        <v/>
      </c>
      <c r="LM674" s="357" t="str">
        <f t="shared" si="304"/>
        <v/>
      </c>
      <c r="LN674" s="357" t="str">
        <f t="shared" si="305"/>
        <v/>
      </c>
      <c r="LO674" s="357" t="str">
        <f t="shared" si="306"/>
        <v/>
      </c>
      <c r="LP674" s="357" t="str">
        <f t="shared" si="307"/>
        <v/>
      </c>
      <c r="LQ674" s="357" t="str">
        <f t="shared" si="308"/>
        <v/>
      </c>
      <c r="LR674" s="357" t="str">
        <f t="shared" si="309"/>
        <v/>
      </c>
      <c r="LS674" s="357" t="str">
        <f t="shared" si="310"/>
        <v/>
      </c>
      <c r="LT674" s="357" t="str">
        <f t="shared" si="311"/>
        <v/>
      </c>
      <c r="LU674" s="357" t="str">
        <f t="shared" si="312"/>
        <v/>
      </c>
      <c r="LV674" s="357" t="str">
        <f t="shared" si="313"/>
        <v/>
      </c>
      <c r="LW674" s="357" t="str">
        <f t="shared" si="314"/>
        <v/>
      </c>
      <c r="LX674" s="357" t="str">
        <f t="shared" si="315"/>
        <v/>
      </c>
      <c r="LY674" s="357" t="str">
        <f t="shared" si="316"/>
        <v/>
      </c>
      <c r="LZ674" s="357" t="str">
        <f t="shared" si="317"/>
        <v/>
      </c>
      <c r="MA674" s="357" t="str">
        <f t="shared" si="318"/>
        <v/>
      </c>
      <c r="MB674" s="357" t="str">
        <f t="shared" si="319"/>
        <v/>
      </c>
      <c r="MC674" s="357" t="str">
        <f t="shared" si="320"/>
        <v/>
      </c>
      <c r="MD674" s="357" t="str">
        <f t="shared" si="321"/>
        <v/>
      </c>
      <c r="ME674" s="357" t="str">
        <f t="shared" si="322"/>
        <v/>
      </c>
      <c r="MF674" s="1750">
        <f t="shared" si="323"/>
        <v>0</v>
      </c>
      <c r="MG674" s="1750">
        <f t="shared" si="324"/>
        <v>0</v>
      </c>
      <c r="MH674" s="1750">
        <f t="shared" si="325"/>
        <v>0</v>
      </c>
      <c r="MI674" s="1750">
        <f t="shared" si="326"/>
        <v>0</v>
      </c>
      <c r="MJ674" s="1750">
        <f t="shared" si="327"/>
        <v>0</v>
      </c>
      <c r="MK674" s="1750">
        <f t="shared" si="333"/>
        <v>0</v>
      </c>
      <c r="ML674" s="1750">
        <f t="shared" si="334"/>
        <v>0</v>
      </c>
      <c r="MM674" s="1750">
        <f t="shared" si="335"/>
        <v>0</v>
      </c>
      <c r="MN674" s="1750">
        <f t="shared" si="336"/>
        <v>0</v>
      </c>
      <c r="MO674" s="1750">
        <f t="shared" si="337"/>
        <v>0</v>
      </c>
      <c r="MP674" s="1750">
        <f t="shared" si="328"/>
        <v>0</v>
      </c>
      <c r="MQ674" s="1750">
        <f t="shared" si="329"/>
        <v>0</v>
      </c>
      <c r="MR674" s="1750">
        <f t="shared" si="330"/>
        <v>0</v>
      </c>
      <c r="MS674" s="1750">
        <f t="shared" si="331"/>
        <v>0</v>
      </c>
      <c r="MT674" s="1750">
        <f t="shared" si="332"/>
        <v>0</v>
      </c>
      <c r="NP674" s="357" t="s">
        <v>6439</v>
      </c>
    </row>
    <row r="675" spans="1:380" ht="13.9" customHeight="1">
      <c r="A675" s="1901" t="str">
        <f t="shared" si="0"/>
        <v/>
      </c>
      <c r="B675" s="2238">
        <f>'Part V-Revenues &amp; Expenses'!B37</f>
        <v>0</v>
      </c>
      <c r="C675" s="2229">
        <f>'Part V-Revenues &amp; Expenses'!C37</f>
        <v>0</v>
      </c>
      <c r="D675" s="2230">
        <f>'Part V-Revenues &amp; Expenses'!D37</f>
        <v>0</v>
      </c>
      <c r="E675" s="2231">
        <f>'Part V-Revenues &amp; Expenses'!E37</f>
        <v>0</v>
      </c>
      <c r="F675" s="2231">
        <f>'Part V-Revenues &amp; Expenses'!F37</f>
        <v>0</v>
      </c>
      <c r="G675" s="2231">
        <f>'Part V-Revenues &amp; Expenses'!G37</f>
        <v>0</v>
      </c>
      <c r="H675" s="2231">
        <f>'Part V-Revenues &amp; Expenses'!H37</f>
        <v>0</v>
      </c>
      <c r="I675" s="2231">
        <f>'Part V-Revenues &amp; Expenses'!I37</f>
        <v>0</v>
      </c>
      <c r="J675" s="2231">
        <f>'Part V-Revenues &amp; Expenses'!J37</f>
        <v>0</v>
      </c>
      <c r="K675" s="2232">
        <f>'Part V-Revenues &amp; Expenses'!K37</f>
        <v>0</v>
      </c>
      <c r="L675" s="2233">
        <f t="shared" si="340"/>
        <v>0</v>
      </c>
      <c r="M675" s="2233">
        <f t="shared" si="341"/>
        <v>0</v>
      </c>
      <c r="N675" s="2094">
        <f>'Part V-Revenues &amp; Expenses'!N37</f>
        <v>0</v>
      </c>
      <c r="O675" s="2234">
        <f>'Part V-Revenues &amp; Expenses'!O37</f>
        <v>0</v>
      </c>
      <c r="P675" s="2094">
        <f>'Part V-Revenues &amp; Expenses'!P37</f>
        <v>0</v>
      </c>
      <c r="Q675" s="2235">
        <f>'Part V-Revenues &amp; Expenses'!Q37</f>
        <v>0</v>
      </c>
      <c r="R675" s="2236"/>
      <c r="S675" s="2237"/>
      <c r="T675" s="2160"/>
      <c r="U675" s="2160"/>
      <c r="V675" s="2160"/>
      <c r="W675" s="2160"/>
      <c r="X675" s="357" t="str">
        <f t="shared" si="3"/>
        <v/>
      </c>
      <c r="Y675" s="357" t="str">
        <f t="shared" si="4"/>
        <v/>
      </c>
      <c r="Z675" s="357" t="str">
        <f t="shared" si="5"/>
        <v/>
      </c>
      <c r="AA675" s="357" t="str">
        <f t="shared" si="6"/>
        <v/>
      </c>
      <c r="AB675" s="357" t="str">
        <f t="shared" si="7"/>
        <v/>
      </c>
      <c r="AC675" s="357" t="str">
        <f t="shared" si="8"/>
        <v/>
      </c>
      <c r="AD675" s="357" t="str">
        <f t="shared" si="9"/>
        <v/>
      </c>
      <c r="AE675" s="357" t="str">
        <f t="shared" si="10"/>
        <v/>
      </c>
      <c r="AF675" s="357" t="str">
        <f t="shared" si="11"/>
        <v/>
      </c>
      <c r="AG675" s="357" t="str">
        <f t="shared" si="12"/>
        <v/>
      </c>
      <c r="AH675" s="357" t="str">
        <f t="shared" si="13"/>
        <v/>
      </c>
      <c r="AI675" s="357" t="str">
        <f t="shared" si="14"/>
        <v/>
      </c>
      <c r="AJ675" s="357" t="str">
        <f t="shared" si="15"/>
        <v/>
      </c>
      <c r="AK675" s="357" t="str">
        <f t="shared" si="16"/>
        <v/>
      </c>
      <c r="AL675" s="357" t="str">
        <f t="shared" si="17"/>
        <v/>
      </c>
      <c r="AM675" s="357" t="str">
        <f t="shared" si="18"/>
        <v/>
      </c>
      <c r="AN675" s="357" t="str">
        <f t="shared" si="19"/>
        <v/>
      </c>
      <c r="AO675" s="357" t="str">
        <f t="shared" si="20"/>
        <v/>
      </c>
      <c r="AP675" s="357" t="str">
        <f t="shared" si="21"/>
        <v/>
      </c>
      <c r="AQ675" s="357" t="str">
        <f t="shared" si="22"/>
        <v/>
      </c>
      <c r="AR675" s="357" t="str">
        <f t="shared" si="23"/>
        <v/>
      </c>
      <c r="AS675" s="357" t="str">
        <f t="shared" si="24"/>
        <v/>
      </c>
      <c r="AT675" s="357" t="str">
        <f t="shared" si="25"/>
        <v/>
      </c>
      <c r="AU675" s="357" t="str">
        <f t="shared" si="26"/>
        <v/>
      </c>
      <c r="AV675" s="357" t="str">
        <f t="shared" si="27"/>
        <v/>
      </c>
      <c r="AW675" s="357" t="str">
        <f t="shared" si="28"/>
        <v/>
      </c>
      <c r="AX675" s="357" t="str">
        <f t="shared" si="29"/>
        <v/>
      </c>
      <c r="AY675" s="357" t="str">
        <f t="shared" si="30"/>
        <v/>
      </c>
      <c r="AZ675" s="357" t="str">
        <f t="shared" si="31"/>
        <v/>
      </c>
      <c r="BA675" s="357" t="str">
        <f t="shared" si="32"/>
        <v/>
      </c>
      <c r="BB675" s="357" t="str">
        <f t="shared" si="33"/>
        <v/>
      </c>
      <c r="BC675" s="357" t="str">
        <f t="shared" si="34"/>
        <v/>
      </c>
      <c r="BD675" s="357" t="str">
        <f t="shared" si="35"/>
        <v/>
      </c>
      <c r="BE675" s="357" t="str">
        <f t="shared" si="36"/>
        <v/>
      </c>
      <c r="BF675" s="357" t="str">
        <f t="shared" si="37"/>
        <v/>
      </c>
      <c r="BG675" s="357" t="str">
        <f t="shared" si="38"/>
        <v/>
      </c>
      <c r="BH675" s="357" t="str">
        <f t="shared" si="39"/>
        <v/>
      </c>
      <c r="BI675" s="357" t="str">
        <f t="shared" si="40"/>
        <v/>
      </c>
      <c r="BJ675" s="357" t="str">
        <f t="shared" si="41"/>
        <v/>
      </c>
      <c r="BK675" s="357" t="str">
        <f t="shared" si="42"/>
        <v/>
      </c>
      <c r="BL675" s="357" t="str">
        <f t="shared" si="43"/>
        <v/>
      </c>
      <c r="BM675" s="357" t="str">
        <f t="shared" si="44"/>
        <v/>
      </c>
      <c r="BN675" s="357" t="str">
        <f t="shared" si="45"/>
        <v/>
      </c>
      <c r="BO675" s="357" t="str">
        <f t="shared" si="46"/>
        <v/>
      </c>
      <c r="BP675" s="357" t="str">
        <f t="shared" si="47"/>
        <v/>
      </c>
      <c r="BQ675" s="357" t="str">
        <f t="shared" si="48"/>
        <v/>
      </c>
      <c r="BR675" s="357" t="str">
        <f t="shared" si="49"/>
        <v/>
      </c>
      <c r="BS675" s="357" t="str">
        <f t="shared" si="50"/>
        <v/>
      </c>
      <c r="BT675" s="357" t="str">
        <f t="shared" si="51"/>
        <v/>
      </c>
      <c r="BU675" s="357" t="str">
        <f t="shared" si="52"/>
        <v/>
      </c>
      <c r="BV675" s="357" t="str">
        <f t="shared" si="53"/>
        <v/>
      </c>
      <c r="BW675" s="357" t="str">
        <f t="shared" si="54"/>
        <v/>
      </c>
      <c r="BX675" s="357" t="str">
        <f t="shared" si="55"/>
        <v/>
      </c>
      <c r="BY675" s="357" t="str">
        <f t="shared" si="56"/>
        <v/>
      </c>
      <c r="BZ675" s="357" t="str">
        <f t="shared" si="57"/>
        <v/>
      </c>
      <c r="CA675" s="357" t="str">
        <f t="shared" si="58"/>
        <v/>
      </c>
      <c r="CB675" s="357" t="str">
        <f t="shared" si="59"/>
        <v/>
      </c>
      <c r="CC675" s="357" t="str">
        <f t="shared" si="60"/>
        <v/>
      </c>
      <c r="CD675" s="357" t="str">
        <f t="shared" si="61"/>
        <v/>
      </c>
      <c r="CE675" s="357" t="str">
        <f t="shared" si="62"/>
        <v/>
      </c>
      <c r="CF675" s="357" t="str">
        <f t="shared" si="63"/>
        <v/>
      </c>
      <c r="CG675" s="357" t="str">
        <f t="shared" si="64"/>
        <v/>
      </c>
      <c r="CH675" s="357" t="str">
        <f t="shared" si="65"/>
        <v/>
      </c>
      <c r="CI675" s="357" t="str">
        <f t="shared" si="66"/>
        <v/>
      </c>
      <c r="CJ675" s="357" t="str">
        <f t="shared" si="67"/>
        <v/>
      </c>
      <c r="CK675" s="357" t="str">
        <f t="shared" si="68"/>
        <v/>
      </c>
      <c r="CL675" s="357" t="str">
        <f t="shared" si="69"/>
        <v/>
      </c>
      <c r="CM675" s="357" t="str">
        <f t="shared" si="70"/>
        <v/>
      </c>
      <c r="CN675" s="357" t="str">
        <f t="shared" si="71"/>
        <v/>
      </c>
      <c r="CO675" s="357" t="str">
        <f t="shared" si="72"/>
        <v/>
      </c>
      <c r="CP675" s="357" t="str">
        <f t="shared" si="73"/>
        <v/>
      </c>
      <c r="CQ675" s="357" t="str">
        <f t="shared" si="74"/>
        <v/>
      </c>
      <c r="CR675" s="357" t="str">
        <f t="shared" si="75"/>
        <v/>
      </c>
      <c r="CS675" s="357" t="str">
        <f t="shared" si="76"/>
        <v/>
      </c>
      <c r="CT675" s="357" t="str">
        <f t="shared" si="77"/>
        <v/>
      </c>
      <c r="CU675" s="357" t="str">
        <f t="shared" si="78"/>
        <v/>
      </c>
      <c r="CV675" s="357" t="str">
        <f t="shared" si="79"/>
        <v/>
      </c>
      <c r="CW675" s="357" t="str">
        <f t="shared" si="80"/>
        <v/>
      </c>
      <c r="CX675" s="357" t="str">
        <f t="shared" si="81"/>
        <v/>
      </c>
      <c r="CY675" s="357" t="str">
        <f t="shared" si="82"/>
        <v/>
      </c>
      <c r="CZ675" s="357" t="str">
        <f t="shared" si="83"/>
        <v/>
      </c>
      <c r="DA675" s="357" t="str">
        <f t="shared" si="84"/>
        <v/>
      </c>
      <c r="DB675" s="357" t="str">
        <f t="shared" si="85"/>
        <v/>
      </c>
      <c r="DC675" s="357" t="str">
        <f t="shared" si="86"/>
        <v/>
      </c>
      <c r="DD675" s="357" t="str">
        <f t="shared" si="87"/>
        <v/>
      </c>
      <c r="DE675" s="357" t="str">
        <f t="shared" si="88"/>
        <v/>
      </c>
      <c r="DF675" s="357" t="str">
        <f t="shared" si="89"/>
        <v/>
      </c>
      <c r="DG675" s="357" t="str">
        <f t="shared" si="90"/>
        <v/>
      </c>
      <c r="DH675" s="357" t="str">
        <f t="shared" si="91"/>
        <v/>
      </c>
      <c r="DI675" s="357" t="str">
        <f t="shared" si="92"/>
        <v/>
      </c>
      <c r="DJ675" s="357" t="str">
        <f t="shared" si="93"/>
        <v/>
      </c>
      <c r="DK675" s="357" t="str">
        <f t="shared" si="94"/>
        <v/>
      </c>
      <c r="DL675" s="357" t="str">
        <f t="shared" si="95"/>
        <v/>
      </c>
      <c r="DM675" s="357" t="str">
        <f t="shared" si="96"/>
        <v/>
      </c>
      <c r="DN675" s="357" t="str">
        <f t="shared" si="97"/>
        <v/>
      </c>
      <c r="DO675" s="357" t="str">
        <f t="shared" si="98"/>
        <v/>
      </c>
      <c r="DP675" s="357" t="str">
        <f t="shared" si="99"/>
        <v/>
      </c>
      <c r="DQ675" s="357" t="str">
        <f t="shared" si="100"/>
        <v/>
      </c>
      <c r="DR675" s="357" t="str">
        <f t="shared" si="101"/>
        <v/>
      </c>
      <c r="DS675" s="357" t="str">
        <f t="shared" si="102"/>
        <v/>
      </c>
      <c r="DT675" s="357" t="str">
        <f t="shared" si="103"/>
        <v/>
      </c>
      <c r="DU675" s="357" t="str">
        <f t="shared" si="104"/>
        <v/>
      </c>
      <c r="DV675" s="357" t="str">
        <f t="shared" si="105"/>
        <v/>
      </c>
      <c r="DW675" s="357" t="str">
        <f t="shared" si="106"/>
        <v/>
      </c>
      <c r="DX675" s="357" t="str">
        <f t="shared" si="107"/>
        <v/>
      </c>
      <c r="DY675" s="357" t="str">
        <f t="shared" si="108"/>
        <v/>
      </c>
      <c r="DZ675" s="357" t="str">
        <f t="shared" si="109"/>
        <v/>
      </c>
      <c r="EA675" s="357" t="str">
        <f t="shared" si="110"/>
        <v/>
      </c>
      <c r="EB675" s="357" t="str">
        <f t="shared" si="111"/>
        <v/>
      </c>
      <c r="EC675" s="357" t="str">
        <f t="shared" si="112"/>
        <v/>
      </c>
      <c r="ED675" s="357" t="str">
        <f t="shared" si="113"/>
        <v/>
      </c>
      <c r="EE675" s="357" t="str">
        <f t="shared" si="114"/>
        <v/>
      </c>
      <c r="EF675" s="357" t="str">
        <f t="shared" si="115"/>
        <v/>
      </c>
      <c r="EG675" s="357" t="str">
        <f t="shared" si="116"/>
        <v/>
      </c>
      <c r="EH675" s="357" t="str">
        <f t="shared" si="117"/>
        <v/>
      </c>
      <c r="EI675" s="357" t="str">
        <f t="shared" si="118"/>
        <v/>
      </c>
      <c r="EJ675" s="357" t="str">
        <f t="shared" si="119"/>
        <v/>
      </c>
      <c r="EK675" s="357" t="str">
        <f t="shared" si="120"/>
        <v/>
      </c>
      <c r="EL675" s="357" t="str">
        <f t="shared" si="121"/>
        <v/>
      </c>
      <c r="EM675" s="357" t="str">
        <f t="shared" si="122"/>
        <v/>
      </c>
      <c r="EN675" s="357" t="str">
        <f t="shared" si="123"/>
        <v/>
      </c>
      <c r="EO675" s="357" t="str">
        <f t="shared" si="124"/>
        <v/>
      </c>
      <c r="EP675" s="357" t="str">
        <f t="shared" si="125"/>
        <v/>
      </c>
      <c r="EQ675" s="357" t="str">
        <f t="shared" si="126"/>
        <v/>
      </c>
      <c r="ER675" s="357" t="str">
        <f t="shared" si="127"/>
        <v/>
      </c>
      <c r="ES675" s="357" t="str">
        <f t="shared" si="128"/>
        <v/>
      </c>
      <c r="ET675" s="357" t="str">
        <f t="shared" si="129"/>
        <v/>
      </c>
      <c r="EU675" s="357" t="str">
        <f t="shared" si="130"/>
        <v/>
      </c>
      <c r="EV675" s="357" t="str">
        <f t="shared" si="131"/>
        <v/>
      </c>
      <c r="EW675" s="357" t="str">
        <f t="shared" si="132"/>
        <v/>
      </c>
      <c r="EX675" s="357" t="str">
        <f t="shared" si="133"/>
        <v/>
      </c>
      <c r="EY675" s="357" t="str">
        <f t="shared" si="134"/>
        <v/>
      </c>
      <c r="EZ675" s="357" t="str">
        <f t="shared" si="135"/>
        <v/>
      </c>
      <c r="FA675" s="357" t="str">
        <f t="shared" si="136"/>
        <v/>
      </c>
      <c r="FB675" s="357" t="str">
        <f t="shared" si="137"/>
        <v/>
      </c>
      <c r="FC675" s="357" t="str">
        <f t="shared" si="138"/>
        <v/>
      </c>
      <c r="FD675" s="357" t="str">
        <f t="shared" si="139"/>
        <v/>
      </c>
      <c r="FE675" s="357" t="str">
        <f t="shared" si="140"/>
        <v/>
      </c>
      <c r="FF675" s="357" t="str">
        <f t="shared" si="141"/>
        <v/>
      </c>
      <c r="FG675" s="357" t="str">
        <f t="shared" si="142"/>
        <v/>
      </c>
      <c r="FH675" s="357" t="str">
        <f t="shared" si="143"/>
        <v/>
      </c>
      <c r="FI675" s="357" t="str">
        <f t="shared" si="144"/>
        <v/>
      </c>
      <c r="FJ675" s="357" t="str">
        <f t="shared" si="145"/>
        <v/>
      </c>
      <c r="FK675" s="357" t="str">
        <f t="shared" si="146"/>
        <v/>
      </c>
      <c r="FL675" s="357" t="str">
        <f t="shared" si="147"/>
        <v/>
      </c>
      <c r="FM675" s="357" t="str">
        <f t="shared" si="148"/>
        <v/>
      </c>
      <c r="FN675" s="357" t="str">
        <f t="shared" si="149"/>
        <v/>
      </c>
      <c r="FO675" s="357" t="str">
        <f t="shared" si="150"/>
        <v/>
      </c>
      <c r="FP675" s="357" t="str">
        <f t="shared" si="151"/>
        <v/>
      </c>
      <c r="FQ675" s="357" t="str">
        <f t="shared" si="152"/>
        <v/>
      </c>
      <c r="FR675" s="357" t="str">
        <f t="shared" si="153"/>
        <v/>
      </c>
      <c r="FS675" s="357" t="str">
        <f t="shared" si="154"/>
        <v/>
      </c>
      <c r="FT675" s="357" t="str">
        <f t="shared" si="155"/>
        <v/>
      </c>
      <c r="FU675" s="357" t="str">
        <f t="shared" si="156"/>
        <v/>
      </c>
      <c r="FV675" s="357" t="str">
        <f t="shared" si="157"/>
        <v/>
      </c>
      <c r="FW675" s="357" t="str">
        <f t="shared" si="158"/>
        <v/>
      </c>
      <c r="FX675" s="357" t="str">
        <f t="shared" si="159"/>
        <v/>
      </c>
      <c r="FY675" s="357" t="str">
        <f t="shared" si="160"/>
        <v/>
      </c>
      <c r="FZ675" s="357" t="str">
        <f t="shared" si="161"/>
        <v/>
      </c>
      <c r="GA675" s="357" t="str">
        <f t="shared" si="162"/>
        <v/>
      </c>
      <c r="GB675" s="357" t="str">
        <f t="shared" si="163"/>
        <v/>
      </c>
      <c r="GC675" s="357" t="str">
        <f t="shared" si="164"/>
        <v/>
      </c>
      <c r="GD675" s="357" t="str">
        <f t="shared" si="165"/>
        <v/>
      </c>
      <c r="GE675" s="357" t="str">
        <f t="shared" si="166"/>
        <v/>
      </c>
      <c r="GF675" s="357" t="str">
        <f t="shared" si="167"/>
        <v/>
      </c>
      <c r="GG675" s="357" t="str">
        <f t="shared" si="168"/>
        <v/>
      </c>
      <c r="GH675" s="357" t="str">
        <f t="shared" si="169"/>
        <v/>
      </c>
      <c r="GI675" s="357" t="str">
        <f t="shared" si="170"/>
        <v/>
      </c>
      <c r="GJ675" s="357" t="str">
        <f t="shared" si="171"/>
        <v/>
      </c>
      <c r="GK675" s="357" t="str">
        <f t="shared" si="172"/>
        <v/>
      </c>
      <c r="GL675" s="357" t="str">
        <f t="shared" si="173"/>
        <v/>
      </c>
      <c r="GM675" s="357" t="str">
        <f t="shared" si="174"/>
        <v/>
      </c>
      <c r="GN675" s="357" t="str">
        <f t="shared" si="175"/>
        <v/>
      </c>
      <c r="GO675" s="357" t="str">
        <f t="shared" si="176"/>
        <v/>
      </c>
      <c r="GP675" s="357" t="str">
        <f t="shared" si="177"/>
        <v/>
      </c>
      <c r="GQ675" s="357" t="str">
        <f t="shared" si="178"/>
        <v/>
      </c>
      <c r="GR675" s="357" t="str">
        <f t="shared" si="179"/>
        <v/>
      </c>
      <c r="GS675" s="357" t="str">
        <f t="shared" si="180"/>
        <v/>
      </c>
      <c r="GT675" s="357" t="str">
        <f t="shared" si="181"/>
        <v/>
      </c>
      <c r="GU675" s="357" t="str">
        <f t="shared" si="182"/>
        <v/>
      </c>
      <c r="GV675" s="357" t="str">
        <f t="shared" si="183"/>
        <v/>
      </c>
      <c r="GW675" s="357" t="str">
        <f t="shared" si="184"/>
        <v/>
      </c>
      <c r="GX675" s="357" t="str">
        <f t="shared" si="185"/>
        <v/>
      </c>
      <c r="GY675" s="357" t="str">
        <f t="shared" si="186"/>
        <v/>
      </c>
      <c r="GZ675" s="357" t="str">
        <f t="shared" si="187"/>
        <v/>
      </c>
      <c r="HA675" s="357" t="str">
        <f t="shared" si="188"/>
        <v/>
      </c>
      <c r="HB675" s="357" t="str">
        <f t="shared" si="189"/>
        <v/>
      </c>
      <c r="HC675" s="357" t="str">
        <f t="shared" si="190"/>
        <v/>
      </c>
      <c r="HD675" s="357" t="str">
        <f t="shared" si="191"/>
        <v/>
      </c>
      <c r="HE675" s="357" t="str">
        <f t="shared" si="192"/>
        <v/>
      </c>
      <c r="HF675" s="357" t="str">
        <f t="shared" si="193"/>
        <v/>
      </c>
      <c r="HG675" s="357" t="str">
        <f t="shared" si="194"/>
        <v/>
      </c>
      <c r="HH675" s="357" t="str">
        <f t="shared" si="195"/>
        <v/>
      </c>
      <c r="HI675" s="357" t="str">
        <f t="shared" si="196"/>
        <v/>
      </c>
      <c r="HJ675" s="357" t="str">
        <f t="shared" si="197"/>
        <v/>
      </c>
      <c r="HK675" s="357" t="str">
        <f t="shared" si="198"/>
        <v/>
      </c>
      <c r="HL675" s="357" t="str">
        <f t="shared" si="199"/>
        <v/>
      </c>
      <c r="HM675" s="357" t="str">
        <f t="shared" si="200"/>
        <v/>
      </c>
      <c r="HN675" s="357" t="str">
        <f t="shared" si="201"/>
        <v/>
      </c>
      <c r="HO675" s="357" t="str">
        <f t="shared" si="202"/>
        <v/>
      </c>
      <c r="HP675" s="357" t="str">
        <f t="shared" si="203"/>
        <v/>
      </c>
      <c r="HQ675" s="357" t="str">
        <f t="shared" si="204"/>
        <v/>
      </c>
      <c r="HR675" s="357" t="str">
        <f t="shared" si="205"/>
        <v/>
      </c>
      <c r="HS675" s="357" t="str">
        <f t="shared" si="206"/>
        <v/>
      </c>
      <c r="HT675" s="357" t="str">
        <f t="shared" si="207"/>
        <v/>
      </c>
      <c r="HU675" s="357" t="str">
        <f t="shared" si="208"/>
        <v/>
      </c>
      <c r="HV675" s="357" t="str">
        <f t="shared" si="209"/>
        <v/>
      </c>
      <c r="HW675" s="357" t="str">
        <f t="shared" si="210"/>
        <v/>
      </c>
      <c r="HX675" s="357" t="str">
        <f t="shared" si="211"/>
        <v/>
      </c>
      <c r="HY675" s="357" t="str">
        <f t="shared" si="212"/>
        <v/>
      </c>
      <c r="HZ675" s="1903" t="str">
        <f t="shared" si="213"/>
        <v/>
      </c>
      <c r="IA675" s="1903" t="str">
        <f t="shared" si="214"/>
        <v/>
      </c>
      <c r="IB675" s="1903" t="str">
        <f t="shared" si="215"/>
        <v/>
      </c>
      <c r="IC675" s="1903" t="str">
        <f t="shared" si="216"/>
        <v/>
      </c>
      <c r="ID675" s="1903" t="str">
        <f t="shared" si="217"/>
        <v/>
      </c>
      <c r="IE675" s="1903" t="str">
        <f t="shared" si="218"/>
        <v/>
      </c>
      <c r="IF675" s="1903" t="str">
        <f t="shared" si="219"/>
        <v/>
      </c>
      <c r="IG675" s="1903" t="str">
        <f t="shared" si="220"/>
        <v/>
      </c>
      <c r="IH675" s="1903" t="str">
        <f t="shared" si="221"/>
        <v/>
      </c>
      <c r="II675" s="1903" t="str">
        <f t="shared" si="222"/>
        <v/>
      </c>
      <c r="IJ675" s="1903" t="str">
        <f t="shared" si="223"/>
        <v/>
      </c>
      <c r="IK675" s="1903" t="str">
        <f t="shared" si="224"/>
        <v/>
      </c>
      <c r="IL675" s="1903" t="str">
        <f t="shared" si="225"/>
        <v/>
      </c>
      <c r="IM675" s="1903" t="str">
        <f t="shared" si="226"/>
        <v/>
      </c>
      <c r="IN675" s="1903" t="str">
        <f t="shared" si="227"/>
        <v/>
      </c>
      <c r="IO675" s="1903" t="str">
        <f t="shared" si="228"/>
        <v/>
      </c>
      <c r="IP675" s="1903" t="str">
        <f t="shared" si="229"/>
        <v/>
      </c>
      <c r="IQ675" s="1903" t="str">
        <f t="shared" si="230"/>
        <v/>
      </c>
      <c r="IR675" s="1903" t="str">
        <f t="shared" si="231"/>
        <v/>
      </c>
      <c r="IS675" s="1903" t="str">
        <f t="shared" si="232"/>
        <v/>
      </c>
      <c r="IT675" s="1903" t="str">
        <f t="shared" si="233"/>
        <v/>
      </c>
      <c r="IU675" s="1903" t="str">
        <f t="shared" si="234"/>
        <v/>
      </c>
      <c r="IV675" s="1903" t="str">
        <f t="shared" si="235"/>
        <v/>
      </c>
      <c r="IW675" s="1903" t="str">
        <f t="shared" si="236"/>
        <v/>
      </c>
      <c r="IX675" s="1903" t="str">
        <f t="shared" si="237"/>
        <v/>
      </c>
      <c r="IY675" s="1903" t="str">
        <f t="shared" si="238"/>
        <v/>
      </c>
      <c r="IZ675" s="1903" t="str">
        <f t="shared" si="239"/>
        <v/>
      </c>
      <c r="JA675" s="1903" t="str">
        <f t="shared" si="240"/>
        <v/>
      </c>
      <c r="JB675" s="1903" t="str">
        <f t="shared" si="241"/>
        <v/>
      </c>
      <c r="JC675" s="1903" t="str">
        <f t="shared" si="242"/>
        <v/>
      </c>
      <c r="JD675" s="1903" t="str">
        <f t="shared" si="243"/>
        <v/>
      </c>
      <c r="JE675" s="1903" t="str">
        <f t="shared" si="244"/>
        <v/>
      </c>
      <c r="JF675" s="1903" t="str">
        <f t="shared" si="245"/>
        <v/>
      </c>
      <c r="JG675" s="1903" t="str">
        <f t="shared" si="246"/>
        <v/>
      </c>
      <c r="JH675" s="1903" t="str">
        <f t="shared" si="247"/>
        <v/>
      </c>
      <c r="JI675" s="1903" t="str">
        <f t="shared" si="248"/>
        <v/>
      </c>
      <c r="JJ675" s="1903" t="str">
        <f t="shared" si="249"/>
        <v/>
      </c>
      <c r="JK675" s="1903" t="str">
        <f t="shared" si="250"/>
        <v/>
      </c>
      <c r="JL675" s="1903" t="str">
        <f t="shared" si="251"/>
        <v/>
      </c>
      <c r="JM675" s="1903" t="str">
        <f t="shared" si="252"/>
        <v/>
      </c>
      <c r="JN675" s="1903" t="str">
        <f t="shared" si="253"/>
        <v/>
      </c>
      <c r="JO675" s="1903" t="str">
        <f t="shared" si="254"/>
        <v/>
      </c>
      <c r="JP675" s="1903" t="str">
        <f t="shared" si="255"/>
        <v/>
      </c>
      <c r="JQ675" s="1903" t="str">
        <f t="shared" si="256"/>
        <v/>
      </c>
      <c r="JR675" s="1903" t="str">
        <f t="shared" si="257"/>
        <v/>
      </c>
      <c r="JS675" s="1903" t="str">
        <f t="shared" si="258"/>
        <v/>
      </c>
      <c r="JT675" s="1903" t="str">
        <f t="shared" si="259"/>
        <v/>
      </c>
      <c r="JU675" s="1903" t="str">
        <f t="shared" si="260"/>
        <v/>
      </c>
      <c r="JV675" s="1903" t="str">
        <f t="shared" si="261"/>
        <v/>
      </c>
      <c r="JW675" s="1903" t="str">
        <f t="shared" si="262"/>
        <v/>
      </c>
      <c r="JX675" s="1903" t="str">
        <f t="shared" si="263"/>
        <v/>
      </c>
      <c r="JY675" s="1903" t="str">
        <f t="shared" si="264"/>
        <v/>
      </c>
      <c r="JZ675" s="1903" t="str">
        <f t="shared" si="265"/>
        <v/>
      </c>
      <c r="KA675" s="1903" t="str">
        <f t="shared" si="266"/>
        <v/>
      </c>
      <c r="KB675" s="1903" t="str">
        <f t="shared" si="267"/>
        <v/>
      </c>
      <c r="KC675" s="1903" t="str">
        <f t="shared" si="268"/>
        <v/>
      </c>
      <c r="KD675" s="1903" t="str">
        <f t="shared" si="269"/>
        <v/>
      </c>
      <c r="KE675" s="1903" t="str">
        <f t="shared" si="270"/>
        <v/>
      </c>
      <c r="KF675" s="1903" t="str">
        <f t="shared" si="271"/>
        <v/>
      </c>
      <c r="KG675" s="1903" t="str">
        <f t="shared" si="272"/>
        <v/>
      </c>
      <c r="KH675" s="1903" t="str">
        <f t="shared" si="273"/>
        <v/>
      </c>
      <c r="KI675" s="1903" t="str">
        <f t="shared" si="274"/>
        <v/>
      </c>
      <c r="KJ675" s="1903" t="str">
        <f t="shared" si="275"/>
        <v/>
      </c>
      <c r="KK675" s="1903" t="str">
        <f t="shared" si="276"/>
        <v/>
      </c>
      <c r="KL675" s="1903" t="str">
        <f t="shared" si="277"/>
        <v/>
      </c>
      <c r="KM675" s="1903" t="str">
        <f t="shared" si="278"/>
        <v/>
      </c>
      <c r="KN675" s="1903" t="str">
        <f t="shared" si="279"/>
        <v/>
      </c>
      <c r="KO675" s="1903" t="str">
        <f t="shared" si="280"/>
        <v/>
      </c>
      <c r="KP675" s="1903" t="str">
        <f t="shared" si="281"/>
        <v/>
      </c>
      <c r="KQ675" s="1903" t="str">
        <f t="shared" si="282"/>
        <v/>
      </c>
      <c r="KR675" s="1903" t="str">
        <f t="shared" si="283"/>
        <v/>
      </c>
      <c r="KS675" s="1903" t="str">
        <f t="shared" si="284"/>
        <v/>
      </c>
      <c r="KT675" s="1903" t="str">
        <f t="shared" si="285"/>
        <v/>
      </c>
      <c r="KU675" s="1903" t="str">
        <f t="shared" si="286"/>
        <v/>
      </c>
      <c r="KV675" s="1903" t="str">
        <f t="shared" si="287"/>
        <v/>
      </c>
      <c r="KW675" s="1903" t="str">
        <f t="shared" si="288"/>
        <v/>
      </c>
      <c r="KX675" s="1903" t="str">
        <f t="shared" si="289"/>
        <v/>
      </c>
      <c r="KY675" s="1903" t="str">
        <f t="shared" si="290"/>
        <v/>
      </c>
      <c r="KZ675" s="1903" t="str">
        <f t="shared" si="291"/>
        <v/>
      </c>
      <c r="LA675" s="1903" t="str">
        <f t="shared" si="292"/>
        <v/>
      </c>
      <c r="LB675" s="1903" t="str">
        <f t="shared" si="293"/>
        <v/>
      </c>
      <c r="LC675" s="1903" t="str">
        <f t="shared" si="294"/>
        <v/>
      </c>
      <c r="LD675" s="1903" t="str">
        <f t="shared" si="295"/>
        <v/>
      </c>
      <c r="LE675" s="1903" t="str">
        <f t="shared" si="296"/>
        <v/>
      </c>
      <c r="LF675" s="1903" t="str">
        <f t="shared" si="297"/>
        <v/>
      </c>
      <c r="LG675" s="1750" t="str">
        <f t="shared" si="298"/>
        <v/>
      </c>
      <c r="LH675" s="1750" t="str">
        <f t="shared" si="299"/>
        <v/>
      </c>
      <c r="LI675" s="1750" t="str">
        <f t="shared" si="300"/>
        <v/>
      </c>
      <c r="LJ675" s="1750" t="str">
        <f t="shared" si="301"/>
        <v/>
      </c>
      <c r="LK675" s="1750" t="str">
        <f t="shared" si="302"/>
        <v/>
      </c>
      <c r="LL675" s="357" t="str">
        <f t="shared" si="303"/>
        <v/>
      </c>
      <c r="LM675" s="357" t="str">
        <f t="shared" si="304"/>
        <v/>
      </c>
      <c r="LN675" s="357" t="str">
        <f t="shared" si="305"/>
        <v/>
      </c>
      <c r="LO675" s="357" t="str">
        <f t="shared" si="306"/>
        <v/>
      </c>
      <c r="LP675" s="357" t="str">
        <f t="shared" si="307"/>
        <v/>
      </c>
      <c r="LQ675" s="357" t="str">
        <f t="shared" si="308"/>
        <v/>
      </c>
      <c r="LR675" s="357" t="str">
        <f t="shared" si="309"/>
        <v/>
      </c>
      <c r="LS675" s="357" t="str">
        <f t="shared" si="310"/>
        <v/>
      </c>
      <c r="LT675" s="357" t="str">
        <f t="shared" si="311"/>
        <v/>
      </c>
      <c r="LU675" s="357" t="str">
        <f t="shared" si="312"/>
        <v/>
      </c>
      <c r="LV675" s="357" t="str">
        <f t="shared" si="313"/>
        <v/>
      </c>
      <c r="LW675" s="357" t="str">
        <f t="shared" si="314"/>
        <v/>
      </c>
      <c r="LX675" s="357" t="str">
        <f t="shared" si="315"/>
        <v/>
      </c>
      <c r="LY675" s="357" t="str">
        <f t="shared" si="316"/>
        <v/>
      </c>
      <c r="LZ675" s="357" t="str">
        <f t="shared" si="317"/>
        <v/>
      </c>
      <c r="MA675" s="357" t="str">
        <f t="shared" si="318"/>
        <v/>
      </c>
      <c r="MB675" s="357" t="str">
        <f t="shared" si="319"/>
        <v/>
      </c>
      <c r="MC675" s="357" t="str">
        <f t="shared" si="320"/>
        <v/>
      </c>
      <c r="MD675" s="357" t="str">
        <f t="shared" si="321"/>
        <v/>
      </c>
      <c r="ME675" s="357" t="str">
        <f t="shared" si="322"/>
        <v/>
      </c>
      <c r="MF675" s="1750">
        <f t="shared" si="323"/>
        <v>0</v>
      </c>
      <c r="MG675" s="1750">
        <f t="shared" si="324"/>
        <v>0</v>
      </c>
      <c r="MH675" s="1750">
        <f t="shared" si="325"/>
        <v>0</v>
      </c>
      <c r="MI675" s="1750">
        <f t="shared" si="326"/>
        <v>0</v>
      </c>
      <c r="MJ675" s="1750">
        <f t="shared" si="327"/>
        <v>0</v>
      </c>
      <c r="MK675" s="1750">
        <f t="shared" si="333"/>
        <v>0</v>
      </c>
      <c r="ML675" s="1750">
        <f t="shared" si="334"/>
        <v>0</v>
      </c>
      <c r="MM675" s="1750">
        <f t="shared" si="335"/>
        <v>0</v>
      </c>
      <c r="MN675" s="1750">
        <f t="shared" si="336"/>
        <v>0</v>
      </c>
      <c r="MO675" s="1750">
        <f t="shared" si="337"/>
        <v>0</v>
      </c>
      <c r="MP675" s="1750">
        <f t="shared" si="328"/>
        <v>0</v>
      </c>
      <c r="MQ675" s="1750">
        <f t="shared" si="329"/>
        <v>0</v>
      </c>
      <c r="MR675" s="1750">
        <f t="shared" si="330"/>
        <v>0</v>
      </c>
      <c r="MS675" s="1750">
        <f t="shared" si="331"/>
        <v>0</v>
      </c>
      <c r="MT675" s="1750">
        <f t="shared" si="332"/>
        <v>0</v>
      </c>
      <c r="NP675" s="357" t="s">
        <v>6440</v>
      </c>
    </row>
    <row r="676" spans="1:380" ht="13.9" customHeight="1">
      <c r="A676" s="1901" t="str">
        <f t="shared" si="0"/>
        <v/>
      </c>
      <c r="B676" s="2238">
        <f>'Part V-Revenues &amp; Expenses'!B38</f>
        <v>0</v>
      </c>
      <c r="C676" s="2229">
        <f>'Part V-Revenues &amp; Expenses'!C38</f>
        <v>0</v>
      </c>
      <c r="D676" s="2230">
        <f>'Part V-Revenues &amp; Expenses'!D38</f>
        <v>0</v>
      </c>
      <c r="E676" s="2231">
        <f>'Part V-Revenues &amp; Expenses'!E38</f>
        <v>0</v>
      </c>
      <c r="F676" s="2231">
        <f>'Part V-Revenues &amp; Expenses'!F38</f>
        <v>0</v>
      </c>
      <c r="G676" s="2231">
        <f>'Part V-Revenues &amp; Expenses'!G38</f>
        <v>0</v>
      </c>
      <c r="H676" s="2231">
        <f>'Part V-Revenues &amp; Expenses'!H38</f>
        <v>0</v>
      </c>
      <c r="I676" s="2231">
        <f>'Part V-Revenues &amp; Expenses'!I38</f>
        <v>0</v>
      </c>
      <c r="J676" s="2231">
        <f>'Part V-Revenues &amp; Expenses'!J38</f>
        <v>0</v>
      </c>
      <c r="K676" s="2232">
        <f>'Part V-Revenues &amp; Expenses'!K38</f>
        <v>0</v>
      </c>
      <c r="L676" s="2233">
        <f t="shared" si="340"/>
        <v>0</v>
      </c>
      <c r="M676" s="2233">
        <f t="shared" si="341"/>
        <v>0</v>
      </c>
      <c r="N676" s="2094">
        <f>'Part V-Revenues &amp; Expenses'!N38</f>
        <v>0</v>
      </c>
      <c r="O676" s="2234">
        <f>'Part V-Revenues &amp; Expenses'!O38</f>
        <v>0</v>
      </c>
      <c r="P676" s="2094">
        <f>'Part V-Revenues &amp; Expenses'!P38</f>
        <v>0</v>
      </c>
      <c r="Q676" s="2235">
        <f>'Part V-Revenues &amp; Expenses'!Q38</f>
        <v>0</v>
      </c>
      <c r="R676" s="2236"/>
      <c r="S676" s="2237"/>
      <c r="T676" s="2160"/>
      <c r="U676" s="2160"/>
      <c r="V676" s="2160"/>
      <c r="W676" s="2160"/>
      <c r="X676" s="357" t="str">
        <f t="shared" si="3"/>
        <v/>
      </c>
      <c r="Y676" s="357" t="str">
        <f t="shared" si="4"/>
        <v/>
      </c>
      <c r="Z676" s="357" t="str">
        <f t="shared" si="5"/>
        <v/>
      </c>
      <c r="AA676" s="357" t="str">
        <f t="shared" si="6"/>
        <v/>
      </c>
      <c r="AB676" s="357" t="str">
        <f t="shared" si="7"/>
        <v/>
      </c>
      <c r="AC676" s="357" t="str">
        <f t="shared" si="8"/>
        <v/>
      </c>
      <c r="AD676" s="357" t="str">
        <f t="shared" si="9"/>
        <v/>
      </c>
      <c r="AE676" s="357" t="str">
        <f t="shared" si="10"/>
        <v/>
      </c>
      <c r="AF676" s="357" t="str">
        <f t="shared" si="11"/>
        <v/>
      </c>
      <c r="AG676" s="357" t="str">
        <f t="shared" si="12"/>
        <v/>
      </c>
      <c r="AH676" s="357" t="str">
        <f t="shared" si="13"/>
        <v/>
      </c>
      <c r="AI676" s="357" t="str">
        <f t="shared" si="14"/>
        <v/>
      </c>
      <c r="AJ676" s="357" t="str">
        <f t="shared" si="15"/>
        <v/>
      </c>
      <c r="AK676" s="357" t="str">
        <f t="shared" si="16"/>
        <v/>
      </c>
      <c r="AL676" s="357" t="str">
        <f t="shared" si="17"/>
        <v/>
      </c>
      <c r="AM676" s="357" t="str">
        <f t="shared" si="18"/>
        <v/>
      </c>
      <c r="AN676" s="357" t="str">
        <f t="shared" si="19"/>
        <v/>
      </c>
      <c r="AO676" s="357" t="str">
        <f t="shared" si="20"/>
        <v/>
      </c>
      <c r="AP676" s="357" t="str">
        <f t="shared" si="21"/>
        <v/>
      </c>
      <c r="AQ676" s="357" t="str">
        <f t="shared" si="22"/>
        <v/>
      </c>
      <c r="AR676" s="357" t="str">
        <f t="shared" si="23"/>
        <v/>
      </c>
      <c r="AS676" s="357" t="str">
        <f t="shared" si="24"/>
        <v/>
      </c>
      <c r="AT676" s="357" t="str">
        <f t="shared" si="25"/>
        <v/>
      </c>
      <c r="AU676" s="357" t="str">
        <f t="shared" si="26"/>
        <v/>
      </c>
      <c r="AV676" s="357" t="str">
        <f t="shared" si="27"/>
        <v/>
      </c>
      <c r="AW676" s="357" t="str">
        <f t="shared" si="28"/>
        <v/>
      </c>
      <c r="AX676" s="357" t="str">
        <f t="shared" si="29"/>
        <v/>
      </c>
      <c r="AY676" s="357" t="str">
        <f t="shared" si="30"/>
        <v/>
      </c>
      <c r="AZ676" s="357" t="str">
        <f t="shared" si="31"/>
        <v/>
      </c>
      <c r="BA676" s="357" t="str">
        <f t="shared" si="32"/>
        <v/>
      </c>
      <c r="BB676" s="357" t="str">
        <f t="shared" si="33"/>
        <v/>
      </c>
      <c r="BC676" s="357" t="str">
        <f t="shared" si="34"/>
        <v/>
      </c>
      <c r="BD676" s="357" t="str">
        <f t="shared" si="35"/>
        <v/>
      </c>
      <c r="BE676" s="357" t="str">
        <f t="shared" si="36"/>
        <v/>
      </c>
      <c r="BF676" s="357" t="str">
        <f t="shared" si="37"/>
        <v/>
      </c>
      <c r="BG676" s="357" t="str">
        <f t="shared" si="38"/>
        <v/>
      </c>
      <c r="BH676" s="357" t="str">
        <f t="shared" si="39"/>
        <v/>
      </c>
      <c r="BI676" s="357" t="str">
        <f t="shared" si="40"/>
        <v/>
      </c>
      <c r="BJ676" s="357" t="str">
        <f t="shared" si="41"/>
        <v/>
      </c>
      <c r="BK676" s="357" t="str">
        <f t="shared" si="42"/>
        <v/>
      </c>
      <c r="BL676" s="357" t="str">
        <f t="shared" si="43"/>
        <v/>
      </c>
      <c r="BM676" s="357" t="str">
        <f t="shared" si="44"/>
        <v/>
      </c>
      <c r="BN676" s="357" t="str">
        <f t="shared" si="45"/>
        <v/>
      </c>
      <c r="BO676" s="357" t="str">
        <f t="shared" si="46"/>
        <v/>
      </c>
      <c r="BP676" s="357" t="str">
        <f t="shared" si="47"/>
        <v/>
      </c>
      <c r="BQ676" s="357" t="str">
        <f t="shared" si="48"/>
        <v/>
      </c>
      <c r="BR676" s="357" t="str">
        <f t="shared" si="49"/>
        <v/>
      </c>
      <c r="BS676" s="357" t="str">
        <f t="shared" si="50"/>
        <v/>
      </c>
      <c r="BT676" s="357" t="str">
        <f t="shared" si="51"/>
        <v/>
      </c>
      <c r="BU676" s="357" t="str">
        <f t="shared" si="52"/>
        <v/>
      </c>
      <c r="BV676" s="357" t="str">
        <f t="shared" si="53"/>
        <v/>
      </c>
      <c r="BW676" s="357" t="str">
        <f t="shared" si="54"/>
        <v/>
      </c>
      <c r="BX676" s="357" t="str">
        <f t="shared" si="55"/>
        <v/>
      </c>
      <c r="BY676" s="357" t="str">
        <f t="shared" si="56"/>
        <v/>
      </c>
      <c r="BZ676" s="357" t="str">
        <f t="shared" si="57"/>
        <v/>
      </c>
      <c r="CA676" s="357" t="str">
        <f t="shared" si="58"/>
        <v/>
      </c>
      <c r="CB676" s="357" t="str">
        <f t="shared" si="59"/>
        <v/>
      </c>
      <c r="CC676" s="357" t="str">
        <f t="shared" si="60"/>
        <v/>
      </c>
      <c r="CD676" s="357" t="str">
        <f t="shared" si="61"/>
        <v/>
      </c>
      <c r="CE676" s="357" t="str">
        <f t="shared" si="62"/>
        <v/>
      </c>
      <c r="CF676" s="357" t="str">
        <f t="shared" si="63"/>
        <v/>
      </c>
      <c r="CG676" s="357" t="str">
        <f t="shared" si="64"/>
        <v/>
      </c>
      <c r="CH676" s="357" t="str">
        <f t="shared" si="65"/>
        <v/>
      </c>
      <c r="CI676" s="357" t="str">
        <f t="shared" si="66"/>
        <v/>
      </c>
      <c r="CJ676" s="357" t="str">
        <f t="shared" si="67"/>
        <v/>
      </c>
      <c r="CK676" s="357" t="str">
        <f t="shared" si="68"/>
        <v/>
      </c>
      <c r="CL676" s="357" t="str">
        <f t="shared" si="69"/>
        <v/>
      </c>
      <c r="CM676" s="357" t="str">
        <f t="shared" si="70"/>
        <v/>
      </c>
      <c r="CN676" s="357" t="str">
        <f t="shared" si="71"/>
        <v/>
      </c>
      <c r="CO676" s="357" t="str">
        <f t="shared" si="72"/>
        <v/>
      </c>
      <c r="CP676" s="357" t="str">
        <f t="shared" si="73"/>
        <v/>
      </c>
      <c r="CQ676" s="357" t="str">
        <f t="shared" si="74"/>
        <v/>
      </c>
      <c r="CR676" s="357" t="str">
        <f t="shared" si="75"/>
        <v/>
      </c>
      <c r="CS676" s="357" t="str">
        <f t="shared" si="76"/>
        <v/>
      </c>
      <c r="CT676" s="357" t="str">
        <f t="shared" si="77"/>
        <v/>
      </c>
      <c r="CU676" s="357" t="str">
        <f t="shared" si="78"/>
        <v/>
      </c>
      <c r="CV676" s="357" t="str">
        <f t="shared" si="79"/>
        <v/>
      </c>
      <c r="CW676" s="357" t="str">
        <f t="shared" si="80"/>
        <v/>
      </c>
      <c r="CX676" s="357" t="str">
        <f t="shared" si="81"/>
        <v/>
      </c>
      <c r="CY676" s="357" t="str">
        <f t="shared" si="82"/>
        <v/>
      </c>
      <c r="CZ676" s="357" t="str">
        <f t="shared" si="83"/>
        <v/>
      </c>
      <c r="DA676" s="357" t="str">
        <f t="shared" si="84"/>
        <v/>
      </c>
      <c r="DB676" s="357" t="str">
        <f t="shared" si="85"/>
        <v/>
      </c>
      <c r="DC676" s="357" t="str">
        <f t="shared" si="86"/>
        <v/>
      </c>
      <c r="DD676" s="357" t="str">
        <f t="shared" si="87"/>
        <v/>
      </c>
      <c r="DE676" s="357" t="str">
        <f t="shared" si="88"/>
        <v/>
      </c>
      <c r="DF676" s="357" t="str">
        <f t="shared" si="89"/>
        <v/>
      </c>
      <c r="DG676" s="357" t="str">
        <f t="shared" si="90"/>
        <v/>
      </c>
      <c r="DH676" s="357" t="str">
        <f t="shared" si="91"/>
        <v/>
      </c>
      <c r="DI676" s="357" t="str">
        <f t="shared" si="92"/>
        <v/>
      </c>
      <c r="DJ676" s="357" t="str">
        <f t="shared" si="93"/>
        <v/>
      </c>
      <c r="DK676" s="357" t="str">
        <f t="shared" si="94"/>
        <v/>
      </c>
      <c r="DL676" s="357" t="str">
        <f t="shared" si="95"/>
        <v/>
      </c>
      <c r="DM676" s="357" t="str">
        <f t="shared" si="96"/>
        <v/>
      </c>
      <c r="DN676" s="357" t="str">
        <f t="shared" si="97"/>
        <v/>
      </c>
      <c r="DO676" s="357" t="str">
        <f t="shared" si="98"/>
        <v/>
      </c>
      <c r="DP676" s="357" t="str">
        <f t="shared" si="99"/>
        <v/>
      </c>
      <c r="DQ676" s="357" t="str">
        <f t="shared" si="100"/>
        <v/>
      </c>
      <c r="DR676" s="357" t="str">
        <f t="shared" si="101"/>
        <v/>
      </c>
      <c r="DS676" s="357" t="str">
        <f t="shared" si="102"/>
        <v/>
      </c>
      <c r="DT676" s="357" t="str">
        <f t="shared" si="103"/>
        <v/>
      </c>
      <c r="DU676" s="357" t="str">
        <f t="shared" si="104"/>
        <v/>
      </c>
      <c r="DV676" s="357" t="str">
        <f t="shared" si="105"/>
        <v/>
      </c>
      <c r="DW676" s="357" t="str">
        <f t="shared" si="106"/>
        <v/>
      </c>
      <c r="DX676" s="357" t="str">
        <f t="shared" si="107"/>
        <v/>
      </c>
      <c r="DY676" s="357" t="str">
        <f t="shared" si="108"/>
        <v/>
      </c>
      <c r="DZ676" s="357" t="str">
        <f t="shared" si="109"/>
        <v/>
      </c>
      <c r="EA676" s="357" t="str">
        <f t="shared" si="110"/>
        <v/>
      </c>
      <c r="EB676" s="357" t="str">
        <f t="shared" si="111"/>
        <v/>
      </c>
      <c r="EC676" s="357" t="str">
        <f t="shared" si="112"/>
        <v/>
      </c>
      <c r="ED676" s="357" t="str">
        <f t="shared" si="113"/>
        <v/>
      </c>
      <c r="EE676" s="357" t="str">
        <f t="shared" si="114"/>
        <v/>
      </c>
      <c r="EF676" s="357" t="str">
        <f t="shared" si="115"/>
        <v/>
      </c>
      <c r="EG676" s="357" t="str">
        <f t="shared" si="116"/>
        <v/>
      </c>
      <c r="EH676" s="357" t="str">
        <f t="shared" si="117"/>
        <v/>
      </c>
      <c r="EI676" s="357" t="str">
        <f t="shared" si="118"/>
        <v/>
      </c>
      <c r="EJ676" s="357" t="str">
        <f t="shared" si="119"/>
        <v/>
      </c>
      <c r="EK676" s="357" t="str">
        <f t="shared" si="120"/>
        <v/>
      </c>
      <c r="EL676" s="357" t="str">
        <f t="shared" si="121"/>
        <v/>
      </c>
      <c r="EM676" s="357" t="str">
        <f t="shared" si="122"/>
        <v/>
      </c>
      <c r="EN676" s="357" t="str">
        <f t="shared" si="123"/>
        <v/>
      </c>
      <c r="EO676" s="357" t="str">
        <f t="shared" si="124"/>
        <v/>
      </c>
      <c r="EP676" s="357" t="str">
        <f t="shared" si="125"/>
        <v/>
      </c>
      <c r="EQ676" s="357" t="str">
        <f t="shared" si="126"/>
        <v/>
      </c>
      <c r="ER676" s="357" t="str">
        <f t="shared" si="127"/>
        <v/>
      </c>
      <c r="ES676" s="357" t="str">
        <f t="shared" si="128"/>
        <v/>
      </c>
      <c r="ET676" s="357" t="str">
        <f t="shared" si="129"/>
        <v/>
      </c>
      <c r="EU676" s="357" t="str">
        <f t="shared" si="130"/>
        <v/>
      </c>
      <c r="EV676" s="357" t="str">
        <f t="shared" si="131"/>
        <v/>
      </c>
      <c r="EW676" s="357" t="str">
        <f t="shared" si="132"/>
        <v/>
      </c>
      <c r="EX676" s="357" t="str">
        <f t="shared" si="133"/>
        <v/>
      </c>
      <c r="EY676" s="357" t="str">
        <f t="shared" si="134"/>
        <v/>
      </c>
      <c r="EZ676" s="357" t="str">
        <f t="shared" si="135"/>
        <v/>
      </c>
      <c r="FA676" s="357" t="str">
        <f t="shared" si="136"/>
        <v/>
      </c>
      <c r="FB676" s="357" t="str">
        <f t="shared" si="137"/>
        <v/>
      </c>
      <c r="FC676" s="357" t="str">
        <f t="shared" si="138"/>
        <v/>
      </c>
      <c r="FD676" s="357" t="str">
        <f t="shared" si="139"/>
        <v/>
      </c>
      <c r="FE676" s="357" t="str">
        <f t="shared" si="140"/>
        <v/>
      </c>
      <c r="FF676" s="357" t="str">
        <f t="shared" si="141"/>
        <v/>
      </c>
      <c r="FG676" s="357" t="str">
        <f t="shared" si="142"/>
        <v/>
      </c>
      <c r="FH676" s="357" t="str">
        <f t="shared" si="143"/>
        <v/>
      </c>
      <c r="FI676" s="357" t="str">
        <f t="shared" si="144"/>
        <v/>
      </c>
      <c r="FJ676" s="357" t="str">
        <f t="shared" si="145"/>
        <v/>
      </c>
      <c r="FK676" s="357" t="str">
        <f t="shared" si="146"/>
        <v/>
      </c>
      <c r="FL676" s="357" t="str">
        <f t="shared" si="147"/>
        <v/>
      </c>
      <c r="FM676" s="357" t="str">
        <f t="shared" si="148"/>
        <v/>
      </c>
      <c r="FN676" s="357" t="str">
        <f t="shared" si="149"/>
        <v/>
      </c>
      <c r="FO676" s="357" t="str">
        <f t="shared" si="150"/>
        <v/>
      </c>
      <c r="FP676" s="357" t="str">
        <f t="shared" si="151"/>
        <v/>
      </c>
      <c r="FQ676" s="357" t="str">
        <f t="shared" si="152"/>
        <v/>
      </c>
      <c r="FR676" s="357" t="str">
        <f t="shared" si="153"/>
        <v/>
      </c>
      <c r="FS676" s="357" t="str">
        <f t="shared" si="154"/>
        <v/>
      </c>
      <c r="FT676" s="357" t="str">
        <f t="shared" si="155"/>
        <v/>
      </c>
      <c r="FU676" s="357" t="str">
        <f t="shared" si="156"/>
        <v/>
      </c>
      <c r="FV676" s="357" t="str">
        <f t="shared" si="157"/>
        <v/>
      </c>
      <c r="FW676" s="357" t="str">
        <f t="shared" si="158"/>
        <v/>
      </c>
      <c r="FX676" s="357" t="str">
        <f t="shared" si="159"/>
        <v/>
      </c>
      <c r="FY676" s="357" t="str">
        <f t="shared" si="160"/>
        <v/>
      </c>
      <c r="FZ676" s="357" t="str">
        <f t="shared" si="161"/>
        <v/>
      </c>
      <c r="GA676" s="357" t="str">
        <f t="shared" si="162"/>
        <v/>
      </c>
      <c r="GB676" s="357" t="str">
        <f t="shared" si="163"/>
        <v/>
      </c>
      <c r="GC676" s="357" t="str">
        <f t="shared" si="164"/>
        <v/>
      </c>
      <c r="GD676" s="357" t="str">
        <f t="shared" si="165"/>
        <v/>
      </c>
      <c r="GE676" s="357" t="str">
        <f t="shared" si="166"/>
        <v/>
      </c>
      <c r="GF676" s="357" t="str">
        <f t="shared" si="167"/>
        <v/>
      </c>
      <c r="GG676" s="357" t="str">
        <f t="shared" si="168"/>
        <v/>
      </c>
      <c r="GH676" s="357" t="str">
        <f t="shared" si="169"/>
        <v/>
      </c>
      <c r="GI676" s="357" t="str">
        <f t="shared" si="170"/>
        <v/>
      </c>
      <c r="GJ676" s="357" t="str">
        <f t="shared" si="171"/>
        <v/>
      </c>
      <c r="GK676" s="357" t="str">
        <f t="shared" si="172"/>
        <v/>
      </c>
      <c r="GL676" s="357" t="str">
        <f t="shared" si="173"/>
        <v/>
      </c>
      <c r="GM676" s="357" t="str">
        <f t="shared" si="174"/>
        <v/>
      </c>
      <c r="GN676" s="357" t="str">
        <f t="shared" si="175"/>
        <v/>
      </c>
      <c r="GO676" s="357" t="str">
        <f t="shared" si="176"/>
        <v/>
      </c>
      <c r="GP676" s="357" t="str">
        <f t="shared" si="177"/>
        <v/>
      </c>
      <c r="GQ676" s="357" t="str">
        <f t="shared" si="178"/>
        <v/>
      </c>
      <c r="GR676" s="357" t="str">
        <f t="shared" si="179"/>
        <v/>
      </c>
      <c r="GS676" s="357" t="str">
        <f t="shared" si="180"/>
        <v/>
      </c>
      <c r="GT676" s="357" t="str">
        <f t="shared" si="181"/>
        <v/>
      </c>
      <c r="GU676" s="357" t="str">
        <f t="shared" si="182"/>
        <v/>
      </c>
      <c r="GV676" s="357" t="str">
        <f t="shared" si="183"/>
        <v/>
      </c>
      <c r="GW676" s="357" t="str">
        <f t="shared" si="184"/>
        <v/>
      </c>
      <c r="GX676" s="357" t="str">
        <f t="shared" si="185"/>
        <v/>
      </c>
      <c r="GY676" s="357" t="str">
        <f t="shared" si="186"/>
        <v/>
      </c>
      <c r="GZ676" s="357" t="str">
        <f t="shared" si="187"/>
        <v/>
      </c>
      <c r="HA676" s="357" t="str">
        <f t="shared" si="188"/>
        <v/>
      </c>
      <c r="HB676" s="357" t="str">
        <f t="shared" si="189"/>
        <v/>
      </c>
      <c r="HC676" s="357" t="str">
        <f t="shared" si="190"/>
        <v/>
      </c>
      <c r="HD676" s="357" t="str">
        <f t="shared" si="191"/>
        <v/>
      </c>
      <c r="HE676" s="357" t="str">
        <f t="shared" si="192"/>
        <v/>
      </c>
      <c r="HF676" s="357" t="str">
        <f t="shared" si="193"/>
        <v/>
      </c>
      <c r="HG676" s="357" t="str">
        <f t="shared" si="194"/>
        <v/>
      </c>
      <c r="HH676" s="357" t="str">
        <f t="shared" si="195"/>
        <v/>
      </c>
      <c r="HI676" s="357" t="str">
        <f t="shared" si="196"/>
        <v/>
      </c>
      <c r="HJ676" s="357" t="str">
        <f t="shared" si="197"/>
        <v/>
      </c>
      <c r="HK676" s="357" t="str">
        <f t="shared" si="198"/>
        <v/>
      </c>
      <c r="HL676" s="357" t="str">
        <f t="shared" si="199"/>
        <v/>
      </c>
      <c r="HM676" s="357" t="str">
        <f t="shared" si="200"/>
        <v/>
      </c>
      <c r="HN676" s="357" t="str">
        <f t="shared" si="201"/>
        <v/>
      </c>
      <c r="HO676" s="357" t="str">
        <f t="shared" si="202"/>
        <v/>
      </c>
      <c r="HP676" s="357" t="str">
        <f t="shared" si="203"/>
        <v/>
      </c>
      <c r="HQ676" s="357" t="str">
        <f t="shared" si="204"/>
        <v/>
      </c>
      <c r="HR676" s="357" t="str">
        <f t="shared" si="205"/>
        <v/>
      </c>
      <c r="HS676" s="357" t="str">
        <f t="shared" si="206"/>
        <v/>
      </c>
      <c r="HT676" s="357" t="str">
        <f t="shared" si="207"/>
        <v/>
      </c>
      <c r="HU676" s="357" t="str">
        <f t="shared" si="208"/>
        <v/>
      </c>
      <c r="HV676" s="357" t="str">
        <f t="shared" si="209"/>
        <v/>
      </c>
      <c r="HW676" s="357" t="str">
        <f t="shared" si="210"/>
        <v/>
      </c>
      <c r="HX676" s="357" t="str">
        <f t="shared" si="211"/>
        <v/>
      </c>
      <c r="HY676" s="357" t="str">
        <f t="shared" si="212"/>
        <v/>
      </c>
      <c r="HZ676" s="1903" t="str">
        <f t="shared" si="213"/>
        <v/>
      </c>
      <c r="IA676" s="1903" t="str">
        <f t="shared" si="214"/>
        <v/>
      </c>
      <c r="IB676" s="1903" t="str">
        <f t="shared" si="215"/>
        <v/>
      </c>
      <c r="IC676" s="1903" t="str">
        <f t="shared" si="216"/>
        <v/>
      </c>
      <c r="ID676" s="1903" t="str">
        <f t="shared" si="217"/>
        <v/>
      </c>
      <c r="IE676" s="1903" t="str">
        <f t="shared" si="218"/>
        <v/>
      </c>
      <c r="IF676" s="1903" t="str">
        <f t="shared" si="219"/>
        <v/>
      </c>
      <c r="IG676" s="1903" t="str">
        <f t="shared" si="220"/>
        <v/>
      </c>
      <c r="IH676" s="1903" t="str">
        <f t="shared" si="221"/>
        <v/>
      </c>
      <c r="II676" s="1903" t="str">
        <f t="shared" si="222"/>
        <v/>
      </c>
      <c r="IJ676" s="1903" t="str">
        <f t="shared" si="223"/>
        <v/>
      </c>
      <c r="IK676" s="1903" t="str">
        <f t="shared" si="224"/>
        <v/>
      </c>
      <c r="IL676" s="1903" t="str">
        <f t="shared" si="225"/>
        <v/>
      </c>
      <c r="IM676" s="1903" t="str">
        <f t="shared" si="226"/>
        <v/>
      </c>
      <c r="IN676" s="1903" t="str">
        <f t="shared" si="227"/>
        <v/>
      </c>
      <c r="IO676" s="1903" t="str">
        <f t="shared" si="228"/>
        <v/>
      </c>
      <c r="IP676" s="1903" t="str">
        <f t="shared" si="229"/>
        <v/>
      </c>
      <c r="IQ676" s="1903" t="str">
        <f t="shared" si="230"/>
        <v/>
      </c>
      <c r="IR676" s="1903" t="str">
        <f t="shared" si="231"/>
        <v/>
      </c>
      <c r="IS676" s="1903" t="str">
        <f t="shared" si="232"/>
        <v/>
      </c>
      <c r="IT676" s="1903" t="str">
        <f t="shared" si="233"/>
        <v/>
      </c>
      <c r="IU676" s="1903" t="str">
        <f t="shared" si="234"/>
        <v/>
      </c>
      <c r="IV676" s="1903" t="str">
        <f t="shared" si="235"/>
        <v/>
      </c>
      <c r="IW676" s="1903" t="str">
        <f t="shared" si="236"/>
        <v/>
      </c>
      <c r="IX676" s="1903" t="str">
        <f t="shared" si="237"/>
        <v/>
      </c>
      <c r="IY676" s="1903" t="str">
        <f t="shared" si="238"/>
        <v/>
      </c>
      <c r="IZ676" s="1903" t="str">
        <f t="shared" si="239"/>
        <v/>
      </c>
      <c r="JA676" s="1903" t="str">
        <f t="shared" si="240"/>
        <v/>
      </c>
      <c r="JB676" s="1903" t="str">
        <f t="shared" si="241"/>
        <v/>
      </c>
      <c r="JC676" s="1903" t="str">
        <f t="shared" si="242"/>
        <v/>
      </c>
      <c r="JD676" s="1903" t="str">
        <f t="shared" si="243"/>
        <v/>
      </c>
      <c r="JE676" s="1903" t="str">
        <f t="shared" si="244"/>
        <v/>
      </c>
      <c r="JF676" s="1903" t="str">
        <f t="shared" si="245"/>
        <v/>
      </c>
      <c r="JG676" s="1903" t="str">
        <f t="shared" si="246"/>
        <v/>
      </c>
      <c r="JH676" s="1903" t="str">
        <f t="shared" si="247"/>
        <v/>
      </c>
      <c r="JI676" s="1903" t="str">
        <f t="shared" si="248"/>
        <v/>
      </c>
      <c r="JJ676" s="1903" t="str">
        <f t="shared" si="249"/>
        <v/>
      </c>
      <c r="JK676" s="1903" t="str">
        <f t="shared" si="250"/>
        <v/>
      </c>
      <c r="JL676" s="1903" t="str">
        <f t="shared" si="251"/>
        <v/>
      </c>
      <c r="JM676" s="1903" t="str">
        <f t="shared" si="252"/>
        <v/>
      </c>
      <c r="JN676" s="1903" t="str">
        <f t="shared" si="253"/>
        <v/>
      </c>
      <c r="JO676" s="1903" t="str">
        <f t="shared" si="254"/>
        <v/>
      </c>
      <c r="JP676" s="1903" t="str">
        <f t="shared" si="255"/>
        <v/>
      </c>
      <c r="JQ676" s="1903" t="str">
        <f t="shared" si="256"/>
        <v/>
      </c>
      <c r="JR676" s="1903" t="str">
        <f t="shared" si="257"/>
        <v/>
      </c>
      <c r="JS676" s="1903" t="str">
        <f t="shared" si="258"/>
        <v/>
      </c>
      <c r="JT676" s="1903" t="str">
        <f t="shared" si="259"/>
        <v/>
      </c>
      <c r="JU676" s="1903" t="str">
        <f t="shared" si="260"/>
        <v/>
      </c>
      <c r="JV676" s="1903" t="str">
        <f t="shared" si="261"/>
        <v/>
      </c>
      <c r="JW676" s="1903" t="str">
        <f t="shared" si="262"/>
        <v/>
      </c>
      <c r="JX676" s="1903" t="str">
        <f t="shared" si="263"/>
        <v/>
      </c>
      <c r="JY676" s="1903" t="str">
        <f t="shared" si="264"/>
        <v/>
      </c>
      <c r="JZ676" s="1903" t="str">
        <f t="shared" si="265"/>
        <v/>
      </c>
      <c r="KA676" s="1903" t="str">
        <f t="shared" si="266"/>
        <v/>
      </c>
      <c r="KB676" s="1903" t="str">
        <f t="shared" si="267"/>
        <v/>
      </c>
      <c r="KC676" s="1903" t="str">
        <f t="shared" si="268"/>
        <v/>
      </c>
      <c r="KD676" s="1903" t="str">
        <f t="shared" si="269"/>
        <v/>
      </c>
      <c r="KE676" s="1903" t="str">
        <f t="shared" si="270"/>
        <v/>
      </c>
      <c r="KF676" s="1903" t="str">
        <f t="shared" si="271"/>
        <v/>
      </c>
      <c r="KG676" s="1903" t="str">
        <f t="shared" si="272"/>
        <v/>
      </c>
      <c r="KH676" s="1903" t="str">
        <f t="shared" si="273"/>
        <v/>
      </c>
      <c r="KI676" s="1903" t="str">
        <f t="shared" si="274"/>
        <v/>
      </c>
      <c r="KJ676" s="1903" t="str">
        <f t="shared" si="275"/>
        <v/>
      </c>
      <c r="KK676" s="1903" t="str">
        <f t="shared" si="276"/>
        <v/>
      </c>
      <c r="KL676" s="1903" t="str">
        <f t="shared" si="277"/>
        <v/>
      </c>
      <c r="KM676" s="1903" t="str">
        <f t="shared" si="278"/>
        <v/>
      </c>
      <c r="KN676" s="1903" t="str">
        <f t="shared" si="279"/>
        <v/>
      </c>
      <c r="KO676" s="1903" t="str">
        <f t="shared" si="280"/>
        <v/>
      </c>
      <c r="KP676" s="1903" t="str">
        <f t="shared" si="281"/>
        <v/>
      </c>
      <c r="KQ676" s="1903" t="str">
        <f t="shared" si="282"/>
        <v/>
      </c>
      <c r="KR676" s="1903" t="str">
        <f t="shared" si="283"/>
        <v/>
      </c>
      <c r="KS676" s="1903" t="str">
        <f t="shared" si="284"/>
        <v/>
      </c>
      <c r="KT676" s="1903" t="str">
        <f t="shared" si="285"/>
        <v/>
      </c>
      <c r="KU676" s="1903" t="str">
        <f t="shared" si="286"/>
        <v/>
      </c>
      <c r="KV676" s="1903" t="str">
        <f t="shared" si="287"/>
        <v/>
      </c>
      <c r="KW676" s="1903" t="str">
        <f t="shared" si="288"/>
        <v/>
      </c>
      <c r="KX676" s="1903" t="str">
        <f t="shared" si="289"/>
        <v/>
      </c>
      <c r="KY676" s="1903" t="str">
        <f t="shared" si="290"/>
        <v/>
      </c>
      <c r="KZ676" s="1903" t="str">
        <f t="shared" si="291"/>
        <v/>
      </c>
      <c r="LA676" s="1903" t="str">
        <f t="shared" si="292"/>
        <v/>
      </c>
      <c r="LB676" s="1903" t="str">
        <f t="shared" si="293"/>
        <v/>
      </c>
      <c r="LC676" s="1903" t="str">
        <f t="shared" si="294"/>
        <v/>
      </c>
      <c r="LD676" s="1903" t="str">
        <f t="shared" si="295"/>
        <v/>
      </c>
      <c r="LE676" s="1903" t="str">
        <f t="shared" si="296"/>
        <v/>
      </c>
      <c r="LF676" s="1903" t="str">
        <f t="shared" si="297"/>
        <v/>
      </c>
      <c r="LG676" s="1750" t="str">
        <f t="shared" si="298"/>
        <v/>
      </c>
      <c r="LH676" s="1750" t="str">
        <f t="shared" si="299"/>
        <v/>
      </c>
      <c r="LI676" s="1750" t="str">
        <f t="shared" si="300"/>
        <v/>
      </c>
      <c r="LJ676" s="1750" t="str">
        <f t="shared" si="301"/>
        <v/>
      </c>
      <c r="LK676" s="1750" t="str">
        <f t="shared" si="302"/>
        <v/>
      </c>
      <c r="LL676" s="357" t="str">
        <f t="shared" si="303"/>
        <v/>
      </c>
      <c r="LM676" s="357" t="str">
        <f t="shared" si="304"/>
        <v/>
      </c>
      <c r="LN676" s="357" t="str">
        <f t="shared" si="305"/>
        <v/>
      </c>
      <c r="LO676" s="357" t="str">
        <f t="shared" si="306"/>
        <v/>
      </c>
      <c r="LP676" s="357" t="str">
        <f t="shared" si="307"/>
        <v/>
      </c>
      <c r="LQ676" s="357" t="str">
        <f t="shared" si="308"/>
        <v/>
      </c>
      <c r="LR676" s="357" t="str">
        <f t="shared" si="309"/>
        <v/>
      </c>
      <c r="LS676" s="357" t="str">
        <f t="shared" si="310"/>
        <v/>
      </c>
      <c r="LT676" s="357" t="str">
        <f t="shared" si="311"/>
        <v/>
      </c>
      <c r="LU676" s="357" t="str">
        <f t="shared" si="312"/>
        <v/>
      </c>
      <c r="LV676" s="357" t="str">
        <f t="shared" si="313"/>
        <v/>
      </c>
      <c r="LW676" s="357" t="str">
        <f t="shared" si="314"/>
        <v/>
      </c>
      <c r="LX676" s="357" t="str">
        <f t="shared" si="315"/>
        <v/>
      </c>
      <c r="LY676" s="357" t="str">
        <f t="shared" si="316"/>
        <v/>
      </c>
      <c r="LZ676" s="357" t="str">
        <f t="shared" si="317"/>
        <v/>
      </c>
      <c r="MA676" s="357" t="str">
        <f t="shared" si="318"/>
        <v/>
      </c>
      <c r="MB676" s="357" t="str">
        <f t="shared" si="319"/>
        <v/>
      </c>
      <c r="MC676" s="357" t="str">
        <f t="shared" si="320"/>
        <v/>
      </c>
      <c r="MD676" s="357" t="str">
        <f t="shared" si="321"/>
        <v/>
      </c>
      <c r="ME676" s="357" t="str">
        <f t="shared" si="322"/>
        <v/>
      </c>
      <c r="MF676" s="1750">
        <f t="shared" si="323"/>
        <v>0</v>
      </c>
      <c r="MG676" s="1750">
        <f t="shared" si="324"/>
        <v>0</v>
      </c>
      <c r="MH676" s="1750">
        <f t="shared" si="325"/>
        <v>0</v>
      </c>
      <c r="MI676" s="1750">
        <f t="shared" si="326"/>
        <v>0</v>
      </c>
      <c r="MJ676" s="1750">
        <f t="shared" si="327"/>
        <v>0</v>
      </c>
      <c r="MK676" s="1750">
        <f t="shared" si="333"/>
        <v>0</v>
      </c>
      <c r="ML676" s="1750">
        <f t="shared" si="334"/>
        <v>0</v>
      </c>
      <c r="MM676" s="1750">
        <f t="shared" si="335"/>
        <v>0</v>
      </c>
      <c r="MN676" s="1750">
        <f t="shared" si="336"/>
        <v>0</v>
      </c>
      <c r="MO676" s="1750">
        <f t="shared" si="337"/>
        <v>0</v>
      </c>
      <c r="MP676" s="1750">
        <f t="shared" si="328"/>
        <v>0</v>
      </c>
      <c r="MQ676" s="1750">
        <f t="shared" si="329"/>
        <v>0</v>
      </c>
      <c r="MR676" s="1750">
        <f t="shared" si="330"/>
        <v>0</v>
      </c>
      <c r="MS676" s="1750">
        <f t="shared" si="331"/>
        <v>0</v>
      </c>
      <c r="MT676" s="1750">
        <f t="shared" si="332"/>
        <v>0</v>
      </c>
      <c r="NP676" s="357" t="s">
        <v>6441</v>
      </c>
    </row>
    <row r="677" spans="1:380" ht="13.9" customHeight="1">
      <c r="A677" s="1901" t="str">
        <f t="shared" si="0"/>
        <v/>
      </c>
      <c r="B677" s="2238">
        <f>'Part V-Revenues &amp; Expenses'!B39</f>
        <v>0</v>
      </c>
      <c r="C677" s="2229">
        <f>'Part V-Revenues &amp; Expenses'!C39</f>
        <v>0</v>
      </c>
      <c r="D677" s="2230">
        <f>'Part V-Revenues &amp; Expenses'!D39</f>
        <v>0</v>
      </c>
      <c r="E677" s="2231">
        <f>'Part V-Revenues &amp; Expenses'!E39</f>
        <v>0</v>
      </c>
      <c r="F677" s="2231">
        <f>'Part V-Revenues &amp; Expenses'!F39</f>
        <v>0</v>
      </c>
      <c r="G677" s="2231">
        <f>'Part V-Revenues &amp; Expenses'!G39</f>
        <v>0</v>
      </c>
      <c r="H677" s="2231">
        <f>'Part V-Revenues &amp; Expenses'!H39</f>
        <v>0</v>
      </c>
      <c r="I677" s="2231">
        <f>'Part V-Revenues &amp; Expenses'!I39</f>
        <v>0</v>
      </c>
      <c r="J677" s="2231">
        <f>'Part V-Revenues &amp; Expenses'!J39</f>
        <v>0</v>
      </c>
      <c r="K677" s="2232">
        <f>'Part V-Revenues &amp; Expenses'!K39</f>
        <v>0</v>
      </c>
      <c r="L677" s="2233">
        <f t="shared" si="340"/>
        <v>0</v>
      </c>
      <c r="M677" s="2233">
        <f t="shared" si="341"/>
        <v>0</v>
      </c>
      <c r="N677" s="2094">
        <f>'Part V-Revenues &amp; Expenses'!N39</f>
        <v>0</v>
      </c>
      <c r="O677" s="2234">
        <f>'Part V-Revenues &amp; Expenses'!O39</f>
        <v>0</v>
      </c>
      <c r="P677" s="2094">
        <f>'Part V-Revenues &amp; Expenses'!P39</f>
        <v>0</v>
      </c>
      <c r="Q677" s="2235">
        <f>'Part V-Revenues &amp; Expenses'!Q39</f>
        <v>0</v>
      </c>
      <c r="R677" s="2236"/>
      <c r="S677" s="2237"/>
      <c r="T677" s="2160"/>
      <c r="U677" s="2160"/>
      <c r="V677" s="2160"/>
      <c r="W677" s="2160"/>
      <c r="X677" s="357" t="str">
        <f t="shared" si="3"/>
        <v/>
      </c>
      <c r="Y677" s="357" t="str">
        <f t="shared" si="4"/>
        <v/>
      </c>
      <c r="Z677" s="357" t="str">
        <f t="shared" si="5"/>
        <v/>
      </c>
      <c r="AA677" s="357" t="str">
        <f t="shared" si="6"/>
        <v/>
      </c>
      <c r="AB677" s="357" t="str">
        <f t="shared" si="7"/>
        <v/>
      </c>
      <c r="AC677" s="357" t="str">
        <f t="shared" si="8"/>
        <v/>
      </c>
      <c r="AD677" s="357" t="str">
        <f t="shared" si="9"/>
        <v/>
      </c>
      <c r="AE677" s="357" t="str">
        <f t="shared" si="10"/>
        <v/>
      </c>
      <c r="AF677" s="357" t="str">
        <f t="shared" si="11"/>
        <v/>
      </c>
      <c r="AG677" s="357" t="str">
        <f t="shared" si="12"/>
        <v/>
      </c>
      <c r="AH677" s="357" t="str">
        <f t="shared" si="13"/>
        <v/>
      </c>
      <c r="AI677" s="357" t="str">
        <f t="shared" si="14"/>
        <v/>
      </c>
      <c r="AJ677" s="357" t="str">
        <f t="shared" si="15"/>
        <v/>
      </c>
      <c r="AK677" s="357" t="str">
        <f t="shared" si="16"/>
        <v/>
      </c>
      <c r="AL677" s="357" t="str">
        <f t="shared" si="17"/>
        <v/>
      </c>
      <c r="AM677" s="357" t="str">
        <f t="shared" si="18"/>
        <v/>
      </c>
      <c r="AN677" s="357" t="str">
        <f t="shared" si="19"/>
        <v/>
      </c>
      <c r="AO677" s="357" t="str">
        <f t="shared" si="20"/>
        <v/>
      </c>
      <c r="AP677" s="357" t="str">
        <f t="shared" si="21"/>
        <v/>
      </c>
      <c r="AQ677" s="357" t="str">
        <f t="shared" si="22"/>
        <v/>
      </c>
      <c r="AR677" s="357" t="str">
        <f t="shared" si="23"/>
        <v/>
      </c>
      <c r="AS677" s="357" t="str">
        <f t="shared" si="24"/>
        <v/>
      </c>
      <c r="AT677" s="357" t="str">
        <f t="shared" si="25"/>
        <v/>
      </c>
      <c r="AU677" s="357" t="str">
        <f t="shared" si="26"/>
        <v/>
      </c>
      <c r="AV677" s="357" t="str">
        <f t="shared" si="27"/>
        <v/>
      </c>
      <c r="AW677" s="357" t="str">
        <f t="shared" si="28"/>
        <v/>
      </c>
      <c r="AX677" s="357" t="str">
        <f t="shared" si="29"/>
        <v/>
      </c>
      <c r="AY677" s="357" t="str">
        <f t="shared" si="30"/>
        <v/>
      </c>
      <c r="AZ677" s="357" t="str">
        <f t="shared" si="31"/>
        <v/>
      </c>
      <c r="BA677" s="357" t="str">
        <f t="shared" si="32"/>
        <v/>
      </c>
      <c r="BB677" s="357" t="str">
        <f t="shared" si="33"/>
        <v/>
      </c>
      <c r="BC677" s="357" t="str">
        <f t="shared" si="34"/>
        <v/>
      </c>
      <c r="BD677" s="357" t="str">
        <f t="shared" si="35"/>
        <v/>
      </c>
      <c r="BE677" s="357" t="str">
        <f t="shared" si="36"/>
        <v/>
      </c>
      <c r="BF677" s="357" t="str">
        <f t="shared" si="37"/>
        <v/>
      </c>
      <c r="BG677" s="357" t="str">
        <f t="shared" si="38"/>
        <v/>
      </c>
      <c r="BH677" s="357" t="str">
        <f t="shared" si="39"/>
        <v/>
      </c>
      <c r="BI677" s="357" t="str">
        <f t="shared" si="40"/>
        <v/>
      </c>
      <c r="BJ677" s="357" t="str">
        <f t="shared" si="41"/>
        <v/>
      </c>
      <c r="BK677" s="357" t="str">
        <f t="shared" si="42"/>
        <v/>
      </c>
      <c r="BL677" s="357" t="str">
        <f t="shared" si="43"/>
        <v/>
      </c>
      <c r="BM677" s="357" t="str">
        <f t="shared" si="44"/>
        <v/>
      </c>
      <c r="BN677" s="357" t="str">
        <f t="shared" si="45"/>
        <v/>
      </c>
      <c r="BO677" s="357" t="str">
        <f t="shared" si="46"/>
        <v/>
      </c>
      <c r="BP677" s="357" t="str">
        <f t="shared" si="47"/>
        <v/>
      </c>
      <c r="BQ677" s="357" t="str">
        <f t="shared" si="48"/>
        <v/>
      </c>
      <c r="BR677" s="357" t="str">
        <f t="shared" si="49"/>
        <v/>
      </c>
      <c r="BS677" s="357" t="str">
        <f t="shared" si="50"/>
        <v/>
      </c>
      <c r="BT677" s="357" t="str">
        <f t="shared" si="51"/>
        <v/>
      </c>
      <c r="BU677" s="357" t="str">
        <f t="shared" si="52"/>
        <v/>
      </c>
      <c r="BV677" s="357" t="str">
        <f t="shared" si="53"/>
        <v/>
      </c>
      <c r="BW677" s="357" t="str">
        <f t="shared" si="54"/>
        <v/>
      </c>
      <c r="BX677" s="357" t="str">
        <f t="shared" si="55"/>
        <v/>
      </c>
      <c r="BY677" s="357" t="str">
        <f t="shared" si="56"/>
        <v/>
      </c>
      <c r="BZ677" s="357" t="str">
        <f t="shared" si="57"/>
        <v/>
      </c>
      <c r="CA677" s="357" t="str">
        <f t="shared" si="58"/>
        <v/>
      </c>
      <c r="CB677" s="357" t="str">
        <f t="shared" si="59"/>
        <v/>
      </c>
      <c r="CC677" s="357" t="str">
        <f t="shared" si="60"/>
        <v/>
      </c>
      <c r="CD677" s="357" t="str">
        <f t="shared" si="61"/>
        <v/>
      </c>
      <c r="CE677" s="357" t="str">
        <f t="shared" si="62"/>
        <v/>
      </c>
      <c r="CF677" s="357" t="str">
        <f t="shared" si="63"/>
        <v/>
      </c>
      <c r="CG677" s="357" t="str">
        <f t="shared" si="64"/>
        <v/>
      </c>
      <c r="CH677" s="357" t="str">
        <f t="shared" si="65"/>
        <v/>
      </c>
      <c r="CI677" s="357" t="str">
        <f t="shared" si="66"/>
        <v/>
      </c>
      <c r="CJ677" s="357" t="str">
        <f t="shared" si="67"/>
        <v/>
      </c>
      <c r="CK677" s="357" t="str">
        <f t="shared" si="68"/>
        <v/>
      </c>
      <c r="CL677" s="357" t="str">
        <f t="shared" si="69"/>
        <v/>
      </c>
      <c r="CM677" s="357" t="str">
        <f t="shared" si="70"/>
        <v/>
      </c>
      <c r="CN677" s="357" t="str">
        <f t="shared" si="71"/>
        <v/>
      </c>
      <c r="CO677" s="357" t="str">
        <f t="shared" si="72"/>
        <v/>
      </c>
      <c r="CP677" s="357" t="str">
        <f t="shared" si="73"/>
        <v/>
      </c>
      <c r="CQ677" s="357" t="str">
        <f t="shared" si="74"/>
        <v/>
      </c>
      <c r="CR677" s="357" t="str">
        <f t="shared" si="75"/>
        <v/>
      </c>
      <c r="CS677" s="357" t="str">
        <f t="shared" si="76"/>
        <v/>
      </c>
      <c r="CT677" s="357" t="str">
        <f t="shared" si="77"/>
        <v/>
      </c>
      <c r="CU677" s="357" t="str">
        <f t="shared" si="78"/>
        <v/>
      </c>
      <c r="CV677" s="357" t="str">
        <f t="shared" si="79"/>
        <v/>
      </c>
      <c r="CW677" s="357" t="str">
        <f t="shared" si="80"/>
        <v/>
      </c>
      <c r="CX677" s="357" t="str">
        <f t="shared" si="81"/>
        <v/>
      </c>
      <c r="CY677" s="357" t="str">
        <f t="shared" si="82"/>
        <v/>
      </c>
      <c r="CZ677" s="357" t="str">
        <f t="shared" si="83"/>
        <v/>
      </c>
      <c r="DA677" s="357" t="str">
        <f t="shared" si="84"/>
        <v/>
      </c>
      <c r="DB677" s="357" t="str">
        <f t="shared" si="85"/>
        <v/>
      </c>
      <c r="DC677" s="357" t="str">
        <f t="shared" si="86"/>
        <v/>
      </c>
      <c r="DD677" s="357" t="str">
        <f t="shared" si="87"/>
        <v/>
      </c>
      <c r="DE677" s="357" t="str">
        <f t="shared" si="88"/>
        <v/>
      </c>
      <c r="DF677" s="357" t="str">
        <f t="shared" si="89"/>
        <v/>
      </c>
      <c r="DG677" s="357" t="str">
        <f t="shared" si="90"/>
        <v/>
      </c>
      <c r="DH677" s="357" t="str">
        <f t="shared" si="91"/>
        <v/>
      </c>
      <c r="DI677" s="357" t="str">
        <f t="shared" si="92"/>
        <v/>
      </c>
      <c r="DJ677" s="357" t="str">
        <f t="shared" si="93"/>
        <v/>
      </c>
      <c r="DK677" s="357" t="str">
        <f t="shared" si="94"/>
        <v/>
      </c>
      <c r="DL677" s="357" t="str">
        <f t="shared" si="95"/>
        <v/>
      </c>
      <c r="DM677" s="357" t="str">
        <f t="shared" si="96"/>
        <v/>
      </c>
      <c r="DN677" s="357" t="str">
        <f t="shared" si="97"/>
        <v/>
      </c>
      <c r="DO677" s="357" t="str">
        <f t="shared" si="98"/>
        <v/>
      </c>
      <c r="DP677" s="357" t="str">
        <f t="shared" si="99"/>
        <v/>
      </c>
      <c r="DQ677" s="357" t="str">
        <f t="shared" si="100"/>
        <v/>
      </c>
      <c r="DR677" s="357" t="str">
        <f t="shared" si="101"/>
        <v/>
      </c>
      <c r="DS677" s="357" t="str">
        <f t="shared" si="102"/>
        <v/>
      </c>
      <c r="DT677" s="357" t="str">
        <f t="shared" si="103"/>
        <v/>
      </c>
      <c r="DU677" s="357" t="str">
        <f t="shared" si="104"/>
        <v/>
      </c>
      <c r="DV677" s="357" t="str">
        <f t="shared" si="105"/>
        <v/>
      </c>
      <c r="DW677" s="357" t="str">
        <f t="shared" si="106"/>
        <v/>
      </c>
      <c r="DX677" s="357" t="str">
        <f t="shared" si="107"/>
        <v/>
      </c>
      <c r="DY677" s="357" t="str">
        <f t="shared" si="108"/>
        <v/>
      </c>
      <c r="DZ677" s="357" t="str">
        <f t="shared" si="109"/>
        <v/>
      </c>
      <c r="EA677" s="357" t="str">
        <f t="shared" si="110"/>
        <v/>
      </c>
      <c r="EB677" s="357" t="str">
        <f t="shared" si="111"/>
        <v/>
      </c>
      <c r="EC677" s="357" t="str">
        <f t="shared" si="112"/>
        <v/>
      </c>
      <c r="ED677" s="357" t="str">
        <f t="shared" si="113"/>
        <v/>
      </c>
      <c r="EE677" s="357" t="str">
        <f t="shared" si="114"/>
        <v/>
      </c>
      <c r="EF677" s="357" t="str">
        <f t="shared" si="115"/>
        <v/>
      </c>
      <c r="EG677" s="357" t="str">
        <f t="shared" si="116"/>
        <v/>
      </c>
      <c r="EH677" s="357" t="str">
        <f t="shared" si="117"/>
        <v/>
      </c>
      <c r="EI677" s="357" t="str">
        <f t="shared" si="118"/>
        <v/>
      </c>
      <c r="EJ677" s="357" t="str">
        <f t="shared" si="119"/>
        <v/>
      </c>
      <c r="EK677" s="357" t="str">
        <f t="shared" si="120"/>
        <v/>
      </c>
      <c r="EL677" s="357" t="str">
        <f t="shared" si="121"/>
        <v/>
      </c>
      <c r="EM677" s="357" t="str">
        <f t="shared" si="122"/>
        <v/>
      </c>
      <c r="EN677" s="357" t="str">
        <f t="shared" si="123"/>
        <v/>
      </c>
      <c r="EO677" s="357" t="str">
        <f t="shared" si="124"/>
        <v/>
      </c>
      <c r="EP677" s="357" t="str">
        <f t="shared" si="125"/>
        <v/>
      </c>
      <c r="EQ677" s="357" t="str">
        <f t="shared" si="126"/>
        <v/>
      </c>
      <c r="ER677" s="357" t="str">
        <f t="shared" si="127"/>
        <v/>
      </c>
      <c r="ES677" s="357" t="str">
        <f t="shared" si="128"/>
        <v/>
      </c>
      <c r="ET677" s="357" t="str">
        <f t="shared" si="129"/>
        <v/>
      </c>
      <c r="EU677" s="357" t="str">
        <f t="shared" si="130"/>
        <v/>
      </c>
      <c r="EV677" s="357" t="str">
        <f t="shared" si="131"/>
        <v/>
      </c>
      <c r="EW677" s="357" t="str">
        <f t="shared" si="132"/>
        <v/>
      </c>
      <c r="EX677" s="357" t="str">
        <f t="shared" si="133"/>
        <v/>
      </c>
      <c r="EY677" s="357" t="str">
        <f t="shared" si="134"/>
        <v/>
      </c>
      <c r="EZ677" s="357" t="str">
        <f t="shared" si="135"/>
        <v/>
      </c>
      <c r="FA677" s="357" t="str">
        <f t="shared" si="136"/>
        <v/>
      </c>
      <c r="FB677" s="357" t="str">
        <f t="shared" si="137"/>
        <v/>
      </c>
      <c r="FC677" s="357" t="str">
        <f t="shared" si="138"/>
        <v/>
      </c>
      <c r="FD677" s="357" t="str">
        <f t="shared" si="139"/>
        <v/>
      </c>
      <c r="FE677" s="357" t="str">
        <f t="shared" si="140"/>
        <v/>
      </c>
      <c r="FF677" s="357" t="str">
        <f t="shared" si="141"/>
        <v/>
      </c>
      <c r="FG677" s="357" t="str">
        <f t="shared" si="142"/>
        <v/>
      </c>
      <c r="FH677" s="357" t="str">
        <f t="shared" si="143"/>
        <v/>
      </c>
      <c r="FI677" s="357" t="str">
        <f t="shared" si="144"/>
        <v/>
      </c>
      <c r="FJ677" s="357" t="str">
        <f t="shared" si="145"/>
        <v/>
      </c>
      <c r="FK677" s="357" t="str">
        <f t="shared" si="146"/>
        <v/>
      </c>
      <c r="FL677" s="357" t="str">
        <f t="shared" si="147"/>
        <v/>
      </c>
      <c r="FM677" s="357" t="str">
        <f t="shared" si="148"/>
        <v/>
      </c>
      <c r="FN677" s="357" t="str">
        <f t="shared" si="149"/>
        <v/>
      </c>
      <c r="FO677" s="357" t="str">
        <f t="shared" si="150"/>
        <v/>
      </c>
      <c r="FP677" s="357" t="str">
        <f t="shared" si="151"/>
        <v/>
      </c>
      <c r="FQ677" s="357" t="str">
        <f t="shared" si="152"/>
        <v/>
      </c>
      <c r="FR677" s="357" t="str">
        <f t="shared" si="153"/>
        <v/>
      </c>
      <c r="FS677" s="357" t="str">
        <f t="shared" si="154"/>
        <v/>
      </c>
      <c r="FT677" s="357" t="str">
        <f t="shared" si="155"/>
        <v/>
      </c>
      <c r="FU677" s="357" t="str">
        <f t="shared" si="156"/>
        <v/>
      </c>
      <c r="FV677" s="357" t="str">
        <f t="shared" si="157"/>
        <v/>
      </c>
      <c r="FW677" s="357" t="str">
        <f t="shared" si="158"/>
        <v/>
      </c>
      <c r="FX677" s="357" t="str">
        <f t="shared" si="159"/>
        <v/>
      </c>
      <c r="FY677" s="357" t="str">
        <f t="shared" si="160"/>
        <v/>
      </c>
      <c r="FZ677" s="357" t="str">
        <f t="shared" si="161"/>
        <v/>
      </c>
      <c r="GA677" s="357" t="str">
        <f t="shared" si="162"/>
        <v/>
      </c>
      <c r="GB677" s="357" t="str">
        <f t="shared" si="163"/>
        <v/>
      </c>
      <c r="GC677" s="357" t="str">
        <f t="shared" si="164"/>
        <v/>
      </c>
      <c r="GD677" s="357" t="str">
        <f t="shared" si="165"/>
        <v/>
      </c>
      <c r="GE677" s="357" t="str">
        <f t="shared" si="166"/>
        <v/>
      </c>
      <c r="GF677" s="357" t="str">
        <f t="shared" si="167"/>
        <v/>
      </c>
      <c r="GG677" s="357" t="str">
        <f t="shared" si="168"/>
        <v/>
      </c>
      <c r="GH677" s="357" t="str">
        <f t="shared" si="169"/>
        <v/>
      </c>
      <c r="GI677" s="357" t="str">
        <f t="shared" si="170"/>
        <v/>
      </c>
      <c r="GJ677" s="357" t="str">
        <f t="shared" si="171"/>
        <v/>
      </c>
      <c r="GK677" s="357" t="str">
        <f t="shared" si="172"/>
        <v/>
      </c>
      <c r="GL677" s="357" t="str">
        <f t="shared" si="173"/>
        <v/>
      </c>
      <c r="GM677" s="357" t="str">
        <f t="shared" si="174"/>
        <v/>
      </c>
      <c r="GN677" s="357" t="str">
        <f t="shared" si="175"/>
        <v/>
      </c>
      <c r="GO677" s="357" t="str">
        <f t="shared" si="176"/>
        <v/>
      </c>
      <c r="GP677" s="357" t="str">
        <f t="shared" si="177"/>
        <v/>
      </c>
      <c r="GQ677" s="357" t="str">
        <f t="shared" si="178"/>
        <v/>
      </c>
      <c r="GR677" s="357" t="str">
        <f t="shared" si="179"/>
        <v/>
      </c>
      <c r="GS677" s="357" t="str">
        <f t="shared" si="180"/>
        <v/>
      </c>
      <c r="GT677" s="357" t="str">
        <f t="shared" si="181"/>
        <v/>
      </c>
      <c r="GU677" s="357" t="str">
        <f t="shared" si="182"/>
        <v/>
      </c>
      <c r="GV677" s="357" t="str">
        <f t="shared" si="183"/>
        <v/>
      </c>
      <c r="GW677" s="357" t="str">
        <f t="shared" si="184"/>
        <v/>
      </c>
      <c r="GX677" s="357" t="str">
        <f t="shared" si="185"/>
        <v/>
      </c>
      <c r="GY677" s="357" t="str">
        <f t="shared" si="186"/>
        <v/>
      </c>
      <c r="GZ677" s="357" t="str">
        <f t="shared" si="187"/>
        <v/>
      </c>
      <c r="HA677" s="357" t="str">
        <f t="shared" si="188"/>
        <v/>
      </c>
      <c r="HB677" s="357" t="str">
        <f t="shared" si="189"/>
        <v/>
      </c>
      <c r="HC677" s="357" t="str">
        <f t="shared" si="190"/>
        <v/>
      </c>
      <c r="HD677" s="357" t="str">
        <f t="shared" si="191"/>
        <v/>
      </c>
      <c r="HE677" s="357" t="str">
        <f t="shared" si="192"/>
        <v/>
      </c>
      <c r="HF677" s="357" t="str">
        <f t="shared" si="193"/>
        <v/>
      </c>
      <c r="HG677" s="357" t="str">
        <f t="shared" si="194"/>
        <v/>
      </c>
      <c r="HH677" s="357" t="str">
        <f t="shared" si="195"/>
        <v/>
      </c>
      <c r="HI677" s="357" t="str">
        <f t="shared" si="196"/>
        <v/>
      </c>
      <c r="HJ677" s="357" t="str">
        <f t="shared" si="197"/>
        <v/>
      </c>
      <c r="HK677" s="357" t="str">
        <f t="shared" si="198"/>
        <v/>
      </c>
      <c r="HL677" s="357" t="str">
        <f t="shared" si="199"/>
        <v/>
      </c>
      <c r="HM677" s="357" t="str">
        <f t="shared" si="200"/>
        <v/>
      </c>
      <c r="HN677" s="357" t="str">
        <f t="shared" si="201"/>
        <v/>
      </c>
      <c r="HO677" s="357" t="str">
        <f t="shared" si="202"/>
        <v/>
      </c>
      <c r="HP677" s="357" t="str">
        <f t="shared" si="203"/>
        <v/>
      </c>
      <c r="HQ677" s="357" t="str">
        <f t="shared" si="204"/>
        <v/>
      </c>
      <c r="HR677" s="357" t="str">
        <f t="shared" si="205"/>
        <v/>
      </c>
      <c r="HS677" s="357" t="str">
        <f t="shared" si="206"/>
        <v/>
      </c>
      <c r="HT677" s="357" t="str">
        <f t="shared" si="207"/>
        <v/>
      </c>
      <c r="HU677" s="357" t="str">
        <f t="shared" si="208"/>
        <v/>
      </c>
      <c r="HV677" s="357" t="str">
        <f t="shared" si="209"/>
        <v/>
      </c>
      <c r="HW677" s="357" t="str">
        <f t="shared" si="210"/>
        <v/>
      </c>
      <c r="HX677" s="357" t="str">
        <f t="shared" si="211"/>
        <v/>
      </c>
      <c r="HY677" s="357" t="str">
        <f t="shared" si="212"/>
        <v/>
      </c>
      <c r="HZ677" s="1903" t="str">
        <f t="shared" si="213"/>
        <v/>
      </c>
      <c r="IA677" s="1903" t="str">
        <f t="shared" si="214"/>
        <v/>
      </c>
      <c r="IB677" s="1903" t="str">
        <f t="shared" si="215"/>
        <v/>
      </c>
      <c r="IC677" s="1903" t="str">
        <f t="shared" si="216"/>
        <v/>
      </c>
      <c r="ID677" s="1903" t="str">
        <f t="shared" si="217"/>
        <v/>
      </c>
      <c r="IE677" s="1903" t="str">
        <f t="shared" si="218"/>
        <v/>
      </c>
      <c r="IF677" s="1903" t="str">
        <f t="shared" si="219"/>
        <v/>
      </c>
      <c r="IG677" s="1903" t="str">
        <f t="shared" si="220"/>
        <v/>
      </c>
      <c r="IH677" s="1903" t="str">
        <f t="shared" si="221"/>
        <v/>
      </c>
      <c r="II677" s="1903" t="str">
        <f t="shared" si="222"/>
        <v/>
      </c>
      <c r="IJ677" s="1903" t="str">
        <f t="shared" si="223"/>
        <v/>
      </c>
      <c r="IK677" s="1903" t="str">
        <f t="shared" si="224"/>
        <v/>
      </c>
      <c r="IL677" s="1903" t="str">
        <f t="shared" si="225"/>
        <v/>
      </c>
      <c r="IM677" s="1903" t="str">
        <f t="shared" si="226"/>
        <v/>
      </c>
      <c r="IN677" s="1903" t="str">
        <f t="shared" si="227"/>
        <v/>
      </c>
      <c r="IO677" s="1903" t="str">
        <f t="shared" si="228"/>
        <v/>
      </c>
      <c r="IP677" s="1903" t="str">
        <f t="shared" si="229"/>
        <v/>
      </c>
      <c r="IQ677" s="1903" t="str">
        <f t="shared" si="230"/>
        <v/>
      </c>
      <c r="IR677" s="1903" t="str">
        <f t="shared" si="231"/>
        <v/>
      </c>
      <c r="IS677" s="1903" t="str">
        <f t="shared" si="232"/>
        <v/>
      </c>
      <c r="IT677" s="1903" t="str">
        <f t="shared" si="233"/>
        <v/>
      </c>
      <c r="IU677" s="1903" t="str">
        <f t="shared" si="234"/>
        <v/>
      </c>
      <c r="IV677" s="1903" t="str">
        <f t="shared" si="235"/>
        <v/>
      </c>
      <c r="IW677" s="1903" t="str">
        <f t="shared" si="236"/>
        <v/>
      </c>
      <c r="IX677" s="1903" t="str">
        <f t="shared" si="237"/>
        <v/>
      </c>
      <c r="IY677" s="1903" t="str">
        <f t="shared" si="238"/>
        <v/>
      </c>
      <c r="IZ677" s="1903" t="str">
        <f t="shared" si="239"/>
        <v/>
      </c>
      <c r="JA677" s="1903" t="str">
        <f t="shared" si="240"/>
        <v/>
      </c>
      <c r="JB677" s="1903" t="str">
        <f t="shared" si="241"/>
        <v/>
      </c>
      <c r="JC677" s="1903" t="str">
        <f t="shared" si="242"/>
        <v/>
      </c>
      <c r="JD677" s="1903" t="str">
        <f t="shared" si="243"/>
        <v/>
      </c>
      <c r="JE677" s="1903" t="str">
        <f t="shared" si="244"/>
        <v/>
      </c>
      <c r="JF677" s="1903" t="str">
        <f t="shared" si="245"/>
        <v/>
      </c>
      <c r="JG677" s="1903" t="str">
        <f t="shared" si="246"/>
        <v/>
      </c>
      <c r="JH677" s="1903" t="str">
        <f t="shared" si="247"/>
        <v/>
      </c>
      <c r="JI677" s="1903" t="str">
        <f t="shared" si="248"/>
        <v/>
      </c>
      <c r="JJ677" s="1903" t="str">
        <f t="shared" si="249"/>
        <v/>
      </c>
      <c r="JK677" s="1903" t="str">
        <f t="shared" si="250"/>
        <v/>
      </c>
      <c r="JL677" s="1903" t="str">
        <f t="shared" si="251"/>
        <v/>
      </c>
      <c r="JM677" s="1903" t="str">
        <f t="shared" si="252"/>
        <v/>
      </c>
      <c r="JN677" s="1903" t="str">
        <f t="shared" si="253"/>
        <v/>
      </c>
      <c r="JO677" s="1903" t="str">
        <f t="shared" si="254"/>
        <v/>
      </c>
      <c r="JP677" s="1903" t="str">
        <f t="shared" si="255"/>
        <v/>
      </c>
      <c r="JQ677" s="1903" t="str">
        <f t="shared" si="256"/>
        <v/>
      </c>
      <c r="JR677" s="1903" t="str">
        <f t="shared" si="257"/>
        <v/>
      </c>
      <c r="JS677" s="1903" t="str">
        <f t="shared" si="258"/>
        <v/>
      </c>
      <c r="JT677" s="1903" t="str">
        <f t="shared" si="259"/>
        <v/>
      </c>
      <c r="JU677" s="1903" t="str">
        <f t="shared" si="260"/>
        <v/>
      </c>
      <c r="JV677" s="1903" t="str">
        <f t="shared" si="261"/>
        <v/>
      </c>
      <c r="JW677" s="1903" t="str">
        <f t="shared" si="262"/>
        <v/>
      </c>
      <c r="JX677" s="1903" t="str">
        <f t="shared" si="263"/>
        <v/>
      </c>
      <c r="JY677" s="1903" t="str">
        <f t="shared" si="264"/>
        <v/>
      </c>
      <c r="JZ677" s="1903" t="str">
        <f t="shared" si="265"/>
        <v/>
      </c>
      <c r="KA677" s="1903" t="str">
        <f t="shared" si="266"/>
        <v/>
      </c>
      <c r="KB677" s="1903" t="str">
        <f t="shared" si="267"/>
        <v/>
      </c>
      <c r="KC677" s="1903" t="str">
        <f t="shared" si="268"/>
        <v/>
      </c>
      <c r="KD677" s="1903" t="str">
        <f t="shared" si="269"/>
        <v/>
      </c>
      <c r="KE677" s="1903" t="str">
        <f t="shared" si="270"/>
        <v/>
      </c>
      <c r="KF677" s="1903" t="str">
        <f t="shared" si="271"/>
        <v/>
      </c>
      <c r="KG677" s="1903" t="str">
        <f t="shared" si="272"/>
        <v/>
      </c>
      <c r="KH677" s="1903" t="str">
        <f t="shared" si="273"/>
        <v/>
      </c>
      <c r="KI677" s="1903" t="str">
        <f t="shared" si="274"/>
        <v/>
      </c>
      <c r="KJ677" s="1903" t="str">
        <f t="shared" si="275"/>
        <v/>
      </c>
      <c r="KK677" s="1903" t="str">
        <f t="shared" si="276"/>
        <v/>
      </c>
      <c r="KL677" s="1903" t="str">
        <f t="shared" si="277"/>
        <v/>
      </c>
      <c r="KM677" s="1903" t="str">
        <f t="shared" si="278"/>
        <v/>
      </c>
      <c r="KN677" s="1903" t="str">
        <f t="shared" si="279"/>
        <v/>
      </c>
      <c r="KO677" s="1903" t="str">
        <f t="shared" si="280"/>
        <v/>
      </c>
      <c r="KP677" s="1903" t="str">
        <f t="shared" si="281"/>
        <v/>
      </c>
      <c r="KQ677" s="1903" t="str">
        <f t="shared" si="282"/>
        <v/>
      </c>
      <c r="KR677" s="1903" t="str">
        <f t="shared" si="283"/>
        <v/>
      </c>
      <c r="KS677" s="1903" t="str">
        <f t="shared" si="284"/>
        <v/>
      </c>
      <c r="KT677" s="1903" t="str">
        <f t="shared" si="285"/>
        <v/>
      </c>
      <c r="KU677" s="1903" t="str">
        <f t="shared" si="286"/>
        <v/>
      </c>
      <c r="KV677" s="1903" t="str">
        <f t="shared" si="287"/>
        <v/>
      </c>
      <c r="KW677" s="1903" t="str">
        <f t="shared" si="288"/>
        <v/>
      </c>
      <c r="KX677" s="1903" t="str">
        <f t="shared" si="289"/>
        <v/>
      </c>
      <c r="KY677" s="1903" t="str">
        <f t="shared" si="290"/>
        <v/>
      </c>
      <c r="KZ677" s="1903" t="str">
        <f t="shared" si="291"/>
        <v/>
      </c>
      <c r="LA677" s="1903" t="str">
        <f t="shared" si="292"/>
        <v/>
      </c>
      <c r="LB677" s="1903" t="str">
        <f t="shared" si="293"/>
        <v/>
      </c>
      <c r="LC677" s="1903" t="str">
        <f t="shared" si="294"/>
        <v/>
      </c>
      <c r="LD677" s="1903" t="str">
        <f t="shared" si="295"/>
        <v/>
      </c>
      <c r="LE677" s="1903" t="str">
        <f t="shared" si="296"/>
        <v/>
      </c>
      <c r="LF677" s="1903" t="str">
        <f t="shared" si="297"/>
        <v/>
      </c>
      <c r="LG677" s="1750" t="str">
        <f t="shared" si="298"/>
        <v/>
      </c>
      <c r="LH677" s="1750" t="str">
        <f t="shared" si="299"/>
        <v/>
      </c>
      <c r="LI677" s="1750" t="str">
        <f t="shared" si="300"/>
        <v/>
      </c>
      <c r="LJ677" s="1750" t="str">
        <f t="shared" si="301"/>
        <v/>
      </c>
      <c r="LK677" s="1750" t="str">
        <f t="shared" si="302"/>
        <v/>
      </c>
      <c r="LL677" s="357" t="str">
        <f t="shared" si="303"/>
        <v/>
      </c>
      <c r="LM677" s="357" t="str">
        <f t="shared" si="304"/>
        <v/>
      </c>
      <c r="LN677" s="357" t="str">
        <f t="shared" si="305"/>
        <v/>
      </c>
      <c r="LO677" s="357" t="str">
        <f t="shared" si="306"/>
        <v/>
      </c>
      <c r="LP677" s="357" t="str">
        <f t="shared" si="307"/>
        <v/>
      </c>
      <c r="LQ677" s="357" t="str">
        <f t="shared" si="308"/>
        <v/>
      </c>
      <c r="LR677" s="357" t="str">
        <f t="shared" si="309"/>
        <v/>
      </c>
      <c r="LS677" s="357" t="str">
        <f t="shared" si="310"/>
        <v/>
      </c>
      <c r="LT677" s="357" t="str">
        <f t="shared" si="311"/>
        <v/>
      </c>
      <c r="LU677" s="357" t="str">
        <f t="shared" si="312"/>
        <v/>
      </c>
      <c r="LV677" s="357" t="str">
        <f t="shared" si="313"/>
        <v/>
      </c>
      <c r="LW677" s="357" t="str">
        <f t="shared" si="314"/>
        <v/>
      </c>
      <c r="LX677" s="357" t="str">
        <f t="shared" si="315"/>
        <v/>
      </c>
      <c r="LY677" s="357" t="str">
        <f t="shared" si="316"/>
        <v/>
      </c>
      <c r="LZ677" s="357" t="str">
        <f t="shared" si="317"/>
        <v/>
      </c>
      <c r="MA677" s="357" t="str">
        <f t="shared" si="318"/>
        <v/>
      </c>
      <c r="MB677" s="357" t="str">
        <f t="shared" si="319"/>
        <v/>
      </c>
      <c r="MC677" s="357" t="str">
        <f t="shared" si="320"/>
        <v/>
      </c>
      <c r="MD677" s="357" t="str">
        <f t="shared" si="321"/>
        <v/>
      </c>
      <c r="ME677" s="357" t="str">
        <f t="shared" si="322"/>
        <v/>
      </c>
      <c r="MF677" s="1750">
        <f t="shared" si="323"/>
        <v>0</v>
      </c>
      <c r="MG677" s="1750">
        <f t="shared" si="324"/>
        <v>0</v>
      </c>
      <c r="MH677" s="1750">
        <f t="shared" si="325"/>
        <v>0</v>
      </c>
      <c r="MI677" s="1750">
        <f t="shared" si="326"/>
        <v>0</v>
      </c>
      <c r="MJ677" s="1750">
        <f t="shared" si="327"/>
        <v>0</v>
      </c>
      <c r="MK677" s="1750">
        <f t="shared" si="333"/>
        <v>0</v>
      </c>
      <c r="ML677" s="1750">
        <f t="shared" si="334"/>
        <v>0</v>
      </c>
      <c r="MM677" s="1750">
        <f t="shared" si="335"/>
        <v>0</v>
      </c>
      <c r="MN677" s="1750">
        <f t="shared" si="336"/>
        <v>0</v>
      </c>
      <c r="MO677" s="1750">
        <f t="shared" si="337"/>
        <v>0</v>
      </c>
      <c r="MP677" s="1750">
        <f t="shared" si="328"/>
        <v>0</v>
      </c>
      <c r="MQ677" s="1750">
        <f t="shared" si="329"/>
        <v>0</v>
      </c>
      <c r="MR677" s="1750">
        <f t="shared" si="330"/>
        <v>0</v>
      </c>
      <c r="MS677" s="1750">
        <f t="shared" si="331"/>
        <v>0</v>
      </c>
      <c r="MT677" s="1750">
        <f t="shared" si="332"/>
        <v>0</v>
      </c>
      <c r="NP677" s="357" t="s">
        <v>6442</v>
      </c>
    </row>
    <row r="678" spans="1:380" ht="13.9" customHeight="1">
      <c r="A678" s="1901" t="str">
        <f t="shared" si="0"/>
        <v/>
      </c>
      <c r="B678" s="2238">
        <f>'Part V-Revenues &amp; Expenses'!B40</f>
        <v>0</v>
      </c>
      <c r="C678" s="2229">
        <f>'Part V-Revenues &amp; Expenses'!C40</f>
        <v>0</v>
      </c>
      <c r="D678" s="2230">
        <f>'Part V-Revenues &amp; Expenses'!D40</f>
        <v>0</v>
      </c>
      <c r="E678" s="2231">
        <f>'Part V-Revenues &amp; Expenses'!E40</f>
        <v>0</v>
      </c>
      <c r="F678" s="2231">
        <f>'Part V-Revenues &amp; Expenses'!F40</f>
        <v>0</v>
      </c>
      <c r="G678" s="2231">
        <f>'Part V-Revenues &amp; Expenses'!G40</f>
        <v>0</v>
      </c>
      <c r="H678" s="2231">
        <f>'Part V-Revenues &amp; Expenses'!H40</f>
        <v>0</v>
      </c>
      <c r="I678" s="2231">
        <f>'Part V-Revenues &amp; Expenses'!I40</f>
        <v>0</v>
      </c>
      <c r="J678" s="2231">
        <f>'Part V-Revenues &amp; Expenses'!J40</f>
        <v>0</v>
      </c>
      <c r="K678" s="2232">
        <f>'Part V-Revenues &amp; Expenses'!K40</f>
        <v>0</v>
      </c>
      <c r="L678" s="2233">
        <f t="shared" si="340"/>
        <v>0</v>
      </c>
      <c r="M678" s="2233">
        <f t="shared" si="341"/>
        <v>0</v>
      </c>
      <c r="N678" s="2094">
        <f>'Part V-Revenues &amp; Expenses'!N40</f>
        <v>0</v>
      </c>
      <c r="O678" s="2234">
        <f>'Part V-Revenues &amp; Expenses'!O40</f>
        <v>0</v>
      </c>
      <c r="P678" s="2094">
        <f>'Part V-Revenues &amp; Expenses'!P40</f>
        <v>0</v>
      </c>
      <c r="Q678" s="2235">
        <f>'Part V-Revenues &amp; Expenses'!Q40</f>
        <v>0</v>
      </c>
      <c r="R678" s="2236"/>
      <c r="S678" s="2237"/>
      <c r="T678" s="2160"/>
      <c r="U678" s="2160"/>
      <c r="V678" s="2160"/>
      <c r="W678" s="2160"/>
      <c r="X678" s="357" t="str">
        <f t="shared" si="3"/>
        <v/>
      </c>
      <c r="Y678" s="357" t="str">
        <f t="shared" si="4"/>
        <v/>
      </c>
      <c r="Z678" s="357" t="str">
        <f t="shared" si="5"/>
        <v/>
      </c>
      <c r="AA678" s="357" t="str">
        <f t="shared" si="6"/>
        <v/>
      </c>
      <c r="AB678" s="357" t="str">
        <f t="shared" si="7"/>
        <v/>
      </c>
      <c r="AC678" s="357" t="str">
        <f t="shared" si="8"/>
        <v/>
      </c>
      <c r="AD678" s="357" t="str">
        <f t="shared" si="9"/>
        <v/>
      </c>
      <c r="AE678" s="357" t="str">
        <f t="shared" si="10"/>
        <v/>
      </c>
      <c r="AF678" s="357" t="str">
        <f t="shared" si="11"/>
        <v/>
      </c>
      <c r="AG678" s="357" t="str">
        <f t="shared" si="12"/>
        <v/>
      </c>
      <c r="AH678" s="357" t="str">
        <f t="shared" si="13"/>
        <v/>
      </c>
      <c r="AI678" s="357" t="str">
        <f t="shared" si="14"/>
        <v/>
      </c>
      <c r="AJ678" s="357" t="str">
        <f t="shared" si="15"/>
        <v/>
      </c>
      <c r="AK678" s="357" t="str">
        <f t="shared" si="16"/>
        <v/>
      </c>
      <c r="AL678" s="357" t="str">
        <f t="shared" si="17"/>
        <v/>
      </c>
      <c r="AM678" s="357" t="str">
        <f t="shared" si="18"/>
        <v/>
      </c>
      <c r="AN678" s="357" t="str">
        <f t="shared" si="19"/>
        <v/>
      </c>
      <c r="AO678" s="357" t="str">
        <f t="shared" si="20"/>
        <v/>
      </c>
      <c r="AP678" s="357" t="str">
        <f t="shared" si="21"/>
        <v/>
      </c>
      <c r="AQ678" s="357" t="str">
        <f t="shared" si="22"/>
        <v/>
      </c>
      <c r="AR678" s="357" t="str">
        <f t="shared" si="23"/>
        <v/>
      </c>
      <c r="AS678" s="357" t="str">
        <f t="shared" si="24"/>
        <v/>
      </c>
      <c r="AT678" s="357" t="str">
        <f t="shared" si="25"/>
        <v/>
      </c>
      <c r="AU678" s="357" t="str">
        <f t="shared" si="26"/>
        <v/>
      </c>
      <c r="AV678" s="357" t="str">
        <f t="shared" si="27"/>
        <v/>
      </c>
      <c r="AW678" s="357" t="str">
        <f t="shared" si="28"/>
        <v/>
      </c>
      <c r="AX678" s="357" t="str">
        <f t="shared" si="29"/>
        <v/>
      </c>
      <c r="AY678" s="357" t="str">
        <f t="shared" si="30"/>
        <v/>
      </c>
      <c r="AZ678" s="357" t="str">
        <f t="shared" si="31"/>
        <v/>
      </c>
      <c r="BA678" s="357" t="str">
        <f t="shared" si="32"/>
        <v/>
      </c>
      <c r="BB678" s="357" t="str">
        <f t="shared" si="33"/>
        <v/>
      </c>
      <c r="BC678" s="357" t="str">
        <f t="shared" si="34"/>
        <v/>
      </c>
      <c r="BD678" s="357" t="str">
        <f t="shared" si="35"/>
        <v/>
      </c>
      <c r="BE678" s="357" t="str">
        <f t="shared" si="36"/>
        <v/>
      </c>
      <c r="BF678" s="357" t="str">
        <f t="shared" si="37"/>
        <v/>
      </c>
      <c r="BG678" s="357" t="str">
        <f t="shared" si="38"/>
        <v/>
      </c>
      <c r="BH678" s="357" t="str">
        <f t="shared" si="39"/>
        <v/>
      </c>
      <c r="BI678" s="357" t="str">
        <f t="shared" si="40"/>
        <v/>
      </c>
      <c r="BJ678" s="357" t="str">
        <f t="shared" si="41"/>
        <v/>
      </c>
      <c r="BK678" s="357" t="str">
        <f t="shared" si="42"/>
        <v/>
      </c>
      <c r="BL678" s="357" t="str">
        <f t="shared" si="43"/>
        <v/>
      </c>
      <c r="BM678" s="357" t="str">
        <f t="shared" si="44"/>
        <v/>
      </c>
      <c r="BN678" s="357" t="str">
        <f t="shared" si="45"/>
        <v/>
      </c>
      <c r="BO678" s="357" t="str">
        <f t="shared" si="46"/>
        <v/>
      </c>
      <c r="BP678" s="357" t="str">
        <f t="shared" si="47"/>
        <v/>
      </c>
      <c r="BQ678" s="357" t="str">
        <f t="shared" si="48"/>
        <v/>
      </c>
      <c r="BR678" s="357" t="str">
        <f t="shared" si="49"/>
        <v/>
      </c>
      <c r="BS678" s="357" t="str">
        <f t="shared" si="50"/>
        <v/>
      </c>
      <c r="BT678" s="357" t="str">
        <f t="shared" si="51"/>
        <v/>
      </c>
      <c r="BU678" s="357" t="str">
        <f t="shared" si="52"/>
        <v/>
      </c>
      <c r="BV678" s="357" t="str">
        <f t="shared" si="53"/>
        <v/>
      </c>
      <c r="BW678" s="357" t="str">
        <f t="shared" si="54"/>
        <v/>
      </c>
      <c r="BX678" s="357" t="str">
        <f t="shared" si="55"/>
        <v/>
      </c>
      <c r="BY678" s="357" t="str">
        <f t="shared" si="56"/>
        <v/>
      </c>
      <c r="BZ678" s="357" t="str">
        <f t="shared" si="57"/>
        <v/>
      </c>
      <c r="CA678" s="357" t="str">
        <f t="shared" si="58"/>
        <v/>
      </c>
      <c r="CB678" s="357" t="str">
        <f t="shared" si="59"/>
        <v/>
      </c>
      <c r="CC678" s="357" t="str">
        <f t="shared" si="60"/>
        <v/>
      </c>
      <c r="CD678" s="357" t="str">
        <f t="shared" si="61"/>
        <v/>
      </c>
      <c r="CE678" s="357" t="str">
        <f t="shared" si="62"/>
        <v/>
      </c>
      <c r="CF678" s="357" t="str">
        <f t="shared" si="63"/>
        <v/>
      </c>
      <c r="CG678" s="357" t="str">
        <f t="shared" si="64"/>
        <v/>
      </c>
      <c r="CH678" s="357" t="str">
        <f t="shared" si="65"/>
        <v/>
      </c>
      <c r="CI678" s="357" t="str">
        <f t="shared" si="66"/>
        <v/>
      </c>
      <c r="CJ678" s="357" t="str">
        <f t="shared" si="67"/>
        <v/>
      </c>
      <c r="CK678" s="357" t="str">
        <f t="shared" si="68"/>
        <v/>
      </c>
      <c r="CL678" s="357" t="str">
        <f t="shared" si="69"/>
        <v/>
      </c>
      <c r="CM678" s="357" t="str">
        <f t="shared" si="70"/>
        <v/>
      </c>
      <c r="CN678" s="357" t="str">
        <f t="shared" si="71"/>
        <v/>
      </c>
      <c r="CO678" s="357" t="str">
        <f t="shared" si="72"/>
        <v/>
      </c>
      <c r="CP678" s="357" t="str">
        <f t="shared" si="73"/>
        <v/>
      </c>
      <c r="CQ678" s="357" t="str">
        <f t="shared" si="74"/>
        <v/>
      </c>
      <c r="CR678" s="357" t="str">
        <f t="shared" si="75"/>
        <v/>
      </c>
      <c r="CS678" s="357" t="str">
        <f t="shared" si="76"/>
        <v/>
      </c>
      <c r="CT678" s="357" t="str">
        <f t="shared" si="77"/>
        <v/>
      </c>
      <c r="CU678" s="357" t="str">
        <f t="shared" si="78"/>
        <v/>
      </c>
      <c r="CV678" s="357" t="str">
        <f t="shared" si="79"/>
        <v/>
      </c>
      <c r="CW678" s="357" t="str">
        <f t="shared" si="80"/>
        <v/>
      </c>
      <c r="CX678" s="357" t="str">
        <f t="shared" si="81"/>
        <v/>
      </c>
      <c r="CY678" s="357" t="str">
        <f t="shared" si="82"/>
        <v/>
      </c>
      <c r="CZ678" s="357" t="str">
        <f t="shared" si="83"/>
        <v/>
      </c>
      <c r="DA678" s="357" t="str">
        <f t="shared" si="84"/>
        <v/>
      </c>
      <c r="DB678" s="357" t="str">
        <f t="shared" si="85"/>
        <v/>
      </c>
      <c r="DC678" s="357" t="str">
        <f t="shared" si="86"/>
        <v/>
      </c>
      <c r="DD678" s="357" t="str">
        <f t="shared" si="87"/>
        <v/>
      </c>
      <c r="DE678" s="357" t="str">
        <f t="shared" si="88"/>
        <v/>
      </c>
      <c r="DF678" s="357" t="str">
        <f t="shared" si="89"/>
        <v/>
      </c>
      <c r="DG678" s="357" t="str">
        <f t="shared" si="90"/>
        <v/>
      </c>
      <c r="DH678" s="357" t="str">
        <f t="shared" si="91"/>
        <v/>
      </c>
      <c r="DI678" s="357" t="str">
        <f t="shared" si="92"/>
        <v/>
      </c>
      <c r="DJ678" s="357" t="str">
        <f t="shared" si="93"/>
        <v/>
      </c>
      <c r="DK678" s="357" t="str">
        <f t="shared" si="94"/>
        <v/>
      </c>
      <c r="DL678" s="357" t="str">
        <f t="shared" si="95"/>
        <v/>
      </c>
      <c r="DM678" s="357" t="str">
        <f t="shared" si="96"/>
        <v/>
      </c>
      <c r="DN678" s="357" t="str">
        <f t="shared" si="97"/>
        <v/>
      </c>
      <c r="DO678" s="357" t="str">
        <f t="shared" si="98"/>
        <v/>
      </c>
      <c r="DP678" s="357" t="str">
        <f t="shared" si="99"/>
        <v/>
      </c>
      <c r="DQ678" s="357" t="str">
        <f t="shared" si="100"/>
        <v/>
      </c>
      <c r="DR678" s="357" t="str">
        <f t="shared" si="101"/>
        <v/>
      </c>
      <c r="DS678" s="357" t="str">
        <f t="shared" si="102"/>
        <v/>
      </c>
      <c r="DT678" s="357" t="str">
        <f t="shared" si="103"/>
        <v/>
      </c>
      <c r="DU678" s="357" t="str">
        <f t="shared" si="104"/>
        <v/>
      </c>
      <c r="DV678" s="357" t="str">
        <f t="shared" si="105"/>
        <v/>
      </c>
      <c r="DW678" s="357" t="str">
        <f t="shared" si="106"/>
        <v/>
      </c>
      <c r="DX678" s="357" t="str">
        <f t="shared" si="107"/>
        <v/>
      </c>
      <c r="DY678" s="357" t="str">
        <f t="shared" si="108"/>
        <v/>
      </c>
      <c r="DZ678" s="357" t="str">
        <f t="shared" si="109"/>
        <v/>
      </c>
      <c r="EA678" s="357" t="str">
        <f t="shared" si="110"/>
        <v/>
      </c>
      <c r="EB678" s="357" t="str">
        <f t="shared" si="111"/>
        <v/>
      </c>
      <c r="EC678" s="357" t="str">
        <f t="shared" si="112"/>
        <v/>
      </c>
      <c r="ED678" s="357" t="str">
        <f t="shared" si="113"/>
        <v/>
      </c>
      <c r="EE678" s="357" t="str">
        <f t="shared" si="114"/>
        <v/>
      </c>
      <c r="EF678" s="357" t="str">
        <f t="shared" si="115"/>
        <v/>
      </c>
      <c r="EG678" s="357" t="str">
        <f t="shared" si="116"/>
        <v/>
      </c>
      <c r="EH678" s="357" t="str">
        <f t="shared" si="117"/>
        <v/>
      </c>
      <c r="EI678" s="357" t="str">
        <f t="shared" si="118"/>
        <v/>
      </c>
      <c r="EJ678" s="357" t="str">
        <f t="shared" si="119"/>
        <v/>
      </c>
      <c r="EK678" s="357" t="str">
        <f t="shared" si="120"/>
        <v/>
      </c>
      <c r="EL678" s="357" t="str">
        <f t="shared" si="121"/>
        <v/>
      </c>
      <c r="EM678" s="357" t="str">
        <f t="shared" si="122"/>
        <v/>
      </c>
      <c r="EN678" s="357" t="str">
        <f t="shared" si="123"/>
        <v/>
      </c>
      <c r="EO678" s="357" t="str">
        <f t="shared" si="124"/>
        <v/>
      </c>
      <c r="EP678" s="357" t="str">
        <f t="shared" si="125"/>
        <v/>
      </c>
      <c r="EQ678" s="357" t="str">
        <f t="shared" si="126"/>
        <v/>
      </c>
      <c r="ER678" s="357" t="str">
        <f t="shared" si="127"/>
        <v/>
      </c>
      <c r="ES678" s="357" t="str">
        <f t="shared" si="128"/>
        <v/>
      </c>
      <c r="ET678" s="357" t="str">
        <f t="shared" si="129"/>
        <v/>
      </c>
      <c r="EU678" s="357" t="str">
        <f t="shared" si="130"/>
        <v/>
      </c>
      <c r="EV678" s="357" t="str">
        <f t="shared" si="131"/>
        <v/>
      </c>
      <c r="EW678" s="357" t="str">
        <f t="shared" si="132"/>
        <v/>
      </c>
      <c r="EX678" s="357" t="str">
        <f t="shared" si="133"/>
        <v/>
      </c>
      <c r="EY678" s="357" t="str">
        <f t="shared" si="134"/>
        <v/>
      </c>
      <c r="EZ678" s="357" t="str">
        <f t="shared" si="135"/>
        <v/>
      </c>
      <c r="FA678" s="357" t="str">
        <f t="shared" si="136"/>
        <v/>
      </c>
      <c r="FB678" s="357" t="str">
        <f t="shared" si="137"/>
        <v/>
      </c>
      <c r="FC678" s="357" t="str">
        <f t="shared" si="138"/>
        <v/>
      </c>
      <c r="FD678" s="357" t="str">
        <f t="shared" si="139"/>
        <v/>
      </c>
      <c r="FE678" s="357" t="str">
        <f t="shared" si="140"/>
        <v/>
      </c>
      <c r="FF678" s="357" t="str">
        <f t="shared" si="141"/>
        <v/>
      </c>
      <c r="FG678" s="357" t="str">
        <f t="shared" si="142"/>
        <v/>
      </c>
      <c r="FH678" s="357" t="str">
        <f t="shared" si="143"/>
        <v/>
      </c>
      <c r="FI678" s="357" t="str">
        <f t="shared" si="144"/>
        <v/>
      </c>
      <c r="FJ678" s="357" t="str">
        <f t="shared" si="145"/>
        <v/>
      </c>
      <c r="FK678" s="357" t="str">
        <f t="shared" si="146"/>
        <v/>
      </c>
      <c r="FL678" s="357" t="str">
        <f t="shared" si="147"/>
        <v/>
      </c>
      <c r="FM678" s="357" t="str">
        <f t="shared" si="148"/>
        <v/>
      </c>
      <c r="FN678" s="357" t="str">
        <f t="shared" si="149"/>
        <v/>
      </c>
      <c r="FO678" s="357" t="str">
        <f t="shared" si="150"/>
        <v/>
      </c>
      <c r="FP678" s="357" t="str">
        <f t="shared" si="151"/>
        <v/>
      </c>
      <c r="FQ678" s="357" t="str">
        <f t="shared" si="152"/>
        <v/>
      </c>
      <c r="FR678" s="357" t="str">
        <f t="shared" si="153"/>
        <v/>
      </c>
      <c r="FS678" s="357" t="str">
        <f t="shared" si="154"/>
        <v/>
      </c>
      <c r="FT678" s="357" t="str">
        <f t="shared" si="155"/>
        <v/>
      </c>
      <c r="FU678" s="357" t="str">
        <f t="shared" si="156"/>
        <v/>
      </c>
      <c r="FV678" s="357" t="str">
        <f t="shared" si="157"/>
        <v/>
      </c>
      <c r="FW678" s="357" t="str">
        <f t="shared" si="158"/>
        <v/>
      </c>
      <c r="FX678" s="357" t="str">
        <f t="shared" si="159"/>
        <v/>
      </c>
      <c r="FY678" s="357" t="str">
        <f t="shared" si="160"/>
        <v/>
      </c>
      <c r="FZ678" s="357" t="str">
        <f t="shared" si="161"/>
        <v/>
      </c>
      <c r="GA678" s="357" t="str">
        <f t="shared" si="162"/>
        <v/>
      </c>
      <c r="GB678" s="357" t="str">
        <f t="shared" si="163"/>
        <v/>
      </c>
      <c r="GC678" s="357" t="str">
        <f t="shared" si="164"/>
        <v/>
      </c>
      <c r="GD678" s="357" t="str">
        <f t="shared" si="165"/>
        <v/>
      </c>
      <c r="GE678" s="357" t="str">
        <f t="shared" si="166"/>
        <v/>
      </c>
      <c r="GF678" s="357" t="str">
        <f t="shared" si="167"/>
        <v/>
      </c>
      <c r="GG678" s="357" t="str">
        <f t="shared" si="168"/>
        <v/>
      </c>
      <c r="GH678" s="357" t="str">
        <f t="shared" si="169"/>
        <v/>
      </c>
      <c r="GI678" s="357" t="str">
        <f t="shared" si="170"/>
        <v/>
      </c>
      <c r="GJ678" s="357" t="str">
        <f t="shared" si="171"/>
        <v/>
      </c>
      <c r="GK678" s="357" t="str">
        <f t="shared" si="172"/>
        <v/>
      </c>
      <c r="GL678" s="357" t="str">
        <f t="shared" si="173"/>
        <v/>
      </c>
      <c r="GM678" s="357" t="str">
        <f t="shared" si="174"/>
        <v/>
      </c>
      <c r="GN678" s="357" t="str">
        <f t="shared" si="175"/>
        <v/>
      </c>
      <c r="GO678" s="357" t="str">
        <f t="shared" si="176"/>
        <v/>
      </c>
      <c r="GP678" s="357" t="str">
        <f t="shared" si="177"/>
        <v/>
      </c>
      <c r="GQ678" s="357" t="str">
        <f t="shared" si="178"/>
        <v/>
      </c>
      <c r="GR678" s="357" t="str">
        <f t="shared" si="179"/>
        <v/>
      </c>
      <c r="GS678" s="357" t="str">
        <f t="shared" si="180"/>
        <v/>
      </c>
      <c r="GT678" s="357" t="str">
        <f t="shared" si="181"/>
        <v/>
      </c>
      <c r="GU678" s="357" t="str">
        <f t="shared" si="182"/>
        <v/>
      </c>
      <c r="GV678" s="357" t="str">
        <f t="shared" si="183"/>
        <v/>
      </c>
      <c r="GW678" s="357" t="str">
        <f t="shared" si="184"/>
        <v/>
      </c>
      <c r="GX678" s="357" t="str">
        <f t="shared" si="185"/>
        <v/>
      </c>
      <c r="GY678" s="357" t="str">
        <f t="shared" si="186"/>
        <v/>
      </c>
      <c r="GZ678" s="357" t="str">
        <f t="shared" si="187"/>
        <v/>
      </c>
      <c r="HA678" s="357" t="str">
        <f t="shared" si="188"/>
        <v/>
      </c>
      <c r="HB678" s="357" t="str">
        <f t="shared" si="189"/>
        <v/>
      </c>
      <c r="HC678" s="357" t="str">
        <f t="shared" si="190"/>
        <v/>
      </c>
      <c r="HD678" s="357" t="str">
        <f t="shared" si="191"/>
        <v/>
      </c>
      <c r="HE678" s="357" t="str">
        <f t="shared" si="192"/>
        <v/>
      </c>
      <c r="HF678" s="357" t="str">
        <f t="shared" si="193"/>
        <v/>
      </c>
      <c r="HG678" s="357" t="str">
        <f t="shared" si="194"/>
        <v/>
      </c>
      <c r="HH678" s="357" t="str">
        <f t="shared" si="195"/>
        <v/>
      </c>
      <c r="HI678" s="357" t="str">
        <f t="shared" si="196"/>
        <v/>
      </c>
      <c r="HJ678" s="357" t="str">
        <f t="shared" si="197"/>
        <v/>
      </c>
      <c r="HK678" s="357" t="str">
        <f t="shared" si="198"/>
        <v/>
      </c>
      <c r="HL678" s="357" t="str">
        <f t="shared" si="199"/>
        <v/>
      </c>
      <c r="HM678" s="357" t="str">
        <f t="shared" si="200"/>
        <v/>
      </c>
      <c r="HN678" s="357" t="str">
        <f t="shared" si="201"/>
        <v/>
      </c>
      <c r="HO678" s="357" t="str">
        <f t="shared" si="202"/>
        <v/>
      </c>
      <c r="HP678" s="357" t="str">
        <f t="shared" si="203"/>
        <v/>
      </c>
      <c r="HQ678" s="357" t="str">
        <f t="shared" si="204"/>
        <v/>
      </c>
      <c r="HR678" s="357" t="str">
        <f t="shared" si="205"/>
        <v/>
      </c>
      <c r="HS678" s="357" t="str">
        <f t="shared" si="206"/>
        <v/>
      </c>
      <c r="HT678" s="357" t="str">
        <f t="shared" si="207"/>
        <v/>
      </c>
      <c r="HU678" s="357" t="str">
        <f t="shared" si="208"/>
        <v/>
      </c>
      <c r="HV678" s="357" t="str">
        <f t="shared" si="209"/>
        <v/>
      </c>
      <c r="HW678" s="357" t="str">
        <f t="shared" si="210"/>
        <v/>
      </c>
      <c r="HX678" s="357" t="str">
        <f t="shared" si="211"/>
        <v/>
      </c>
      <c r="HY678" s="357" t="str">
        <f t="shared" si="212"/>
        <v/>
      </c>
      <c r="HZ678" s="1903" t="str">
        <f t="shared" si="213"/>
        <v/>
      </c>
      <c r="IA678" s="1903" t="str">
        <f t="shared" si="214"/>
        <v/>
      </c>
      <c r="IB678" s="1903" t="str">
        <f t="shared" si="215"/>
        <v/>
      </c>
      <c r="IC678" s="1903" t="str">
        <f t="shared" si="216"/>
        <v/>
      </c>
      <c r="ID678" s="1903" t="str">
        <f t="shared" si="217"/>
        <v/>
      </c>
      <c r="IE678" s="1903" t="str">
        <f t="shared" si="218"/>
        <v/>
      </c>
      <c r="IF678" s="1903" t="str">
        <f t="shared" si="219"/>
        <v/>
      </c>
      <c r="IG678" s="1903" t="str">
        <f t="shared" si="220"/>
        <v/>
      </c>
      <c r="IH678" s="1903" t="str">
        <f t="shared" si="221"/>
        <v/>
      </c>
      <c r="II678" s="1903" t="str">
        <f t="shared" si="222"/>
        <v/>
      </c>
      <c r="IJ678" s="1903" t="str">
        <f t="shared" si="223"/>
        <v/>
      </c>
      <c r="IK678" s="1903" t="str">
        <f t="shared" si="224"/>
        <v/>
      </c>
      <c r="IL678" s="1903" t="str">
        <f t="shared" si="225"/>
        <v/>
      </c>
      <c r="IM678" s="1903" t="str">
        <f t="shared" si="226"/>
        <v/>
      </c>
      <c r="IN678" s="1903" t="str">
        <f t="shared" si="227"/>
        <v/>
      </c>
      <c r="IO678" s="1903" t="str">
        <f t="shared" si="228"/>
        <v/>
      </c>
      <c r="IP678" s="1903" t="str">
        <f t="shared" si="229"/>
        <v/>
      </c>
      <c r="IQ678" s="1903" t="str">
        <f t="shared" si="230"/>
        <v/>
      </c>
      <c r="IR678" s="1903" t="str">
        <f t="shared" si="231"/>
        <v/>
      </c>
      <c r="IS678" s="1903" t="str">
        <f t="shared" si="232"/>
        <v/>
      </c>
      <c r="IT678" s="1903" t="str">
        <f t="shared" si="233"/>
        <v/>
      </c>
      <c r="IU678" s="1903" t="str">
        <f t="shared" si="234"/>
        <v/>
      </c>
      <c r="IV678" s="1903" t="str">
        <f t="shared" si="235"/>
        <v/>
      </c>
      <c r="IW678" s="1903" t="str">
        <f t="shared" si="236"/>
        <v/>
      </c>
      <c r="IX678" s="1903" t="str">
        <f t="shared" si="237"/>
        <v/>
      </c>
      <c r="IY678" s="1903" t="str">
        <f t="shared" si="238"/>
        <v/>
      </c>
      <c r="IZ678" s="1903" t="str">
        <f t="shared" si="239"/>
        <v/>
      </c>
      <c r="JA678" s="1903" t="str">
        <f t="shared" si="240"/>
        <v/>
      </c>
      <c r="JB678" s="1903" t="str">
        <f t="shared" si="241"/>
        <v/>
      </c>
      <c r="JC678" s="1903" t="str">
        <f t="shared" si="242"/>
        <v/>
      </c>
      <c r="JD678" s="1903" t="str">
        <f t="shared" si="243"/>
        <v/>
      </c>
      <c r="JE678" s="1903" t="str">
        <f t="shared" si="244"/>
        <v/>
      </c>
      <c r="JF678" s="1903" t="str">
        <f t="shared" si="245"/>
        <v/>
      </c>
      <c r="JG678" s="1903" t="str">
        <f t="shared" si="246"/>
        <v/>
      </c>
      <c r="JH678" s="1903" t="str">
        <f t="shared" si="247"/>
        <v/>
      </c>
      <c r="JI678" s="1903" t="str">
        <f t="shared" si="248"/>
        <v/>
      </c>
      <c r="JJ678" s="1903" t="str">
        <f t="shared" si="249"/>
        <v/>
      </c>
      <c r="JK678" s="1903" t="str">
        <f t="shared" si="250"/>
        <v/>
      </c>
      <c r="JL678" s="1903" t="str">
        <f t="shared" si="251"/>
        <v/>
      </c>
      <c r="JM678" s="1903" t="str">
        <f t="shared" si="252"/>
        <v/>
      </c>
      <c r="JN678" s="1903" t="str">
        <f t="shared" si="253"/>
        <v/>
      </c>
      <c r="JO678" s="1903" t="str">
        <f t="shared" si="254"/>
        <v/>
      </c>
      <c r="JP678" s="1903" t="str">
        <f t="shared" si="255"/>
        <v/>
      </c>
      <c r="JQ678" s="1903" t="str">
        <f t="shared" si="256"/>
        <v/>
      </c>
      <c r="JR678" s="1903" t="str">
        <f t="shared" si="257"/>
        <v/>
      </c>
      <c r="JS678" s="1903" t="str">
        <f t="shared" si="258"/>
        <v/>
      </c>
      <c r="JT678" s="1903" t="str">
        <f t="shared" si="259"/>
        <v/>
      </c>
      <c r="JU678" s="1903" t="str">
        <f t="shared" si="260"/>
        <v/>
      </c>
      <c r="JV678" s="1903" t="str">
        <f t="shared" si="261"/>
        <v/>
      </c>
      <c r="JW678" s="1903" t="str">
        <f t="shared" si="262"/>
        <v/>
      </c>
      <c r="JX678" s="1903" t="str">
        <f t="shared" si="263"/>
        <v/>
      </c>
      <c r="JY678" s="1903" t="str">
        <f t="shared" si="264"/>
        <v/>
      </c>
      <c r="JZ678" s="1903" t="str">
        <f t="shared" si="265"/>
        <v/>
      </c>
      <c r="KA678" s="1903" t="str">
        <f t="shared" si="266"/>
        <v/>
      </c>
      <c r="KB678" s="1903" t="str">
        <f t="shared" si="267"/>
        <v/>
      </c>
      <c r="KC678" s="1903" t="str">
        <f t="shared" si="268"/>
        <v/>
      </c>
      <c r="KD678" s="1903" t="str">
        <f t="shared" si="269"/>
        <v/>
      </c>
      <c r="KE678" s="1903" t="str">
        <f t="shared" si="270"/>
        <v/>
      </c>
      <c r="KF678" s="1903" t="str">
        <f t="shared" si="271"/>
        <v/>
      </c>
      <c r="KG678" s="1903" t="str">
        <f t="shared" si="272"/>
        <v/>
      </c>
      <c r="KH678" s="1903" t="str">
        <f t="shared" si="273"/>
        <v/>
      </c>
      <c r="KI678" s="1903" t="str">
        <f t="shared" si="274"/>
        <v/>
      </c>
      <c r="KJ678" s="1903" t="str">
        <f t="shared" si="275"/>
        <v/>
      </c>
      <c r="KK678" s="1903" t="str">
        <f t="shared" si="276"/>
        <v/>
      </c>
      <c r="KL678" s="1903" t="str">
        <f t="shared" si="277"/>
        <v/>
      </c>
      <c r="KM678" s="1903" t="str">
        <f t="shared" si="278"/>
        <v/>
      </c>
      <c r="KN678" s="1903" t="str">
        <f t="shared" si="279"/>
        <v/>
      </c>
      <c r="KO678" s="1903" t="str">
        <f t="shared" si="280"/>
        <v/>
      </c>
      <c r="KP678" s="1903" t="str">
        <f t="shared" si="281"/>
        <v/>
      </c>
      <c r="KQ678" s="1903" t="str">
        <f t="shared" si="282"/>
        <v/>
      </c>
      <c r="KR678" s="1903" t="str">
        <f t="shared" si="283"/>
        <v/>
      </c>
      <c r="KS678" s="1903" t="str">
        <f t="shared" si="284"/>
        <v/>
      </c>
      <c r="KT678" s="1903" t="str">
        <f t="shared" si="285"/>
        <v/>
      </c>
      <c r="KU678" s="1903" t="str">
        <f t="shared" si="286"/>
        <v/>
      </c>
      <c r="KV678" s="1903" t="str">
        <f t="shared" si="287"/>
        <v/>
      </c>
      <c r="KW678" s="1903" t="str">
        <f t="shared" si="288"/>
        <v/>
      </c>
      <c r="KX678" s="1903" t="str">
        <f t="shared" si="289"/>
        <v/>
      </c>
      <c r="KY678" s="1903" t="str">
        <f t="shared" si="290"/>
        <v/>
      </c>
      <c r="KZ678" s="1903" t="str">
        <f t="shared" si="291"/>
        <v/>
      </c>
      <c r="LA678" s="1903" t="str">
        <f t="shared" si="292"/>
        <v/>
      </c>
      <c r="LB678" s="1903" t="str">
        <f t="shared" si="293"/>
        <v/>
      </c>
      <c r="LC678" s="1903" t="str">
        <f t="shared" si="294"/>
        <v/>
      </c>
      <c r="LD678" s="1903" t="str">
        <f t="shared" si="295"/>
        <v/>
      </c>
      <c r="LE678" s="1903" t="str">
        <f t="shared" si="296"/>
        <v/>
      </c>
      <c r="LF678" s="1903" t="str">
        <f t="shared" si="297"/>
        <v/>
      </c>
      <c r="LG678" s="1750" t="str">
        <f t="shared" si="298"/>
        <v/>
      </c>
      <c r="LH678" s="1750" t="str">
        <f t="shared" si="299"/>
        <v/>
      </c>
      <c r="LI678" s="1750" t="str">
        <f t="shared" si="300"/>
        <v/>
      </c>
      <c r="LJ678" s="1750" t="str">
        <f t="shared" si="301"/>
        <v/>
      </c>
      <c r="LK678" s="1750" t="str">
        <f t="shared" si="302"/>
        <v/>
      </c>
      <c r="LL678" s="357" t="str">
        <f t="shared" si="303"/>
        <v/>
      </c>
      <c r="LM678" s="357" t="str">
        <f t="shared" si="304"/>
        <v/>
      </c>
      <c r="LN678" s="357" t="str">
        <f t="shared" si="305"/>
        <v/>
      </c>
      <c r="LO678" s="357" t="str">
        <f t="shared" si="306"/>
        <v/>
      </c>
      <c r="LP678" s="357" t="str">
        <f t="shared" si="307"/>
        <v/>
      </c>
      <c r="LQ678" s="357" t="str">
        <f t="shared" si="308"/>
        <v/>
      </c>
      <c r="LR678" s="357" t="str">
        <f t="shared" si="309"/>
        <v/>
      </c>
      <c r="LS678" s="357" t="str">
        <f t="shared" si="310"/>
        <v/>
      </c>
      <c r="LT678" s="357" t="str">
        <f t="shared" si="311"/>
        <v/>
      </c>
      <c r="LU678" s="357" t="str">
        <f t="shared" si="312"/>
        <v/>
      </c>
      <c r="LV678" s="357" t="str">
        <f t="shared" si="313"/>
        <v/>
      </c>
      <c r="LW678" s="357" t="str">
        <f t="shared" si="314"/>
        <v/>
      </c>
      <c r="LX678" s="357" t="str">
        <f t="shared" si="315"/>
        <v/>
      </c>
      <c r="LY678" s="357" t="str">
        <f t="shared" si="316"/>
        <v/>
      </c>
      <c r="LZ678" s="357" t="str">
        <f t="shared" si="317"/>
        <v/>
      </c>
      <c r="MA678" s="357" t="str">
        <f t="shared" si="318"/>
        <v/>
      </c>
      <c r="MB678" s="357" t="str">
        <f t="shared" si="319"/>
        <v/>
      </c>
      <c r="MC678" s="357" t="str">
        <f t="shared" si="320"/>
        <v/>
      </c>
      <c r="MD678" s="357" t="str">
        <f t="shared" si="321"/>
        <v/>
      </c>
      <c r="ME678" s="357" t="str">
        <f t="shared" si="322"/>
        <v/>
      </c>
      <c r="MF678" s="1750">
        <f t="shared" si="323"/>
        <v>0</v>
      </c>
      <c r="MG678" s="1750">
        <f t="shared" si="324"/>
        <v>0</v>
      </c>
      <c r="MH678" s="1750">
        <f t="shared" si="325"/>
        <v>0</v>
      </c>
      <c r="MI678" s="1750">
        <f t="shared" si="326"/>
        <v>0</v>
      </c>
      <c r="MJ678" s="1750">
        <f t="shared" si="327"/>
        <v>0</v>
      </c>
      <c r="MK678" s="1750">
        <f t="shared" si="333"/>
        <v>0</v>
      </c>
      <c r="ML678" s="1750">
        <f t="shared" si="334"/>
        <v>0</v>
      </c>
      <c r="MM678" s="1750">
        <f t="shared" si="335"/>
        <v>0</v>
      </c>
      <c r="MN678" s="1750">
        <f t="shared" si="336"/>
        <v>0</v>
      </c>
      <c r="MO678" s="1750">
        <f t="shared" si="337"/>
        <v>0</v>
      </c>
      <c r="MP678" s="1750">
        <f t="shared" si="328"/>
        <v>0</v>
      </c>
      <c r="MQ678" s="1750">
        <f t="shared" si="329"/>
        <v>0</v>
      </c>
      <c r="MR678" s="1750">
        <f t="shared" si="330"/>
        <v>0</v>
      </c>
      <c r="MS678" s="1750">
        <f t="shared" si="331"/>
        <v>0</v>
      </c>
      <c r="MT678" s="1750">
        <f t="shared" si="332"/>
        <v>0</v>
      </c>
      <c r="NP678" s="357" t="s">
        <v>6443</v>
      </c>
    </row>
    <row r="679" spans="1:380" ht="13.9" customHeight="1">
      <c r="A679" s="1901" t="str">
        <f t="shared" si="0"/>
        <v/>
      </c>
      <c r="B679" s="2238">
        <f>'Part V-Revenues &amp; Expenses'!B41</f>
        <v>0</v>
      </c>
      <c r="C679" s="2229">
        <f>'Part V-Revenues &amp; Expenses'!C41</f>
        <v>0</v>
      </c>
      <c r="D679" s="2230">
        <f>'Part V-Revenues &amp; Expenses'!D41</f>
        <v>0</v>
      </c>
      <c r="E679" s="2231">
        <f>'Part V-Revenues &amp; Expenses'!E41</f>
        <v>0</v>
      </c>
      <c r="F679" s="2231">
        <f>'Part V-Revenues &amp; Expenses'!F41</f>
        <v>0</v>
      </c>
      <c r="G679" s="2231">
        <f>'Part V-Revenues &amp; Expenses'!G41</f>
        <v>0</v>
      </c>
      <c r="H679" s="2231">
        <f>'Part V-Revenues &amp; Expenses'!H41</f>
        <v>0</v>
      </c>
      <c r="I679" s="2231">
        <f>'Part V-Revenues &amp; Expenses'!I41</f>
        <v>0</v>
      </c>
      <c r="J679" s="2231">
        <f>'Part V-Revenues &amp; Expenses'!J41</f>
        <v>0</v>
      </c>
      <c r="K679" s="2232">
        <f>'Part V-Revenues &amp; Expenses'!K41</f>
        <v>0</v>
      </c>
      <c r="L679" s="2233">
        <f t="shared" si="340"/>
        <v>0</v>
      </c>
      <c r="M679" s="2233">
        <f t="shared" si="341"/>
        <v>0</v>
      </c>
      <c r="N679" s="2094">
        <f>'Part V-Revenues &amp; Expenses'!N41</f>
        <v>0</v>
      </c>
      <c r="O679" s="2234">
        <f>'Part V-Revenues &amp; Expenses'!O41</f>
        <v>0</v>
      </c>
      <c r="P679" s="2094">
        <f>'Part V-Revenues &amp; Expenses'!P41</f>
        <v>0</v>
      </c>
      <c r="Q679" s="2235">
        <f>'Part V-Revenues &amp; Expenses'!Q41</f>
        <v>0</v>
      </c>
      <c r="R679" s="2236"/>
      <c r="S679" s="2237"/>
      <c r="T679" s="2160"/>
      <c r="U679" s="2160"/>
      <c r="V679" s="2160"/>
      <c r="W679" s="2160"/>
      <c r="X679" s="357" t="str">
        <f t="shared" si="3"/>
        <v/>
      </c>
      <c r="Y679" s="357" t="str">
        <f t="shared" si="4"/>
        <v/>
      </c>
      <c r="Z679" s="357" t="str">
        <f t="shared" si="5"/>
        <v/>
      </c>
      <c r="AA679" s="357" t="str">
        <f t="shared" si="6"/>
        <v/>
      </c>
      <c r="AB679" s="357" t="str">
        <f t="shared" si="7"/>
        <v/>
      </c>
      <c r="AC679" s="357" t="str">
        <f t="shared" si="8"/>
        <v/>
      </c>
      <c r="AD679" s="357" t="str">
        <f t="shared" si="9"/>
        <v/>
      </c>
      <c r="AE679" s="357" t="str">
        <f t="shared" si="10"/>
        <v/>
      </c>
      <c r="AF679" s="357" t="str">
        <f t="shared" si="11"/>
        <v/>
      </c>
      <c r="AG679" s="357" t="str">
        <f t="shared" si="12"/>
        <v/>
      </c>
      <c r="AH679" s="357" t="str">
        <f t="shared" si="13"/>
        <v/>
      </c>
      <c r="AI679" s="357" t="str">
        <f t="shared" si="14"/>
        <v/>
      </c>
      <c r="AJ679" s="357" t="str">
        <f t="shared" si="15"/>
        <v/>
      </c>
      <c r="AK679" s="357" t="str">
        <f t="shared" si="16"/>
        <v/>
      </c>
      <c r="AL679" s="357" t="str">
        <f t="shared" si="17"/>
        <v/>
      </c>
      <c r="AM679" s="357" t="str">
        <f t="shared" si="18"/>
        <v/>
      </c>
      <c r="AN679" s="357" t="str">
        <f t="shared" si="19"/>
        <v/>
      </c>
      <c r="AO679" s="357" t="str">
        <f t="shared" si="20"/>
        <v/>
      </c>
      <c r="AP679" s="357" t="str">
        <f t="shared" si="21"/>
        <v/>
      </c>
      <c r="AQ679" s="357" t="str">
        <f t="shared" si="22"/>
        <v/>
      </c>
      <c r="AR679" s="357" t="str">
        <f t="shared" si="23"/>
        <v/>
      </c>
      <c r="AS679" s="357" t="str">
        <f t="shared" si="24"/>
        <v/>
      </c>
      <c r="AT679" s="357" t="str">
        <f t="shared" si="25"/>
        <v/>
      </c>
      <c r="AU679" s="357" t="str">
        <f t="shared" si="26"/>
        <v/>
      </c>
      <c r="AV679" s="357" t="str">
        <f t="shared" si="27"/>
        <v/>
      </c>
      <c r="AW679" s="357" t="str">
        <f t="shared" si="28"/>
        <v/>
      </c>
      <c r="AX679" s="357" t="str">
        <f t="shared" si="29"/>
        <v/>
      </c>
      <c r="AY679" s="357" t="str">
        <f t="shared" si="30"/>
        <v/>
      </c>
      <c r="AZ679" s="357" t="str">
        <f t="shared" si="31"/>
        <v/>
      </c>
      <c r="BA679" s="357" t="str">
        <f t="shared" si="32"/>
        <v/>
      </c>
      <c r="BB679" s="357" t="str">
        <f t="shared" si="33"/>
        <v/>
      </c>
      <c r="BC679" s="357" t="str">
        <f t="shared" si="34"/>
        <v/>
      </c>
      <c r="BD679" s="357" t="str">
        <f t="shared" si="35"/>
        <v/>
      </c>
      <c r="BE679" s="357" t="str">
        <f t="shared" si="36"/>
        <v/>
      </c>
      <c r="BF679" s="357" t="str">
        <f t="shared" si="37"/>
        <v/>
      </c>
      <c r="BG679" s="357" t="str">
        <f t="shared" si="38"/>
        <v/>
      </c>
      <c r="BH679" s="357" t="str">
        <f t="shared" si="39"/>
        <v/>
      </c>
      <c r="BI679" s="357" t="str">
        <f t="shared" si="40"/>
        <v/>
      </c>
      <c r="BJ679" s="357" t="str">
        <f t="shared" si="41"/>
        <v/>
      </c>
      <c r="BK679" s="357" t="str">
        <f t="shared" si="42"/>
        <v/>
      </c>
      <c r="BL679" s="357" t="str">
        <f t="shared" si="43"/>
        <v/>
      </c>
      <c r="BM679" s="357" t="str">
        <f t="shared" si="44"/>
        <v/>
      </c>
      <c r="BN679" s="357" t="str">
        <f t="shared" si="45"/>
        <v/>
      </c>
      <c r="BO679" s="357" t="str">
        <f t="shared" si="46"/>
        <v/>
      </c>
      <c r="BP679" s="357" t="str">
        <f t="shared" si="47"/>
        <v/>
      </c>
      <c r="BQ679" s="357" t="str">
        <f t="shared" si="48"/>
        <v/>
      </c>
      <c r="BR679" s="357" t="str">
        <f t="shared" si="49"/>
        <v/>
      </c>
      <c r="BS679" s="357" t="str">
        <f t="shared" si="50"/>
        <v/>
      </c>
      <c r="BT679" s="357" t="str">
        <f t="shared" si="51"/>
        <v/>
      </c>
      <c r="BU679" s="357" t="str">
        <f t="shared" si="52"/>
        <v/>
      </c>
      <c r="BV679" s="357" t="str">
        <f t="shared" si="53"/>
        <v/>
      </c>
      <c r="BW679" s="357" t="str">
        <f t="shared" si="54"/>
        <v/>
      </c>
      <c r="BX679" s="357" t="str">
        <f t="shared" si="55"/>
        <v/>
      </c>
      <c r="BY679" s="357" t="str">
        <f t="shared" si="56"/>
        <v/>
      </c>
      <c r="BZ679" s="357" t="str">
        <f t="shared" si="57"/>
        <v/>
      </c>
      <c r="CA679" s="357" t="str">
        <f t="shared" si="58"/>
        <v/>
      </c>
      <c r="CB679" s="357" t="str">
        <f t="shared" si="59"/>
        <v/>
      </c>
      <c r="CC679" s="357" t="str">
        <f t="shared" si="60"/>
        <v/>
      </c>
      <c r="CD679" s="357" t="str">
        <f t="shared" si="61"/>
        <v/>
      </c>
      <c r="CE679" s="357" t="str">
        <f t="shared" si="62"/>
        <v/>
      </c>
      <c r="CF679" s="357" t="str">
        <f t="shared" si="63"/>
        <v/>
      </c>
      <c r="CG679" s="357" t="str">
        <f t="shared" si="64"/>
        <v/>
      </c>
      <c r="CH679" s="357" t="str">
        <f t="shared" si="65"/>
        <v/>
      </c>
      <c r="CI679" s="357" t="str">
        <f t="shared" si="66"/>
        <v/>
      </c>
      <c r="CJ679" s="357" t="str">
        <f t="shared" si="67"/>
        <v/>
      </c>
      <c r="CK679" s="357" t="str">
        <f t="shared" si="68"/>
        <v/>
      </c>
      <c r="CL679" s="357" t="str">
        <f t="shared" si="69"/>
        <v/>
      </c>
      <c r="CM679" s="357" t="str">
        <f t="shared" si="70"/>
        <v/>
      </c>
      <c r="CN679" s="357" t="str">
        <f t="shared" si="71"/>
        <v/>
      </c>
      <c r="CO679" s="357" t="str">
        <f t="shared" si="72"/>
        <v/>
      </c>
      <c r="CP679" s="357" t="str">
        <f t="shared" si="73"/>
        <v/>
      </c>
      <c r="CQ679" s="357" t="str">
        <f t="shared" si="74"/>
        <v/>
      </c>
      <c r="CR679" s="357" t="str">
        <f t="shared" si="75"/>
        <v/>
      </c>
      <c r="CS679" s="357" t="str">
        <f t="shared" si="76"/>
        <v/>
      </c>
      <c r="CT679" s="357" t="str">
        <f t="shared" si="77"/>
        <v/>
      </c>
      <c r="CU679" s="357" t="str">
        <f t="shared" si="78"/>
        <v/>
      </c>
      <c r="CV679" s="357" t="str">
        <f t="shared" si="79"/>
        <v/>
      </c>
      <c r="CW679" s="357" t="str">
        <f t="shared" si="80"/>
        <v/>
      </c>
      <c r="CX679" s="357" t="str">
        <f t="shared" si="81"/>
        <v/>
      </c>
      <c r="CY679" s="357" t="str">
        <f t="shared" si="82"/>
        <v/>
      </c>
      <c r="CZ679" s="357" t="str">
        <f t="shared" si="83"/>
        <v/>
      </c>
      <c r="DA679" s="357" t="str">
        <f t="shared" si="84"/>
        <v/>
      </c>
      <c r="DB679" s="357" t="str">
        <f t="shared" si="85"/>
        <v/>
      </c>
      <c r="DC679" s="357" t="str">
        <f t="shared" si="86"/>
        <v/>
      </c>
      <c r="DD679" s="357" t="str">
        <f t="shared" si="87"/>
        <v/>
      </c>
      <c r="DE679" s="357" t="str">
        <f t="shared" si="88"/>
        <v/>
      </c>
      <c r="DF679" s="357" t="str">
        <f t="shared" si="89"/>
        <v/>
      </c>
      <c r="DG679" s="357" t="str">
        <f t="shared" si="90"/>
        <v/>
      </c>
      <c r="DH679" s="357" t="str">
        <f t="shared" si="91"/>
        <v/>
      </c>
      <c r="DI679" s="357" t="str">
        <f t="shared" si="92"/>
        <v/>
      </c>
      <c r="DJ679" s="357" t="str">
        <f t="shared" si="93"/>
        <v/>
      </c>
      <c r="DK679" s="357" t="str">
        <f t="shared" si="94"/>
        <v/>
      </c>
      <c r="DL679" s="357" t="str">
        <f t="shared" si="95"/>
        <v/>
      </c>
      <c r="DM679" s="357" t="str">
        <f t="shared" si="96"/>
        <v/>
      </c>
      <c r="DN679" s="357" t="str">
        <f t="shared" si="97"/>
        <v/>
      </c>
      <c r="DO679" s="357" t="str">
        <f t="shared" si="98"/>
        <v/>
      </c>
      <c r="DP679" s="357" t="str">
        <f t="shared" si="99"/>
        <v/>
      </c>
      <c r="DQ679" s="357" t="str">
        <f t="shared" si="100"/>
        <v/>
      </c>
      <c r="DR679" s="357" t="str">
        <f t="shared" si="101"/>
        <v/>
      </c>
      <c r="DS679" s="357" t="str">
        <f t="shared" si="102"/>
        <v/>
      </c>
      <c r="DT679" s="357" t="str">
        <f t="shared" si="103"/>
        <v/>
      </c>
      <c r="DU679" s="357" t="str">
        <f t="shared" si="104"/>
        <v/>
      </c>
      <c r="DV679" s="357" t="str">
        <f t="shared" si="105"/>
        <v/>
      </c>
      <c r="DW679" s="357" t="str">
        <f t="shared" si="106"/>
        <v/>
      </c>
      <c r="DX679" s="357" t="str">
        <f t="shared" si="107"/>
        <v/>
      </c>
      <c r="DY679" s="357" t="str">
        <f t="shared" si="108"/>
        <v/>
      </c>
      <c r="DZ679" s="357" t="str">
        <f t="shared" si="109"/>
        <v/>
      </c>
      <c r="EA679" s="357" t="str">
        <f t="shared" si="110"/>
        <v/>
      </c>
      <c r="EB679" s="357" t="str">
        <f t="shared" si="111"/>
        <v/>
      </c>
      <c r="EC679" s="357" t="str">
        <f t="shared" si="112"/>
        <v/>
      </c>
      <c r="ED679" s="357" t="str">
        <f t="shared" si="113"/>
        <v/>
      </c>
      <c r="EE679" s="357" t="str">
        <f t="shared" si="114"/>
        <v/>
      </c>
      <c r="EF679" s="357" t="str">
        <f t="shared" si="115"/>
        <v/>
      </c>
      <c r="EG679" s="357" t="str">
        <f t="shared" si="116"/>
        <v/>
      </c>
      <c r="EH679" s="357" t="str">
        <f t="shared" si="117"/>
        <v/>
      </c>
      <c r="EI679" s="357" t="str">
        <f t="shared" si="118"/>
        <v/>
      </c>
      <c r="EJ679" s="357" t="str">
        <f t="shared" si="119"/>
        <v/>
      </c>
      <c r="EK679" s="357" t="str">
        <f t="shared" si="120"/>
        <v/>
      </c>
      <c r="EL679" s="357" t="str">
        <f t="shared" si="121"/>
        <v/>
      </c>
      <c r="EM679" s="357" t="str">
        <f t="shared" si="122"/>
        <v/>
      </c>
      <c r="EN679" s="357" t="str">
        <f t="shared" si="123"/>
        <v/>
      </c>
      <c r="EO679" s="357" t="str">
        <f t="shared" si="124"/>
        <v/>
      </c>
      <c r="EP679" s="357" t="str">
        <f t="shared" si="125"/>
        <v/>
      </c>
      <c r="EQ679" s="357" t="str">
        <f t="shared" si="126"/>
        <v/>
      </c>
      <c r="ER679" s="357" t="str">
        <f t="shared" si="127"/>
        <v/>
      </c>
      <c r="ES679" s="357" t="str">
        <f t="shared" si="128"/>
        <v/>
      </c>
      <c r="ET679" s="357" t="str">
        <f t="shared" si="129"/>
        <v/>
      </c>
      <c r="EU679" s="357" t="str">
        <f t="shared" si="130"/>
        <v/>
      </c>
      <c r="EV679" s="357" t="str">
        <f t="shared" si="131"/>
        <v/>
      </c>
      <c r="EW679" s="357" t="str">
        <f t="shared" si="132"/>
        <v/>
      </c>
      <c r="EX679" s="357" t="str">
        <f t="shared" si="133"/>
        <v/>
      </c>
      <c r="EY679" s="357" t="str">
        <f t="shared" si="134"/>
        <v/>
      </c>
      <c r="EZ679" s="357" t="str">
        <f t="shared" si="135"/>
        <v/>
      </c>
      <c r="FA679" s="357" t="str">
        <f t="shared" si="136"/>
        <v/>
      </c>
      <c r="FB679" s="357" t="str">
        <f t="shared" si="137"/>
        <v/>
      </c>
      <c r="FC679" s="357" t="str">
        <f t="shared" si="138"/>
        <v/>
      </c>
      <c r="FD679" s="357" t="str">
        <f t="shared" si="139"/>
        <v/>
      </c>
      <c r="FE679" s="357" t="str">
        <f t="shared" si="140"/>
        <v/>
      </c>
      <c r="FF679" s="357" t="str">
        <f t="shared" si="141"/>
        <v/>
      </c>
      <c r="FG679" s="357" t="str">
        <f t="shared" si="142"/>
        <v/>
      </c>
      <c r="FH679" s="357" t="str">
        <f t="shared" si="143"/>
        <v/>
      </c>
      <c r="FI679" s="357" t="str">
        <f t="shared" si="144"/>
        <v/>
      </c>
      <c r="FJ679" s="357" t="str">
        <f t="shared" si="145"/>
        <v/>
      </c>
      <c r="FK679" s="357" t="str">
        <f t="shared" si="146"/>
        <v/>
      </c>
      <c r="FL679" s="357" t="str">
        <f t="shared" si="147"/>
        <v/>
      </c>
      <c r="FM679" s="357" t="str">
        <f t="shared" si="148"/>
        <v/>
      </c>
      <c r="FN679" s="357" t="str">
        <f t="shared" si="149"/>
        <v/>
      </c>
      <c r="FO679" s="357" t="str">
        <f t="shared" si="150"/>
        <v/>
      </c>
      <c r="FP679" s="357" t="str">
        <f t="shared" si="151"/>
        <v/>
      </c>
      <c r="FQ679" s="357" t="str">
        <f t="shared" si="152"/>
        <v/>
      </c>
      <c r="FR679" s="357" t="str">
        <f t="shared" si="153"/>
        <v/>
      </c>
      <c r="FS679" s="357" t="str">
        <f t="shared" si="154"/>
        <v/>
      </c>
      <c r="FT679" s="357" t="str">
        <f t="shared" si="155"/>
        <v/>
      </c>
      <c r="FU679" s="357" t="str">
        <f t="shared" si="156"/>
        <v/>
      </c>
      <c r="FV679" s="357" t="str">
        <f t="shared" si="157"/>
        <v/>
      </c>
      <c r="FW679" s="357" t="str">
        <f t="shared" si="158"/>
        <v/>
      </c>
      <c r="FX679" s="357" t="str">
        <f t="shared" si="159"/>
        <v/>
      </c>
      <c r="FY679" s="357" t="str">
        <f t="shared" si="160"/>
        <v/>
      </c>
      <c r="FZ679" s="357" t="str">
        <f t="shared" si="161"/>
        <v/>
      </c>
      <c r="GA679" s="357" t="str">
        <f t="shared" si="162"/>
        <v/>
      </c>
      <c r="GB679" s="357" t="str">
        <f t="shared" si="163"/>
        <v/>
      </c>
      <c r="GC679" s="357" t="str">
        <f t="shared" si="164"/>
        <v/>
      </c>
      <c r="GD679" s="357" t="str">
        <f t="shared" si="165"/>
        <v/>
      </c>
      <c r="GE679" s="357" t="str">
        <f t="shared" si="166"/>
        <v/>
      </c>
      <c r="GF679" s="357" t="str">
        <f t="shared" si="167"/>
        <v/>
      </c>
      <c r="GG679" s="357" t="str">
        <f t="shared" si="168"/>
        <v/>
      </c>
      <c r="GH679" s="357" t="str">
        <f t="shared" si="169"/>
        <v/>
      </c>
      <c r="GI679" s="357" t="str">
        <f t="shared" si="170"/>
        <v/>
      </c>
      <c r="GJ679" s="357" t="str">
        <f t="shared" si="171"/>
        <v/>
      </c>
      <c r="GK679" s="357" t="str">
        <f t="shared" si="172"/>
        <v/>
      </c>
      <c r="GL679" s="357" t="str">
        <f t="shared" si="173"/>
        <v/>
      </c>
      <c r="GM679" s="357" t="str">
        <f t="shared" si="174"/>
        <v/>
      </c>
      <c r="GN679" s="357" t="str">
        <f t="shared" si="175"/>
        <v/>
      </c>
      <c r="GO679" s="357" t="str">
        <f t="shared" si="176"/>
        <v/>
      </c>
      <c r="GP679" s="357" t="str">
        <f t="shared" si="177"/>
        <v/>
      </c>
      <c r="GQ679" s="357" t="str">
        <f t="shared" si="178"/>
        <v/>
      </c>
      <c r="GR679" s="357" t="str">
        <f t="shared" si="179"/>
        <v/>
      </c>
      <c r="GS679" s="357" t="str">
        <f t="shared" si="180"/>
        <v/>
      </c>
      <c r="GT679" s="357" t="str">
        <f t="shared" si="181"/>
        <v/>
      </c>
      <c r="GU679" s="357" t="str">
        <f t="shared" si="182"/>
        <v/>
      </c>
      <c r="GV679" s="357" t="str">
        <f t="shared" si="183"/>
        <v/>
      </c>
      <c r="GW679" s="357" t="str">
        <f t="shared" si="184"/>
        <v/>
      </c>
      <c r="GX679" s="357" t="str">
        <f t="shared" si="185"/>
        <v/>
      </c>
      <c r="GY679" s="357" t="str">
        <f t="shared" si="186"/>
        <v/>
      </c>
      <c r="GZ679" s="357" t="str">
        <f t="shared" si="187"/>
        <v/>
      </c>
      <c r="HA679" s="357" t="str">
        <f t="shared" si="188"/>
        <v/>
      </c>
      <c r="HB679" s="357" t="str">
        <f t="shared" si="189"/>
        <v/>
      </c>
      <c r="HC679" s="357" t="str">
        <f t="shared" si="190"/>
        <v/>
      </c>
      <c r="HD679" s="357" t="str">
        <f t="shared" si="191"/>
        <v/>
      </c>
      <c r="HE679" s="357" t="str">
        <f t="shared" si="192"/>
        <v/>
      </c>
      <c r="HF679" s="357" t="str">
        <f t="shared" si="193"/>
        <v/>
      </c>
      <c r="HG679" s="357" t="str">
        <f t="shared" si="194"/>
        <v/>
      </c>
      <c r="HH679" s="357" t="str">
        <f t="shared" si="195"/>
        <v/>
      </c>
      <c r="HI679" s="357" t="str">
        <f t="shared" si="196"/>
        <v/>
      </c>
      <c r="HJ679" s="357" t="str">
        <f t="shared" si="197"/>
        <v/>
      </c>
      <c r="HK679" s="357" t="str">
        <f t="shared" si="198"/>
        <v/>
      </c>
      <c r="HL679" s="357" t="str">
        <f t="shared" si="199"/>
        <v/>
      </c>
      <c r="HM679" s="357" t="str">
        <f t="shared" si="200"/>
        <v/>
      </c>
      <c r="HN679" s="357" t="str">
        <f t="shared" si="201"/>
        <v/>
      </c>
      <c r="HO679" s="357" t="str">
        <f t="shared" si="202"/>
        <v/>
      </c>
      <c r="HP679" s="357" t="str">
        <f t="shared" si="203"/>
        <v/>
      </c>
      <c r="HQ679" s="357" t="str">
        <f t="shared" si="204"/>
        <v/>
      </c>
      <c r="HR679" s="357" t="str">
        <f t="shared" si="205"/>
        <v/>
      </c>
      <c r="HS679" s="357" t="str">
        <f t="shared" si="206"/>
        <v/>
      </c>
      <c r="HT679" s="357" t="str">
        <f t="shared" si="207"/>
        <v/>
      </c>
      <c r="HU679" s="357" t="str">
        <f t="shared" si="208"/>
        <v/>
      </c>
      <c r="HV679" s="357" t="str">
        <f t="shared" si="209"/>
        <v/>
      </c>
      <c r="HW679" s="357" t="str">
        <f t="shared" si="210"/>
        <v/>
      </c>
      <c r="HX679" s="357" t="str">
        <f t="shared" si="211"/>
        <v/>
      </c>
      <c r="HY679" s="357" t="str">
        <f t="shared" si="212"/>
        <v/>
      </c>
      <c r="HZ679" s="1903" t="str">
        <f t="shared" si="213"/>
        <v/>
      </c>
      <c r="IA679" s="1903" t="str">
        <f t="shared" si="214"/>
        <v/>
      </c>
      <c r="IB679" s="1903" t="str">
        <f t="shared" si="215"/>
        <v/>
      </c>
      <c r="IC679" s="1903" t="str">
        <f t="shared" si="216"/>
        <v/>
      </c>
      <c r="ID679" s="1903" t="str">
        <f t="shared" si="217"/>
        <v/>
      </c>
      <c r="IE679" s="1903" t="str">
        <f t="shared" si="218"/>
        <v/>
      </c>
      <c r="IF679" s="1903" t="str">
        <f t="shared" si="219"/>
        <v/>
      </c>
      <c r="IG679" s="1903" t="str">
        <f t="shared" si="220"/>
        <v/>
      </c>
      <c r="IH679" s="1903" t="str">
        <f t="shared" si="221"/>
        <v/>
      </c>
      <c r="II679" s="1903" t="str">
        <f t="shared" si="222"/>
        <v/>
      </c>
      <c r="IJ679" s="1903" t="str">
        <f t="shared" si="223"/>
        <v/>
      </c>
      <c r="IK679" s="1903" t="str">
        <f t="shared" si="224"/>
        <v/>
      </c>
      <c r="IL679" s="1903" t="str">
        <f t="shared" si="225"/>
        <v/>
      </c>
      <c r="IM679" s="1903" t="str">
        <f t="shared" si="226"/>
        <v/>
      </c>
      <c r="IN679" s="1903" t="str">
        <f t="shared" si="227"/>
        <v/>
      </c>
      <c r="IO679" s="1903" t="str">
        <f t="shared" si="228"/>
        <v/>
      </c>
      <c r="IP679" s="1903" t="str">
        <f t="shared" si="229"/>
        <v/>
      </c>
      <c r="IQ679" s="1903" t="str">
        <f t="shared" si="230"/>
        <v/>
      </c>
      <c r="IR679" s="1903" t="str">
        <f t="shared" si="231"/>
        <v/>
      </c>
      <c r="IS679" s="1903" t="str">
        <f t="shared" si="232"/>
        <v/>
      </c>
      <c r="IT679" s="1903" t="str">
        <f t="shared" si="233"/>
        <v/>
      </c>
      <c r="IU679" s="1903" t="str">
        <f t="shared" si="234"/>
        <v/>
      </c>
      <c r="IV679" s="1903" t="str">
        <f t="shared" si="235"/>
        <v/>
      </c>
      <c r="IW679" s="1903" t="str">
        <f t="shared" si="236"/>
        <v/>
      </c>
      <c r="IX679" s="1903" t="str">
        <f t="shared" si="237"/>
        <v/>
      </c>
      <c r="IY679" s="1903" t="str">
        <f t="shared" si="238"/>
        <v/>
      </c>
      <c r="IZ679" s="1903" t="str">
        <f t="shared" si="239"/>
        <v/>
      </c>
      <c r="JA679" s="1903" t="str">
        <f t="shared" si="240"/>
        <v/>
      </c>
      <c r="JB679" s="1903" t="str">
        <f t="shared" si="241"/>
        <v/>
      </c>
      <c r="JC679" s="1903" t="str">
        <f t="shared" si="242"/>
        <v/>
      </c>
      <c r="JD679" s="1903" t="str">
        <f t="shared" si="243"/>
        <v/>
      </c>
      <c r="JE679" s="1903" t="str">
        <f t="shared" si="244"/>
        <v/>
      </c>
      <c r="JF679" s="1903" t="str">
        <f t="shared" si="245"/>
        <v/>
      </c>
      <c r="JG679" s="1903" t="str">
        <f t="shared" si="246"/>
        <v/>
      </c>
      <c r="JH679" s="1903" t="str">
        <f t="shared" si="247"/>
        <v/>
      </c>
      <c r="JI679" s="1903" t="str">
        <f t="shared" si="248"/>
        <v/>
      </c>
      <c r="JJ679" s="1903" t="str">
        <f t="shared" si="249"/>
        <v/>
      </c>
      <c r="JK679" s="1903" t="str">
        <f t="shared" si="250"/>
        <v/>
      </c>
      <c r="JL679" s="1903" t="str">
        <f t="shared" si="251"/>
        <v/>
      </c>
      <c r="JM679" s="1903" t="str">
        <f t="shared" si="252"/>
        <v/>
      </c>
      <c r="JN679" s="1903" t="str">
        <f t="shared" si="253"/>
        <v/>
      </c>
      <c r="JO679" s="1903" t="str">
        <f t="shared" si="254"/>
        <v/>
      </c>
      <c r="JP679" s="1903" t="str">
        <f t="shared" si="255"/>
        <v/>
      </c>
      <c r="JQ679" s="1903" t="str">
        <f t="shared" si="256"/>
        <v/>
      </c>
      <c r="JR679" s="1903" t="str">
        <f t="shared" si="257"/>
        <v/>
      </c>
      <c r="JS679" s="1903" t="str">
        <f t="shared" si="258"/>
        <v/>
      </c>
      <c r="JT679" s="1903" t="str">
        <f t="shared" si="259"/>
        <v/>
      </c>
      <c r="JU679" s="1903" t="str">
        <f t="shared" si="260"/>
        <v/>
      </c>
      <c r="JV679" s="1903" t="str">
        <f t="shared" si="261"/>
        <v/>
      </c>
      <c r="JW679" s="1903" t="str">
        <f t="shared" si="262"/>
        <v/>
      </c>
      <c r="JX679" s="1903" t="str">
        <f t="shared" si="263"/>
        <v/>
      </c>
      <c r="JY679" s="1903" t="str">
        <f t="shared" si="264"/>
        <v/>
      </c>
      <c r="JZ679" s="1903" t="str">
        <f t="shared" si="265"/>
        <v/>
      </c>
      <c r="KA679" s="1903" t="str">
        <f t="shared" si="266"/>
        <v/>
      </c>
      <c r="KB679" s="1903" t="str">
        <f t="shared" si="267"/>
        <v/>
      </c>
      <c r="KC679" s="1903" t="str">
        <f t="shared" si="268"/>
        <v/>
      </c>
      <c r="KD679" s="1903" t="str">
        <f t="shared" si="269"/>
        <v/>
      </c>
      <c r="KE679" s="1903" t="str">
        <f t="shared" si="270"/>
        <v/>
      </c>
      <c r="KF679" s="1903" t="str">
        <f t="shared" si="271"/>
        <v/>
      </c>
      <c r="KG679" s="1903" t="str">
        <f t="shared" si="272"/>
        <v/>
      </c>
      <c r="KH679" s="1903" t="str">
        <f t="shared" si="273"/>
        <v/>
      </c>
      <c r="KI679" s="1903" t="str">
        <f t="shared" si="274"/>
        <v/>
      </c>
      <c r="KJ679" s="1903" t="str">
        <f t="shared" si="275"/>
        <v/>
      </c>
      <c r="KK679" s="1903" t="str">
        <f t="shared" si="276"/>
        <v/>
      </c>
      <c r="KL679" s="1903" t="str">
        <f t="shared" si="277"/>
        <v/>
      </c>
      <c r="KM679" s="1903" t="str">
        <f t="shared" si="278"/>
        <v/>
      </c>
      <c r="KN679" s="1903" t="str">
        <f t="shared" si="279"/>
        <v/>
      </c>
      <c r="KO679" s="1903" t="str">
        <f t="shared" si="280"/>
        <v/>
      </c>
      <c r="KP679" s="1903" t="str">
        <f t="shared" si="281"/>
        <v/>
      </c>
      <c r="KQ679" s="1903" t="str">
        <f t="shared" si="282"/>
        <v/>
      </c>
      <c r="KR679" s="1903" t="str">
        <f t="shared" si="283"/>
        <v/>
      </c>
      <c r="KS679" s="1903" t="str">
        <f t="shared" si="284"/>
        <v/>
      </c>
      <c r="KT679" s="1903" t="str">
        <f t="shared" si="285"/>
        <v/>
      </c>
      <c r="KU679" s="1903" t="str">
        <f t="shared" si="286"/>
        <v/>
      </c>
      <c r="KV679" s="1903" t="str">
        <f t="shared" si="287"/>
        <v/>
      </c>
      <c r="KW679" s="1903" t="str">
        <f t="shared" si="288"/>
        <v/>
      </c>
      <c r="KX679" s="1903" t="str">
        <f t="shared" si="289"/>
        <v/>
      </c>
      <c r="KY679" s="1903" t="str">
        <f t="shared" si="290"/>
        <v/>
      </c>
      <c r="KZ679" s="1903" t="str">
        <f t="shared" si="291"/>
        <v/>
      </c>
      <c r="LA679" s="1903" t="str">
        <f t="shared" si="292"/>
        <v/>
      </c>
      <c r="LB679" s="1903" t="str">
        <f t="shared" si="293"/>
        <v/>
      </c>
      <c r="LC679" s="1903" t="str">
        <f t="shared" si="294"/>
        <v/>
      </c>
      <c r="LD679" s="1903" t="str">
        <f t="shared" si="295"/>
        <v/>
      </c>
      <c r="LE679" s="1903" t="str">
        <f t="shared" si="296"/>
        <v/>
      </c>
      <c r="LF679" s="1903" t="str">
        <f t="shared" si="297"/>
        <v/>
      </c>
      <c r="LG679" s="1750" t="str">
        <f t="shared" si="298"/>
        <v/>
      </c>
      <c r="LH679" s="1750" t="str">
        <f t="shared" si="299"/>
        <v/>
      </c>
      <c r="LI679" s="1750" t="str">
        <f t="shared" si="300"/>
        <v/>
      </c>
      <c r="LJ679" s="1750" t="str">
        <f t="shared" si="301"/>
        <v/>
      </c>
      <c r="LK679" s="1750" t="str">
        <f t="shared" si="302"/>
        <v/>
      </c>
      <c r="LL679" s="357" t="str">
        <f t="shared" si="303"/>
        <v/>
      </c>
      <c r="LM679" s="357" t="str">
        <f t="shared" si="304"/>
        <v/>
      </c>
      <c r="LN679" s="357" t="str">
        <f t="shared" si="305"/>
        <v/>
      </c>
      <c r="LO679" s="357" t="str">
        <f t="shared" si="306"/>
        <v/>
      </c>
      <c r="LP679" s="357" t="str">
        <f t="shared" si="307"/>
        <v/>
      </c>
      <c r="LQ679" s="357" t="str">
        <f t="shared" si="308"/>
        <v/>
      </c>
      <c r="LR679" s="357" t="str">
        <f t="shared" si="309"/>
        <v/>
      </c>
      <c r="LS679" s="357" t="str">
        <f t="shared" si="310"/>
        <v/>
      </c>
      <c r="LT679" s="357" t="str">
        <f t="shared" si="311"/>
        <v/>
      </c>
      <c r="LU679" s="357" t="str">
        <f t="shared" si="312"/>
        <v/>
      </c>
      <c r="LV679" s="357" t="str">
        <f t="shared" si="313"/>
        <v/>
      </c>
      <c r="LW679" s="357" t="str">
        <f t="shared" si="314"/>
        <v/>
      </c>
      <c r="LX679" s="357" t="str">
        <f t="shared" si="315"/>
        <v/>
      </c>
      <c r="LY679" s="357" t="str">
        <f t="shared" si="316"/>
        <v/>
      </c>
      <c r="LZ679" s="357" t="str">
        <f t="shared" si="317"/>
        <v/>
      </c>
      <c r="MA679" s="357" t="str">
        <f t="shared" si="318"/>
        <v/>
      </c>
      <c r="MB679" s="357" t="str">
        <f t="shared" si="319"/>
        <v/>
      </c>
      <c r="MC679" s="357" t="str">
        <f t="shared" si="320"/>
        <v/>
      </c>
      <c r="MD679" s="357" t="str">
        <f t="shared" si="321"/>
        <v/>
      </c>
      <c r="ME679" s="357" t="str">
        <f t="shared" si="322"/>
        <v/>
      </c>
      <c r="MF679" s="1750">
        <f t="shared" si="323"/>
        <v>0</v>
      </c>
      <c r="MG679" s="1750">
        <f t="shared" si="324"/>
        <v>0</v>
      </c>
      <c r="MH679" s="1750">
        <f t="shared" si="325"/>
        <v>0</v>
      </c>
      <c r="MI679" s="1750">
        <f t="shared" si="326"/>
        <v>0</v>
      </c>
      <c r="MJ679" s="1750">
        <f t="shared" si="327"/>
        <v>0</v>
      </c>
      <c r="MK679" s="1750">
        <f t="shared" si="333"/>
        <v>0</v>
      </c>
      <c r="ML679" s="1750">
        <f t="shared" si="334"/>
        <v>0</v>
      </c>
      <c r="MM679" s="1750">
        <f t="shared" si="335"/>
        <v>0</v>
      </c>
      <c r="MN679" s="1750">
        <f t="shared" si="336"/>
        <v>0</v>
      </c>
      <c r="MO679" s="1750">
        <f t="shared" si="337"/>
        <v>0</v>
      </c>
      <c r="MP679" s="1750">
        <f t="shared" si="328"/>
        <v>0</v>
      </c>
      <c r="MQ679" s="1750">
        <f t="shared" si="329"/>
        <v>0</v>
      </c>
      <c r="MR679" s="1750">
        <f t="shared" si="330"/>
        <v>0</v>
      </c>
      <c r="MS679" s="1750">
        <f t="shared" si="331"/>
        <v>0</v>
      </c>
      <c r="MT679" s="1750">
        <f t="shared" si="332"/>
        <v>0</v>
      </c>
      <c r="NP679" s="357" t="s">
        <v>6444</v>
      </c>
    </row>
    <row r="680" spans="1:380" ht="13.9" customHeight="1">
      <c r="A680" s="1901" t="str">
        <f t="shared" si="0"/>
        <v/>
      </c>
      <c r="B680" s="2238">
        <f>'Part V-Revenues &amp; Expenses'!B42</f>
        <v>0</v>
      </c>
      <c r="C680" s="2229">
        <f>'Part V-Revenues &amp; Expenses'!C42</f>
        <v>0</v>
      </c>
      <c r="D680" s="2230">
        <f>'Part V-Revenues &amp; Expenses'!D42</f>
        <v>0</v>
      </c>
      <c r="E680" s="2231">
        <f>'Part V-Revenues &amp; Expenses'!E42</f>
        <v>0</v>
      </c>
      <c r="F680" s="2231">
        <f>'Part V-Revenues &amp; Expenses'!F42</f>
        <v>0</v>
      </c>
      <c r="G680" s="2231">
        <f>'Part V-Revenues &amp; Expenses'!G42</f>
        <v>0</v>
      </c>
      <c r="H680" s="2231">
        <f>'Part V-Revenues &amp; Expenses'!H42</f>
        <v>0</v>
      </c>
      <c r="I680" s="2231">
        <f>'Part V-Revenues &amp; Expenses'!I42</f>
        <v>0</v>
      </c>
      <c r="J680" s="2231">
        <f>'Part V-Revenues &amp; Expenses'!J42</f>
        <v>0</v>
      </c>
      <c r="K680" s="2232">
        <f>'Part V-Revenues &amp; Expenses'!K42</f>
        <v>0</v>
      </c>
      <c r="L680" s="2233">
        <f t="shared" si="340"/>
        <v>0</v>
      </c>
      <c r="M680" s="2233">
        <f t="shared" si="341"/>
        <v>0</v>
      </c>
      <c r="N680" s="2094">
        <f>'Part V-Revenues &amp; Expenses'!N42</f>
        <v>0</v>
      </c>
      <c r="O680" s="2234">
        <f>'Part V-Revenues &amp; Expenses'!O42</f>
        <v>0</v>
      </c>
      <c r="P680" s="2094">
        <f>'Part V-Revenues &amp; Expenses'!P42</f>
        <v>0</v>
      </c>
      <c r="Q680" s="2235">
        <f>'Part V-Revenues &amp; Expenses'!Q42</f>
        <v>0</v>
      </c>
      <c r="R680" s="2236"/>
      <c r="S680" s="2237"/>
      <c r="T680" s="2160"/>
      <c r="U680" s="2160"/>
      <c r="V680" s="2160"/>
      <c r="W680" s="2160"/>
      <c r="X680" s="357" t="str">
        <f t="shared" si="3"/>
        <v/>
      </c>
      <c r="Y680" s="357" t="str">
        <f t="shared" si="4"/>
        <v/>
      </c>
      <c r="Z680" s="357" t="str">
        <f t="shared" si="5"/>
        <v/>
      </c>
      <c r="AA680" s="357" t="str">
        <f t="shared" si="6"/>
        <v/>
      </c>
      <c r="AB680" s="357" t="str">
        <f t="shared" si="7"/>
        <v/>
      </c>
      <c r="AC680" s="357" t="str">
        <f t="shared" si="8"/>
        <v/>
      </c>
      <c r="AD680" s="357" t="str">
        <f t="shared" si="9"/>
        <v/>
      </c>
      <c r="AE680" s="357" t="str">
        <f t="shared" si="10"/>
        <v/>
      </c>
      <c r="AF680" s="357" t="str">
        <f t="shared" si="11"/>
        <v/>
      </c>
      <c r="AG680" s="357" t="str">
        <f t="shared" si="12"/>
        <v/>
      </c>
      <c r="AH680" s="357" t="str">
        <f t="shared" si="13"/>
        <v/>
      </c>
      <c r="AI680" s="357" t="str">
        <f t="shared" si="14"/>
        <v/>
      </c>
      <c r="AJ680" s="357" t="str">
        <f t="shared" si="15"/>
        <v/>
      </c>
      <c r="AK680" s="357" t="str">
        <f t="shared" si="16"/>
        <v/>
      </c>
      <c r="AL680" s="357" t="str">
        <f t="shared" si="17"/>
        <v/>
      </c>
      <c r="AM680" s="357" t="str">
        <f t="shared" si="18"/>
        <v/>
      </c>
      <c r="AN680" s="357" t="str">
        <f t="shared" si="19"/>
        <v/>
      </c>
      <c r="AO680" s="357" t="str">
        <f t="shared" si="20"/>
        <v/>
      </c>
      <c r="AP680" s="357" t="str">
        <f t="shared" si="21"/>
        <v/>
      </c>
      <c r="AQ680" s="357" t="str">
        <f t="shared" si="22"/>
        <v/>
      </c>
      <c r="AR680" s="357" t="str">
        <f t="shared" si="23"/>
        <v/>
      </c>
      <c r="AS680" s="357" t="str">
        <f t="shared" si="24"/>
        <v/>
      </c>
      <c r="AT680" s="357" t="str">
        <f t="shared" si="25"/>
        <v/>
      </c>
      <c r="AU680" s="357" t="str">
        <f t="shared" si="26"/>
        <v/>
      </c>
      <c r="AV680" s="357" t="str">
        <f t="shared" si="27"/>
        <v/>
      </c>
      <c r="AW680" s="357" t="str">
        <f t="shared" si="28"/>
        <v/>
      </c>
      <c r="AX680" s="357" t="str">
        <f t="shared" si="29"/>
        <v/>
      </c>
      <c r="AY680" s="357" t="str">
        <f t="shared" si="30"/>
        <v/>
      </c>
      <c r="AZ680" s="357" t="str">
        <f t="shared" si="31"/>
        <v/>
      </c>
      <c r="BA680" s="357" t="str">
        <f t="shared" si="32"/>
        <v/>
      </c>
      <c r="BB680" s="357" t="str">
        <f t="shared" si="33"/>
        <v/>
      </c>
      <c r="BC680" s="357" t="str">
        <f t="shared" si="34"/>
        <v/>
      </c>
      <c r="BD680" s="357" t="str">
        <f t="shared" si="35"/>
        <v/>
      </c>
      <c r="BE680" s="357" t="str">
        <f t="shared" si="36"/>
        <v/>
      </c>
      <c r="BF680" s="357" t="str">
        <f t="shared" si="37"/>
        <v/>
      </c>
      <c r="BG680" s="357" t="str">
        <f t="shared" si="38"/>
        <v/>
      </c>
      <c r="BH680" s="357" t="str">
        <f t="shared" si="39"/>
        <v/>
      </c>
      <c r="BI680" s="357" t="str">
        <f t="shared" si="40"/>
        <v/>
      </c>
      <c r="BJ680" s="357" t="str">
        <f t="shared" si="41"/>
        <v/>
      </c>
      <c r="BK680" s="357" t="str">
        <f t="shared" si="42"/>
        <v/>
      </c>
      <c r="BL680" s="357" t="str">
        <f t="shared" si="43"/>
        <v/>
      </c>
      <c r="BM680" s="357" t="str">
        <f t="shared" si="44"/>
        <v/>
      </c>
      <c r="BN680" s="357" t="str">
        <f t="shared" si="45"/>
        <v/>
      </c>
      <c r="BO680" s="357" t="str">
        <f t="shared" si="46"/>
        <v/>
      </c>
      <c r="BP680" s="357" t="str">
        <f t="shared" si="47"/>
        <v/>
      </c>
      <c r="BQ680" s="357" t="str">
        <f t="shared" si="48"/>
        <v/>
      </c>
      <c r="BR680" s="357" t="str">
        <f t="shared" si="49"/>
        <v/>
      </c>
      <c r="BS680" s="357" t="str">
        <f t="shared" si="50"/>
        <v/>
      </c>
      <c r="BT680" s="357" t="str">
        <f t="shared" si="51"/>
        <v/>
      </c>
      <c r="BU680" s="357" t="str">
        <f t="shared" si="52"/>
        <v/>
      </c>
      <c r="BV680" s="357" t="str">
        <f t="shared" si="53"/>
        <v/>
      </c>
      <c r="BW680" s="357" t="str">
        <f t="shared" si="54"/>
        <v/>
      </c>
      <c r="BX680" s="357" t="str">
        <f t="shared" si="55"/>
        <v/>
      </c>
      <c r="BY680" s="357" t="str">
        <f t="shared" si="56"/>
        <v/>
      </c>
      <c r="BZ680" s="357" t="str">
        <f t="shared" si="57"/>
        <v/>
      </c>
      <c r="CA680" s="357" t="str">
        <f t="shared" si="58"/>
        <v/>
      </c>
      <c r="CB680" s="357" t="str">
        <f t="shared" si="59"/>
        <v/>
      </c>
      <c r="CC680" s="357" t="str">
        <f t="shared" si="60"/>
        <v/>
      </c>
      <c r="CD680" s="357" t="str">
        <f t="shared" si="61"/>
        <v/>
      </c>
      <c r="CE680" s="357" t="str">
        <f t="shared" si="62"/>
        <v/>
      </c>
      <c r="CF680" s="357" t="str">
        <f t="shared" si="63"/>
        <v/>
      </c>
      <c r="CG680" s="357" t="str">
        <f t="shared" si="64"/>
        <v/>
      </c>
      <c r="CH680" s="357" t="str">
        <f t="shared" si="65"/>
        <v/>
      </c>
      <c r="CI680" s="357" t="str">
        <f t="shared" si="66"/>
        <v/>
      </c>
      <c r="CJ680" s="357" t="str">
        <f t="shared" si="67"/>
        <v/>
      </c>
      <c r="CK680" s="357" t="str">
        <f t="shared" si="68"/>
        <v/>
      </c>
      <c r="CL680" s="357" t="str">
        <f t="shared" si="69"/>
        <v/>
      </c>
      <c r="CM680" s="357" t="str">
        <f t="shared" si="70"/>
        <v/>
      </c>
      <c r="CN680" s="357" t="str">
        <f t="shared" si="71"/>
        <v/>
      </c>
      <c r="CO680" s="357" t="str">
        <f t="shared" si="72"/>
        <v/>
      </c>
      <c r="CP680" s="357" t="str">
        <f t="shared" si="73"/>
        <v/>
      </c>
      <c r="CQ680" s="357" t="str">
        <f t="shared" si="74"/>
        <v/>
      </c>
      <c r="CR680" s="357" t="str">
        <f t="shared" si="75"/>
        <v/>
      </c>
      <c r="CS680" s="357" t="str">
        <f t="shared" si="76"/>
        <v/>
      </c>
      <c r="CT680" s="357" t="str">
        <f t="shared" si="77"/>
        <v/>
      </c>
      <c r="CU680" s="357" t="str">
        <f t="shared" si="78"/>
        <v/>
      </c>
      <c r="CV680" s="357" t="str">
        <f t="shared" si="79"/>
        <v/>
      </c>
      <c r="CW680" s="357" t="str">
        <f t="shared" si="80"/>
        <v/>
      </c>
      <c r="CX680" s="357" t="str">
        <f t="shared" si="81"/>
        <v/>
      </c>
      <c r="CY680" s="357" t="str">
        <f t="shared" si="82"/>
        <v/>
      </c>
      <c r="CZ680" s="357" t="str">
        <f t="shared" si="83"/>
        <v/>
      </c>
      <c r="DA680" s="357" t="str">
        <f t="shared" si="84"/>
        <v/>
      </c>
      <c r="DB680" s="357" t="str">
        <f t="shared" si="85"/>
        <v/>
      </c>
      <c r="DC680" s="357" t="str">
        <f t="shared" si="86"/>
        <v/>
      </c>
      <c r="DD680" s="357" t="str">
        <f t="shared" si="87"/>
        <v/>
      </c>
      <c r="DE680" s="357" t="str">
        <f t="shared" si="88"/>
        <v/>
      </c>
      <c r="DF680" s="357" t="str">
        <f t="shared" si="89"/>
        <v/>
      </c>
      <c r="DG680" s="357" t="str">
        <f t="shared" si="90"/>
        <v/>
      </c>
      <c r="DH680" s="357" t="str">
        <f t="shared" si="91"/>
        <v/>
      </c>
      <c r="DI680" s="357" t="str">
        <f t="shared" si="92"/>
        <v/>
      </c>
      <c r="DJ680" s="357" t="str">
        <f t="shared" si="93"/>
        <v/>
      </c>
      <c r="DK680" s="357" t="str">
        <f t="shared" si="94"/>
        <v/>
      </c>
      <c r="DL680" s="357" t="str">
        <f t="shared" si="95"/>
        <v/>
      </c>
      <c r="DM680" s="357" t="str">
        <f t="shared" si="96"/>
        <v/>
      </c>
      <c r="DN680" s="357" t="str">
        <f t="shared" si="97"/>
        <v/>
      </c>
      <c r="DO680" s="357" t="str">
        <f t="shared" si="98"/>
        <v/>
      </c>
      <c r="DP680" s="357" t="str">
        <f t="shared" si="99"/>
        <v/>
      </c>
      <c r="DQ680" s="357" t="str">
        <f t="shared" si="100"/>
        <v/>
      </c>
      <c r="DR680" s="357" t="str">
        <f t="shared" si="101"/>
        <v/>
      </c>
      <c r="DS680" s="357" t="str">
        <f t="shared" si="102"/>
        <v/>
      </c>
      <c r="DT680" s="357" t="str">
        <f t="shared" si="103"/>
        <v/>
      </c>
      <c r="DU680" s="357" t="str">
        <f t="shared" si="104"/>
        <v/>
      </c>
      <c r="DV680" s="357" t="str">
        <f t="shared" si="105"/>
        <v/>
      </c>
      <c r="DW680" s="357" t="str">
        <f t="shared" si="106"/>
        <v/>
      </c>
      <c r="DX680" s="357" t="str">
        <f t="shared" si="107"/>
        <v/>
      </c>
      <c r="DY680" s="357" t="str">
        <f t="shared" si="108"/>
        <v/>
      </c>
      <c r="DZ680" s="357" t="str">
        <f t="shared" si="109"/>
        <v/>
      </c>
      <c r="EA680" s="357" t="str">
        <f t="shared" si="110"/>
        <v/>
      </c>
      <c r="EB680" s="357" t="str">
        <f t="shared" si="111"/>
        <v/>
      </c>
      <c r="EC680" s="357" t="str">
        <f t="shared" si="112"/>
        <v/>
      </c>
      <c r="ED680" s="357" t="str">
        <f t="shared" si="113"/>
        <v/>
      </c>
      <c r="EE680" s="357" t="str">
        <f t="shared" si="114"/>
        <v/>
      </c>
      <c r="EF680" s="357" t="str">
        <f t="shared" si="115"/>
        <v/>
      </c>
      <c r="EG680" s="357" t="str">
        <f t="shared" si="116"/>
        <v/>
      </c>
      <c r="EH680" s="357" t="str">
        <f t="shared" si="117"/>
        <v/>
      </c>
      <c r="EI680" s="357" t="str">
        <f t="shared" si="118"/>
        <v/>
      </c>
      <c r="EJ680" s="357" t="str">
        <f t="shared" si="119"/>
        <v/>
      </c>
      <c r="EK680" s="357" t="str">
        <f t="shared" si="120"/>
        <v/>
      </c>
      <c r="EL680" s="357" t="str">
        <f t="shared" si="121"/>
        <v/>
      </c>
      <c r="EM680" s="357" t="str">
        <f t="shared" si="122"/>
        <v/>
      </c>
      <c r="EN680" s="357" t="str">
        <f t="shared" si="123"/>
        <v/>
      </c>
      <c r="EO680" s="357" t="str">
        <f t="shared" si="124"/>
        <v/>
      </c>
      <c r="EP680" s="357" t="str">
        <f t="shared" si="125"/>
        <v/>
      </c>
      <c r="EQ680" s="357" t="str">
        <f t="shared" si="126"/>
        <v/>
      </c>
      <c r="ER680" s="357" t="str">
        <f t="shared" si="127"/>
        <v/>
      </c>
      <c r="ES680" s="357" t="str">
        <f t="shared" si="128"/>
        <v/>
      </c>
      <c r="ET680" s="357" t="str">
        <f t="shared" si="129"/>
        <v/>
      </c>
      <c r="EU680" s="357" t="str">
        <f t="shared" si="130"/>
        <v/>
      </c>
      <c r="EV680" s="357" t="str">
        <f t="shared" si="131"/>
        <v/>
      </c>
      <c r="EW680" s="357" t="str">
        <f t="shared" si="132"/>
        <v/>
      </c>
      <c r="EX680" s="357" t="str">
        <f t="shared" si="133"/>
        <v/>
      </c>
      <c r="EY680" s="357" t="str">
        <f t="shared" si="134"/>
        <v/>
      </c>
      <c r="EZ680" s="357" t="str">
        <f t="shared" si="135"/>
        <v/>
      </c>
      <c r="FA680" s="357" t="str">
        <f t="shared" si="136"/>
        <v/>
      </c>
      <c r="FB680" s="357" t="str">
        <f t="shared" si="137"/>
        <v/>
      </c>
      <c r="FC680" s="357" t="str">
        <f t="shared" si="138"/>
        <v/>
      </c>
      <c r="FD680" s="357" t="str">
        <f t="shared" si="139"/>
        <v/>
      </c>
      <c r="FE680" s="357" t="str">
        <f t="shared" si="140"/>
        <v/>
      </c>
      <c r="FF680" s="357" t="str">
        <f t="shared" si="141"/>
        <v/>
      </c>
      <c r="FG680" s="357" t="str">
        <f t="shared" si="142"/>
        <v/>
      </c>
      <c r="FH680" s="357" t="str">
        <f t="shared" si="143"/>
        <v/>
      </c>
      <c r="FI680" s="357" t="str">
        <f t="shared" si="144"/>
        <v/>
      </c>
      <c r="FJ680" s="357" t="str">
        <f t="shared" si="145"/>
        <v/>
      </c>
      <c r="FK680" s="357" t="str">
        <f t="shared" si="146"/>
        <v/>
      </c>
      <c r="FL680" s="357" t="str">
        <f t="shared" si="147"/>
        <v/>
      </c>
      <c r="FM680" s="357" t="str">
        <f t="shared" si="148"/>
        <v/>
      </c>
      <c r="FN680" s="357" t="str">
        <f t="shared" si="149"/>
        <v/>
      </c>
      <c r="FO680" s="357" t="str">
        <f t="shared" si="150"/>
        <v/>
      </c>
      <c r="FP680" s="357" t="str">
        <f t="shared" si="151"/>
        <v/>
      </c>
      <c r="FQ680" s="357" t="str">
        <f t="shared" si="152"/>
        <v/>
      </c>
      <c r="FR680" s="357" t="str">
        <f t="shared" si="153"/>
        <v/>
      </c>
      <c r="FS680" s="357" t="str">
        <f t="shared" si="154"/>
        <v/>
      </c>
      <c r="FT680" s="357" t="str">
        <f t="shared" si="155"/>
        <v/>
      </c>
      <c r="FU680" s="357" t="str">
        <f t="shared" si="156"/>
        <v/>
      </c>
      <c r="FV680" s="357" t="str">
        <f t="shared" si="157"/>
        <v/>
      </c>
      <c r="FW680" s="357" t="str">
        <f t="shared" si="158"/>
        <v/>
      </c>
      <c r="FX680" s="357" t="str">
        <f t="shared" si="159"/>
        <v/>
      </c>
      <c r="FY680" s="357" t="str">
        <f t="shared" si="160"/>
        <v/>
      </c>
      <c r="FZ680" s="357" t="str">
        <f t="shared" si="161"/>
        <v/>
      </c>
      <c r="GA680" s="357" t="str">
        <f t="shared" si="162"/>
        <v/>
      </c>
      <c r="GB680" s="357" t="str">
        <f t="shared" si="163"/>
        <v/>
      </c>
      <c r="GC680" s="357" t="str">
        <f t="shared" si="164"/>
        <v/>
      </c>
      <c r="GD680" s="357" t="str">
        <f t="shared" si="165"/>
        <v/>
      </c>
      <c r="GE680" s="357" t="str">
        <f t="shared" si="166"/>
        <v/>
      </c>
      <c r="GF680" s="357" t="str">
        <f t="shared" si="167"/>
        <v/>
      </c>
      <c r="GG680" s="357" t="str">
        <f t="shared" si="168"/>
        <v/>
      </c>
      <c r="GH680" s="357" t="str">
        <f t="shared" si="169"/>
        <v/>
      </c>
      <c r="GI680" s="357" t="str">
        <f t="shared" si="170"/>
        <v/>
      </c>
      <c r="GJ680" s="357" t="str">
        <f t="shared" si="171"/>
        <v/>
      </c>
      <c r="GK680" s="357" t="str">
        <f t="shared" si="172"/>
        <v/>
      </c>
      <c r="GL680" s="357" t="str">
        <f t="shared" si="173"/>
        <v/>
      </c>
      <c r="GM680" s="357" t="str">
        <f t="shared" si="174"/>
        <v/>
      </c>
      <c r="GN680" s="357" t="str">
        <f t="shared" si="175"/>
        <v/>
      </c>
      <c r="GO680" s="357" t="str">
        <f t="shared" si="176"/>
        <v/>
      </c>
      <c r="GP680" s="357" t="str">
        <f t="shared" si="177"/>
        <v/>
      </c>
      <c r="GQ680" s="357" t="str">
        <f t="shared" si="178"/>
        <v/>
      </c>
      <c r="GR680" s="357" t="str">
        <f t="shared" si="179"/>
        <v/>
      </c>
      <c r="GS680" s="357" t="str">
        <f t="shared" si="180"/>
        <v/>
      </c>
      <c r="GT680" s="357" t="str">
        <f t="shared" si="181"/>
        <v/>
      </c>
      <c r="GU680" s="357" t="str">
        <f t="shared" si="182"/>
        <v/>
      </c>
      <c r="GV680" s="357" t="str">
        <f t="shared" si="183"/>
        <v/>
      </c>
      <c r="GW680" s="357" t="str">
        <f t="shared" si="184"/>
        <v/>
      </c>
      <c r="GX680" s="357" t="str">
        <f t="shared" si="185"/>
        <v/>
      </c>
      <c r="GY680" s="357" t="str">
        <f t="shared" si="186"/>
        <v/>
      </c>
      <c r="GZ680" s="357" t="str">
        <f t="shared" si="187"/>
        <v/>
      </c>
      <c r="HA680" s="357" t="str">
        <f t="shared" si="188"/>
        <v/>
      </c>
      <c r="HB680" s="357" t="str">
        <f t="shared" si="189"/>
        <v/>
      </c>
      <c r="HC680" s="357" t="str">
        <f t="shared" si="190"/>
        <v/>
      </c>
      <c r="HD680" s="357" t="str">
        <f t="shared" si="191"/>
        <v/>
      </c>
      <c r="HE680" s="357" t="str">
        <f t="shared" si="192"/>
        <v/>
      </c>
      <c r="HF680" s="357" t="str">
        <f t="shared" si="193"/>
        <v/>
      </c>
      <c r="HG680" s="357" t="str">
        <f t="shared" si="194"/>
        <v/>
      </c>
      <c r="HH680" s="357" t="str">
        <f t="shared" si="195"/>
        <v/>
      </c>
      <c r="HI680" s="357" t="str">
        <f t="shared" si="196"/>
        <v/>
      </c>
      <c r="HJ680" s="357" t="str">
        <f t="shared" si="197"/>
        <v/>
      </c>
      <c r="HK680" s="357" t="str">
        <f t="shared" si="198"/>
        <v/>
      </c>
      <c r="HL680" s="357" t="str">
        <f t="shared" si="199"/>
        <v/>
      </c>
      <c r="HM680" s="357" t="str">
        <f t="shared" si="200"/>
        <v/>
      </c>
      <c r="HN680" s="357" t="str">
        <f t="shared" si="201"/>
        <v/>
      </c>
      <c r="HO680" s="357" t="str">
        <f t="shared" si="202"/>
        <v/>
      </c>
      <c r="HP680" s="357" t="str">
        <f t="shared" si="203"/>
        <v/>
      </c>
      <c r="HQ680" s="357" t="str">
        <f t="shared" si="204"/>
        <v/>
      </c>
      <c r="HR680" s="357" t="str">
        <f t="shared" si="205"/>
        <v/>
      </c>
      <c r="HS680" s="357" t="str">
        <f t="shared" si="206"/>
        <v/>
      </c>
      <c r="HT680" s="357" t="str">
        <f t="shared" si="207"/>
        <v/>
      </c>
      <c r="HU680" s="357" t="str">
        <f t="shared" si="208"/>
        <v/>
      </c>
      <c r="HV680" s="357" t="str">
        <f t="shared" si="209"/>
        <v/>
      </c>
      <c r="HW680" s="357" t="str">
        <f t="shared" si="210"/>
        <v/>
      </c>
      <c r="HX680" s="357" t="str">
        <f t="shared" si="211"/>
        <v/>
      </c>
      <c r="HY680" s="357" t="str">
        <f t="shared" si="212"/>
        <v/>
      </c>
      <c r="HZ680" s="1903" t="str">
        <f t="shared" si="213"/>
        <v/>
      </c>
      <c r="IA680" s="1903" t="str">
        <f t="shared" si="214"/>
        <v/>
      </c>
      <c r="IB680" s="1903" t="str">
        <f t="shared" si="215"/>
        <v/>
      </c>
      <c r="IC680" s="1903" t="str">
        <f t="shared" si="216"/>
        <v/>
      </c>
      <c r="ID680" s="1903" t="str">
        <f t="shared" si="217"/>
        <v/>
      </c>
      <c r="IE680" s="1903" t="str">
        <f t="shared" si="218"/>
        <v/>
      </c>
      <c r="IF680" s="1903" t="str">
        <f t="shared" si="219"/>
        <v/>
      </c>
      <c r="IG680" s="1903" t="str">
        <f t="shared" si="220"/>
        <v/>
      </c>
      <c r="IH680" s="1903" t="str">
        <f t="shared" si="221"/>
        <v/>
      </c>
      <c r="II680" s="1903" t="str">
        <f t="shared" si="222"/>
        <v/>
      </c>
      <c r="IJ680" s="1903" t="str">
        <f t="shared" si="223"/>
        <v/>
      </c>
      <c r="IK680" s="1903" t="str">
        <f t="shared" si="224"/>
        <v/>
      </c>
      <c r="IL680" s="1903" t="str">
        <f t="shared" si="225"/>
        <v/>
      </c>
      <c r="IM680" s="1903" t="str">
        <f t="shared" si="226"/>
        <v/>
      </c>
      <c r="IN680" s="1903" t="str">
        <f t="shared" si="227"/>
        <v/>
      </c>
      <c r="IO680" s="1903" t="str">
        <f t="shared" si="228"/>
        <v/>
      </c>
      <c r="IP680" s="1903" t="str">
        <f t="shared" si="229"/>
        <v/>
      </c>
      <c r="IQ680" s="1903" t="str">
        <f t="shared" si="230"/>
        <v/>
      </c>
      <c r="IR680" s="1903" t="str">
        <f t="shared" si="231"/>
        <v/>
      </c>
      <c r="IS680" s="1903" t="str">
        <f t="shared" si="232"/>
        <v/>
      </c>
      <c r="IT680" s="1903" t="str">
        <f t="shared" si="233"/>
        <v/>
      </c>
      <c r="IU680" s="1903" t="str">
        <f t="shared" si="234"/>
        <v/>
      </c>
      <c r="IV680" s="1903" t="str">
        <f t="shared" si="235"/>
        <v/>
      </c>
      <c r="IW680" s="1903" t="str">
        <f t="shared" si="236"/>
        <v/>
      </c>
      <c r="IX680" s="1903" t="str">
        <f t="shared" si="237"/>
        <v/>
      </c>
      <c r="IY680" s="1903" t="str">
        <f t="shared" si="238"/>
        <v/>
      </c>
      <c r="IZ680" s="1903" t="str">
        <f t="shared" si="239"/>
        <v/>
      </c>
      <c r="JA680" s="1903" t="str">
        <f t="shared" si="240"/>
        <v/>
      </c>
      <c r="JB680" s="1903" t="str">
        <f t="shared" si="241"/>
        <v/>
      </c>
      <c r="JC680" s="1903" t="str">
        <f t="shared" si="242"/>
        <v/>
      </c>
      <c r="JD680" s="1903" t="str">
        <f t="shared" si="243"/>
        <v/>
      </c>
      <c r="JE680" s="1903" t="str">
        <f t="shared" si="244"/>
        <v/>
      </c>
      <c r="JF680" s="1903" t="str">
        <f t="shared" si="245"/>
        <v/>
      </c>
      <c r="JG680" s="1903" t="str">
        <f t="shared" si="246"/>
        <v/>
      </c>
      <c r="JH680" s="1903" t="str">
        <f t="shared" si="247"/>
        <v/>
      </c>
      <c r="JI680" s="1903" t="str">
        <f t="shared" si="248"/>
        <v/>
      </c>
      <c r="JJ680" s="1903" t="str">
        <f t="shared" si="249"/>
        <v/>
      </c>
      <c r="JK680" s="1903" t="str">
        <f t="shared" si="250"/>
        <v/>
      </c>
      <c r="JL680" s="1903" t="str">
        <f t="shared" si="251"/>
        <v/>
      </c>
      <c r="JM680" s="1903" t="str">
        <f t="shared" si="252"/>
        <v/>
      </c>
      <c r="JN680" s="1903" t="str">
        <f t="shared" si="253"/>
        <v/>
      </c>
      <c r="JO680" s="1903" t="str">
        <f t="shared" si="254"/>
        <v/>
      </c>
      <c r="JP680" s="1903" t="str">
        <f t="shared" si="255"/>
        <v/>
      </c>
      <c r="JQ680" s="1903" t="str">
        <f t="shared" si="256"/>
        <v/>
      </c>
      <c r="JR680" s="1903" t="str">
        <f t="shared" si="257"/>
        <v/>
      </c>
      <c r="JS680" s="1903" t="str">
        <f t="shared" si="258"/>
        <v/>
      </c>
      <c r="JT680" s="1903" t="str">
        <f t="shared" si="259"/>
        <v/>
      </c>
      <c r="JU680" s="1903" t="str">
        <f t="shared" si="260"/>
        <v/>
      </c>
      <c r="JV680" s="1903" t="str">
        <f t="shared" si="261"/>
        <v/>
      </c>
      <c r="JW680" s="1903" t="str">
        <f t="shared" si="262"/>
        <v/>
      </c>
      <c r="JX680" s="1903" t="str">
        <f t="shared" si="263"/>
        <v/>
      </c>
      <c r="JY680" s="1903" t="str">
        <f t="shared" si="264"/>
        <v/>
      </c>
      <c r="JZ680" s="1903" t="str">
        <f t="shared" si="265"/>
        <v/>
      </c>
      <c r="KA680" s="1903" t="str">
        <f t="shared" si="266"/>
        <v/>
      </c>
      <c r="KB680" s="1903" t="str">
        <f t="shared" si="267"/>
        <v/>
      </c>
      <c r="KC680" s="1903" t="str">
        <f t="shared" si="268"/>
        <v/>
      </c>
      <c r="KD680" s="1903" t="str">
        <f t="shared" si="269"/>
        <v/>
      </c>
      <c r="KE680" s="1903" t="str">
        <f t="shared" si="270"/>
        <v/>
      </c>
      <c r="KF680" s="1903" t="str">
        <f t="shared" si="271"/>
        <v/>
      </c>
      <c r="KG680" s="1903" t="str">
        <f t="shared" si="272"/>
        <v/>
      </c>
      <c r="KH680" s="1903" t="str">
        <f t="shared" si="273"/>
        <v/>
      </c>
      <c r="KI680" s="1903" t="str">
        <f t="shared" si="274"/>
        <v/>
      </c>
      <c r="KJ680" s="1903" t="str">
        <f t="shared" si="275"/>
        <v/>
      </c>
      <c r="KK680" s="1903" t="str">
        <f t="shared" si="276"/>
        <v/>
      </c>
      <c r="KL680" s="1903" t="str">
        <f t="shared" si="277"/>
        <v/>
      </c>
      <c r="KM680" s="1903" t="str">
        <f t="shared" si="278"/>
        <v/>
      </c>
      <c r="KN680" s="1903" t="str">
        <f t="shared" si="279"/>
        <v/>
      </c>
      <c r="KO680" s="1903" t="str">
        <f t="shared" si="280"/>
        <v/>
      </c>
      <c r="KP680" s="1903" t="str">
        <f t="shared" si="281"/>
        <v/>
      </c>
      <c r="KQ680" s="1903" t="str">
        <f t="shared" si="282"/>
        <v/>
      </c>
      <c r="KR680" s="1903" t="str">
        <f t="shared" si="283"/>
        <v/>
      </c>
      <c r="KS680" s="1903" t="str">
        <f t="shared" si="284"/>
        <v/>
      </c>
      <c r="KT680" s="1903" t="str">
        <f t="shared" si="285"/>
        <v/>
      </c>
      <c r="KU680" s="1903" t="str">
        <f t="shared" si="286"/>
        <v/>
      </c>
      <c r="KV680" s="1903" t="str">
        <f t="shared" si="287"/>
        <v/>
      </c>
      <c r="KW680" s="1903" t="str">
        <f t="shared" si="288"/>
        <v/>
      </c>
      <c r="KX680" s="1903" t="str">
        <f t="shared" si="289"/>
        <v/>
      </c>
      <c r="KY680" s="1903" t="str">
        <f t="shared" si="290"/>
        <v/>
      </c>
      <c r="KZ680" s="1903" t="str">
        <f t="shared" si="291"/>
        <v/>
      </c>
      <c r="LA680" s="1903" t="str">
        <f t="shared" si="292"/>
        <v/>
      </c>
      <c r="LB680" s="1903" t="str">
        <f t="shared" si="293"/>
        <v/>
      </c>
      <c r="LC680" s="1903" t="str">
        <f t="shared" si="294"/>
        <v/>
      </c>
      <c r="LD680" s="1903" t="str">
        <f t="shared" si="295"/>
        <v/>
      </c>
      <c r="LE680" s="1903" t="str">
        <f t="shared" si="296"/>
        <v/>
      </c>
      <c r="LF680" s="1903" t="str">
        <f t="shared" si="297"/>
        <v/>
      </c>
      <c r="LG680" s="1750" t="str">
        <f t="shared" si="298"/>
        <v/>
      </c>
      <c r="LH680" s="1750" t="str">
        <f t="shared" si="299"/>
        <v/>
      </c>
      <c r="LI680" s="1750" t="str">
        <f t="shared" si="300"/>
        <v/>
      </c>
      <c r="LJ680" s="1750" t="str">
        <f t="shared" si="301"/>
        <v/>
      </c>
      <c r="LK680" s="1750" t="str">
        <f t="shared" si="302"/>
        <v/>
      </c>
      <c r="LL680" s="357" t="str">
        <f t="shared" si="303"/>
        <v/>
      </c>
      <c r="LM680" s="357" t="str">
        <f t="shared" si="304"/>
        <v/>
      </c>
      <c r="LN680" s="357" t="str">
        <f t="shared" si="305"/>
        <v/>
      </c>
      <c r="LO680" s="357" t="str">
        <f t="shared" si="306"/>
        <v/>
      </c>
      <c r="LP680" s="357" t="str">
        <f t="shared" si="307"/>
        <v/>
      </c>
      <c r="LQ680" s="357" t="str">
        <f t="shared" si="308"/>
        <v/>
      </c>
      <c r="LR680" s="357" t="str">
        <f t="shared" si="309"/>
        <v/>
      </c>
      <c r="LS680" s="357" t="str">
        <f t="shared" si="310"/>
        <v/>
      </c>
      <c r="LT680" s="357" t="str">
        <f t="shared" si="311"/>
        <v/>
      </c>
      <c r="LU680" s="357" t="str">
        <f t="shared" si="312"/>
        <v/>
      </c>
      <c r="LV680" s="357" t="str">
        <f t="shared" si="313"/>
        <v/>
      </c>
      <c r="LW680" s="357" t="str">
        <f t="shared" si="314"/>
        <v/>
      </c>
      <c r="LX680" s="357" t="str">
        <f t="shared" si="315"/>
        <v/>
      </c>
      <c r="LY680" s="357" t="str">
        <f t="shared" si="316"/>
        <v/>
      </c>
      <c r="LZ680" s="357" t="str">
        <f t="shared" si="317"/>
        <v/>
      </c>
      <c r="MA680" s="357" t="str">
        <f t="shared" si="318"/>
        <v/>
      </c>
      <c r="MB680" s="357" t="str">
        <f t="shared" si="319"/>
        <v/>
      </c>
      <c r="MC680" s="357" t="str">
        <f t="shared" si="320"/>
        <v/>
      </c>
      <c r="MD680" s="357" t="str">
        <f t="shared" si="321"/>
        <v/>
      </c>
      <c r="ME680" s="357" t="str">
        <f t="shared" si="322"/>
        <v/>
      </c>
      <c r="MF680" s="1750">
        <f t="shared" si="323"/>
        <v>0</v>
      </c>
      <c r="MG680" s="1750">
        <f t="shared" si="324"/>
        <v>0</v>
      </c>
      <c r="MH680" s="1750">
        <f t="shared" si="325"/>
        <v>0</v>
      </c>
      <c r="MI680" s="1750">
        <f t="shared" si="326"/>
        <v>0</v>
      </c>
      <c r="MJ680" s="1750">
        <f t="shared" si="327"/>
        <v>0</v>
      </c>
      <c r="MK680" s="1750">
        <f t="shared" si="333"/>
        <v>0</v>
      </c>
      <c r="ML680" s="1750">
        <f t="shared" si="334"/>
        <v>0</v>
      </c>
      <c r="MM680" s="1750">
        <f t="shared" si="335"/>
        <v>0</v>
      </c>
      <c r="MN680" s="1750">
        <f t="shared" si="336"/>
        <v>0</v>
      </c>
      <c r="MO680" s="1750">
        <f t="shared" si="337"/>
        <v>0</v>
      </c>
      <c r="MP680" s="1750">
        <f t="shared" si="328"/>
        <v>0</v>
      </c>
      <c r="MQ680" s="1750">
        <f t="shared" si="329"/>
        <v>0</v>
      </c>
      <c r="MR680" s="1750">
        <f t="shared" si="330"/>
        <v>0</v>
      </c>
      <c r="MS680" s="1750">
        <f t="shared" si="331"/>
        <v>0</v>
      </c>
      <c r="MT680" s="1750">
        <f t="shared" si="332"/>
        <v>0</v>
      </c>
      <c r="NP680" s="357" t="s">
        <v>6445</v>
      </c>
    </row>
    <row r="681" spans="1:380" ht="13.9" customHeight="1">
      <c r="A681" s="1901" t="str">
        <f t="shared" si="0"/>
        <v/>
      </c>
      <c r="B681" s="2238">
        <f>'Part V-Revenues &amp; Expenses'!B43</f>
        <v>0</v>
      </c>
      <c r="C681" s="2229">
        <f>'Part V-Revenues &amp; Expenses'!C43</f>
        <v>0</v>
      </c>
      <c r="D681" s="2230">
        <f>'Part V-Revenues &amp; Expenses'!D43</f>
        <v>0</v>
      </c>
      <c r="E681" s="2231">
        <f>'Part V-Revenues &amp; Expenses'!E43</f>
        <v>0</v>
      </c>
      <c r="F681" s="2231">
        <f>'Part V-Revenues &amp; Expenses'!F43</f>
        <v>0</v>
      </c>
      <c r="G681" s="2231">
        <f>'Part V-Revenues &amp; Expenses'!G43</f>
        <v>0</v>
      </c>
      <c r="H681" s="2231">
        <f>'Part V-Revenues &amp; Expenses'!H43</f>
        <v>0</v>
      </c>
      <c r="I681" s="2231">
        <f>'Part V-Revenues &amp; Expenses'!I43</f>
        <v>0</v>
      </c>
      <c r="J681" s="2231">
        <f>'Part V-Revenues &amp; Expenses'!J43</f>
        <v>0</v>
      </c>
      <c r="K681" s="2232">
        <f>'Part V-Revenues &amp; Expenses'!K43</f>
        <v>0</v>
      </c>
      <c r="L681" s="2233">
        <f t="shared" si="340"/>
        <v>0</v>
      </c>
      <c r="M681" s="2233">
        <f t="shared" si="341"/>
        <v>0</v>
      </c>
      <c r="N681" s="2094">
        <f>'Part V-Revenues &amp; Expenses'!N43</f>
        <v>0</v>
      </c>
      <c r="O681" s="2234">
        <f>'Part V-Revenues &amp; Expenses'!O43</f>
        <v>0</v>
      </c>
      <c r="P681" s="2094">
        <f>'Part V-Revenues &amp; Expenses'!P43</f>
        <v>0</v>
      </c>
      <c r="Q681" s="2235">
        <f>'Part V-Revenues &amp; Expenses'!Q43</f>
        <v>0</v>
      </c>
      <c r="R681" s="2236"/>
      <c r="S681" s="2237"/>
      <c r="T681" s="2160"/>
      <c r="U681" s="2160"/>
      <c r="V681" s="2160"/>
      <c r="W681" s="2160"/>
      <c r="X681" s="357" t="str">
        <f t="shared" si="3"/>
        <v/>
      </c>
      <c r="Y681" s="357" t="str">
        <f t="shared" si="4"/>
        <v/>
      </c>
      <c r="Z681" s="357" t="str">
        <f t="shared" si="5"/>
        <v/>
      </c>
      <c r="AA681" s="357" t="str">
        <f t="shared" si="6"/>
        <v/>
      </c>
      <c r="AB681" s="357" t="str">
        <f t="shared" si="7"/>
        <v/>
      </c>
      <c r="AC681" s="357" t="str">
        <f t="shared" si="8"/>
        <v/>
      </c>
      <c r="AD681" s="357" t="str">
        <f t="shared" si="9"/>
        <v/>
      </c>
      <c r="AE681" s="357" t="str">
        <f t="shared" si="10"/>
        <v/>
      </c>
      <c r="AF681" s="357" t="str">
        <f t="shared" si="11"/>
        <v/>
      </c>
      <c r="AG681" s="357" t="str">
        <f t="shared" si="12"/>
        <v/>
      </c>
      <c r="AH681" s="357" t="str">
        <f t="shared" si="13"/>
        <v/>
      </c>
      <c r="AI681" s="357" t="str">
        <f t="shared" si="14"/>
        <v/>
      </c>
      <c r="AJ681" s="357" t="str">
        <f t="shared" si="15"/>
        <v/>
      </c>
      <c r="AK681" s="357" t="str">
        <f t="shared" si="16"/>
        <v/>
      </c>
      <c r="AL681" s="357" t="str">
        <f t="shared" si="17"/>
        <v/>
      </c>
      <c r="AM681" s="357" t="str">
        <f t="shared" si="18"/>
        <v/>
      </c>
      <c r="AN681" s="357" t="str">
        <f t="shared" si="19"/>
        <v/>
      </c>
      <c r="AO681" s="357" t="str">
        <f t="shared" si="20"/>
        <v/>
      </c>
      <c r="AP681" s="357" t="str">
        <f t="shared" si="21"/>
        <v/>
      </c>
      <c r="AQ681" s="357" t="str">
        <f t="shared" si="22"/>
        <v/>
      </c>
      <c r="AR681" s="357" t="str">
        <f t="shared" si="23"/>
        <v/>
      </c>
      <c r="AS681" s="357" t="str">
        <f t="shared" si="24"/>
        <v/>
      </c>
      <c r="AT681" s="357" t="str">
        <f t="shared" si="25"/>
        <v/>
      </c>
      <c r="AU681" s="357" t="str">
        <f t="shared" si="26"/>
        <v/>
      </c>
      <c r="AV681" s="357" t="str">
        <f t="shared" si="27"/>
        <v/>
      </c>
      <c r="AW681" s="357" t="str">
        <f t="shared" si="28"/>
        <v/>
      </c>
      <c r="AX681" s="357" t="str">
        <f t="shared" si="29"/>
        <v/>
      </c>
      <c r="AY681" s="357" t="str">
        <f t="shared" si="30"/>
        <v/>
      </c>
      <c r="AZ681" s="357" t="str">
        <f t="shared" si="31"/>
        <v/>
      </c>
      <c r="BA681" s="357" t="str">
        <f t="shared" si="32"/>
        <v/>
      </c>
      <c r="BB681" s="357" t="str">
        <f t="shared" si="33"/>
        <v/>
      </c>
      <c r="BC681" s="357" t="str">
        <f t="shared" si="34"/>
        <v/>
      </c>
      <c r="BD681" s="357" t="str">
        <f t="shared" si="35"/>
        <v/>
      </c>
      <c r="BE681" s="357" t="str">
        <f t="shared" si="36"/>
        <v/>
      </c>
      <c r="BF681" s="357" t="str">
        <f t="shared" si="37"/>
        <v/>
      </c>
      <c r="BG681" s="357" t="str">
        <f t="shared" si="38"/>
        <v/>
      </c>
      <c r="BH681" s="357" t="str">
        <f t="shared" si="39"/>
        <v/>
      </c>
      <c r="BI681" s="357" t="str">
        <f t="shared" si="40"/>
        <v/>
      </c>
      <c r="BJ681" s="357" t="str">
        <f t="shared" si="41"/>
        <v/>
      </c>
      <c r="BK681" s="357" t="str">
        <f t="shared" si="42"/>
        <v/>
      </c>
      <c r="BL681" s="357" t="str">
        <f t="shared" si="43"/>
        <v/>
      </c>
      <c r="BM681" s="357" t="str">
        <f t="shared" si="44"/>
        <v/>
      </c>
      <c r="BN681" s="357" t="str">
        <f t="shared" si="45"/>
        <v/>
      </c>
      <c r="BO681" s="357" t="str">
        <f t="shared" si="46"/>
        <v/>
      </c>
      <c r="BP681" s="357" t="str">
        <f t="shared" si="47"/>
        <v/>
      </c>
      <c r="BQ681" s="357" t="str">
        <f t="shared" si="48"/>
        <v/>
      </c>
      <c r="BR681" s="357" t="str">
        <f t="shared" si="49"/>
        <v/>
      </c>
      <c r="BS681" s="357" t="str">
        <f t="shared" si="50"/>
        <v/>
      </c>
      <c r="BT681" s="357" t="str">
        <f t="shared" si="51"/>
        <v/>
      </c>
      <c r="BU681" s="357" t="str">
        <f t="shared" si="52"/>
        <v/>
      </c>
      <c r="BV681" s="357" t="str">
        <f t="shared" si="53"/>
        <v/>
      </c>
      <c r="BW681" s="357" t="str">
        <f t="shared" si="54"/>
        <v/>
      </c>
      <c r="BX681" s="357" t="str">
        <f t="shared" si="55"/>
        <v/>
      </c>
      <c r="BY681" s="357" t="str">
        <f t="shared" si="56"/>
        <v/>
      </c>
      <c r="BZ681" s="357" t="str">
        <f t="shared" si="57"/>
        <v/>
      </c>
      <c r="CA681" s="357" t="str">
        <f t="shared" si="58"/>
        <v/>
      </c>
      <c r="CB681" s="357" t="str">
        <f t="shared" si="59"/>
        <v/>
      </c>
      <c r="CC681" s="357" t="str">
        <f t="shared" si="60"/>
        <v/>
      </c>
      <c r="CD681" s="357" t="str">
        <f t="shared" si="61"/>
        <v/>
      </c>
      <c r="CE681" s="357" t="str">
        <f t="shared" si="62"/>
        <v/>
      </c>
      <c r="CF681" s="357" t="str">
        <f t="shared" si="63"/>
        <v/>
      </c>
      <c r="CG681" s="357" t="str">
        <f t="shared" si="64"/>
        <v/>
      </c>
      <c r="CH681" s="357" t="str">
        <f t="shared" si="65"/>
        <v/>
      </c>
      <c r="CI681" s="357" t="str">
        <f t="shared" si="66"/>
        <v/>
      </c>
      <c r="CJ681" s="357" t="str">
        <f t="shared" si="67"/>
        <v/>
      </c>
      <c r="CK681" s="357" t="str">
        <f t="shared" si="68"/>
        <v/>
      </c>
      <c r="CL681" s="357" t="str">
        <f t="shared" si="69"/>
        <v/>
      </c>
      <c r="CM681" s="357" t="str">
        <f t="shared" si="70"/>
        <v/>
      </c>
      <c r="CN681" s="357" t="str">
        <f t="shared" si="71"/>
        <v/>
      </c>
      <c r="CO681" s="357" t="str">
        <f t="shared" si="72"/>
        <v/>
      </c>
      <c r="CP681" s="357" t="str">
        <f t="shared" si="73"/>
        <v/>
      </c>
      <c r="CQ681" s="357" t="str">
        <f t="shared" si="74"/>
        <v/>
      </c>
      <c r="CR681" s="357" t="str">
        <f t="shared" si="75"/>
        <v/>
      </c>
      <c r="CS681" s="357" t="str">
        <f t="shared" si="76"/>
        <v/>
      </c>
      <c r="CT681" s="357" t="str">
        <f t="shared" si="77"/>
        <v/>
      </c>
      <c r="CU681" s="357" t="str">
        <f t="shared" si="78"/>
        <v/>
      </c>
      <c r="CV681" s="357" t="str">
        <f t="shared" si="79"/>
        <v/>
      </c>
      <c r="CW681" s="357" t="str">
        <f t="shared" si="80"/>
        <v/>
      </c>
      <c r="CX681" s="357" t="str">
        <f t="shared" si="81"/>
        <v/>
      </c>
      <c r="CY681" s="357" t="str">
        <f t="shared" si="82"/>
        <v/>
      </c>
      <c r="CZ681" s="357" t="str">
        <f t="shared" si="83"/>
        <v/>
      </c>
      <c r="DA681" s="357" t="str">
        <f t="shared" si="84"/>
        <v/>
      </c>
      <c r="DB681" s="357" t="str">
        <f t="shared" si="85"/>
        <v/>
      </c>
      <c r="DC681" s="357" t="str">
        <f t="shared" si="86"/>
        <v/>
      </c>
      <c r="DD681" s="357" t="str">
        <f t="shared" si="87"/>
        <v/>
      </c>
      <c r="DE681" s="357" t="str">
        <f t="shared" si="88"/>
        <v/>
      </c>
      <c r="DF681" s="357" t="str">
        <f t="shared" si="89"/>
        <v/>
      </c>
      <c r="DG681" s="357" t="str">
        <f t="shared" si="90"/>
        <v/>
      </c>
      <c r="DH681" s="357" t="str">
        <f t="shared" si="91"/>
        <v/>
      </c>
      <c r="DI681" s="357" t="str">
        <f t="shared" si="92"/>
        <v/>
      </c>
      <c r="DJ681" s="357" t="str">
        <f t="shared" si="93"/>
        <v/>
      </c>
      <c r="DK681" s="357" t="str">
        <f t="shared" si="94"/>
        <v/>
      </c>
      <c r="DL681" s="357" t="str">
        <f t="shared" si="95"/>
        <v/>
      </c>
      <c r="DM681" s="357" t="str">
        <f t="shared" si="96"/>
        <v/>
      </c>
      <c r="DN681" s="357" t="str">
        <f t="shared" si="97"/>
        <v/>
      </c>
      <c r="DO681" s="357" t="str">
        <f t="shared" si="98"/>
        <v/>
      </c>
      <c r="DP681" s="357" t="str">
        <f t="shared" si="99"/>
        <v/>
      </c>
      <c r="DQ681" s="357" t="str">
        <f t="shared" si="100"/>
        <v/>
      </c>
      <c r="DR681" s="357" t="str">
        <f t="shared" si="101"/>
        <v/>
      </c>
      <c r="DS681" s="357" t="str">
        <f t="shared" si="102"/>
        <v/>
      </c>
      <c r="DT681" s="357" t="str">
        <f t="shared" si="103"/>
        <v/>
      </c>
      <c r="DU681" s="357" t="str">
        <f t="shared" si="104"/>
        <v/>
      </c>
      <c r="DV681" s="357" t="str">
        <f t="shared" si="105"/>
        <v/>
      </c>
      <c r="DW681" s="357" t="str">
        <f t="shared" si="106"/>
        <v/>
      </c>
      <c r="DX681" s="357" t="str">
        <f t="shared" si="107"/>
        <v/>
      </c>
      <c r="DY681" s="357" t="str">
        <f t="shared" si="108"/>
        <v/>
      </c>
      <c r="DZ681" s="357" t="str">
        <f t="shared" si="109"/>
        <v/>
      </c>
      <c r="EA681" s="357" t="str">
        <f t="shared" si="110"/>
        <v/>
      </c>
      <c r="EB681" s="357" t="str">
        <f t="shared" si="111"/>
        <v/>
      </c>
      <c r="EC681" s="357" t="str">
        <f t="shared" si="112"/>
        <v/>
      </c>
      <c r="ED681" s="357" t="str">
        <f t="shared" si="113"/>
        <v/>
      </c>
      <c r="EE681" s="357" t="str">
        <f t="shared" si="114"/>
        <v/>
      </c>
      <c r="EF681" s="357" t="str">
        <f t="shared" si="115"/>
        <v/>
      </c>
      <c r="EG681" s="357" t="str">
        <f t="shared" si="116"/>
        <v/>
      </c>
      <c r="EH681" s="357" t="str">
        <f t="shared" si="117"/>
        <v/>
      </c>
      <c r="EI681" s="357" t="str">
        <f t="shared" si="118"/>
        <v/>
      </c>
      <c r="EJ681" s="357" t="str">
        <f t="shared" si="119"/>
        <v/>
      </c>
      <c r="EK681" s="357" t="str">
        <f t="shared" si="120"/>
        <v/>
      </c>
      <c r="EL681" s="357" t="str">
        <f t="shared" si="121"/>
        <v/>
      </c>
      <c r="EM681" s="357" t="str">
        <f t="shared" si="122"/>
        <v/>
      </c>
      <c r="EN681" s="357" t="str">
        <f t="shared" si="123"/>
        <v/>
      </c>
      <c r="EO681" s="357" t="str">
        <f t="shared" si="124"/>
        <v/>
      </c>
      <c r="EP681" s="357" t="str">
        <f t="shared" si="125"/>
        <v/>
      </c>
      <c r="EQ681" s="357" t="str">
        <f t="shared" si="126"/>
        <v/>
      </c>
      <c r="ER681" s="357" t="str">
        <f t="shared" si="127"/>
        <v/>
      </c>
      <c r="ES681" s="357" t="str">
        <f t="shared" si="128"/>
        <v/>
      </c>
      <c r="ET681" s="357" t="str">
        <f t="shared" si="129"/>
        <v/>
      </c>
      <c r="EU681" s="357" t="str">
        <f t="shared" si="130"/>
        <v/>
      </c>
      <c r="EV681" s="357" t="str">
        <f t="shared" si="131"/>
        <v/>
      </c>
      <c r="EW681" s="357" t="str">
        <f t="shared" si="132"/>
        <v/>
      </c>
      <c r="EX681" s="357" t="str">
        <f t="shared" si="133"/>
        <v/>
      </c>
      <c r="EY681" s="357" t="str">
        <f t="shared" si="134"/>
        <v/>
      </c>
      <c r="EZ681" s="357" t="str">
        <f t="shared" si="135"/>
        <v/>
      </c>
      <c r="FA681" s="357" t="str">
        <f t="shared" si="136"/>
        <v/>
      </c>
      <c r="FB681" s="357" t="str">
        <f t="shared" si="137"/>
        <v/>
      </c>
      <c r="FC681" s="357" t="str">
        <f t="shared" si="138"/>
        <v/>
      </c>
      <c r="FD681" s="357" t="str">
        <f t="shared" si="139"/>
        <v/>
      </c>
      <c r="FE681" s="357" t="str">
        <f t="shared" si="140"/>
        <v/>
      </c>
      <c r="FF681" s="357" t="str">
        <f t="shared" si="141"/>
        <v/>
      </c>
      <c r="FG681" s="357" t="str">
        <f t="shared" si="142"/>
        <v/>
      </c>
      <c r="FH681" s="357" t="str">
        <f t="shared" si="143"/>
        <v/>
      </c>
      <c r="FI681" s="357" t="str">
        <f t="shared" si="144"/>
        <v/>
      </c>
      <c r="FJ681" s="357" t="str">
        <f t="shared" si="145"/>
        <v/>
      </c>
      <c r="FK681" s="357" t="str">
        <f t="shared" si="146"/>
        <v/>
      </c>
      <c r="FL681" s="357" t="str">
        <f t="shared" si="147"/>
        <v/>
      </c>
      <c r="FM681" s="357" t="str">
        <f t="shared" si="148"/>
        <v/>
      </c>
      <c r="FN681" s="357" t="str">
        <f t="shared" si="149"/>
        <v/>
      </c>
      <c r="FO681" s="357" t="str">
        <f t="shared" si="150"/>
        <v/>
      </c>
      <c r="FP681" s="357" t="str">
        <f t="shared" si="151"/>
        <v/>
      </c>
      <c r="FQ681" s="357" t="str">
        <f t="shared" si="152"/>
        <v/>
      </c>
      <c r="FR681" s="357" t="str">
        <f t="shared" si="153"/>
        <v/>
      </c>
      <c r="FS681" s="357" t="str">
        <f t="shared" si="154"/>
        <v/>
      </c>
      <c r="FT681" s="357" t="str">
        <f t="shared" si="155"/>
        <v/>
      </c>
      <c r="FU681" s="357" t="str">
        <f t="shared" si="156"/>
        <v/>
      </c>
      <c r="FV681" s="357" t="str">
        <f t="shared" si="157"/>
        <v/>
      </c>
      <c r="FW681" s="357" t="str">
        <f t="shared" si="158"/>
        <v/>
      </c>
      <c r="FX681" s="357" t="str">
        <f t="shared" si="159"/>
        <v/>
      </c>
      <c r="FY681" s="357" t="str">
        <f t="shared" si="160"/>
        <v/>
      </c>
      <c r="FZ681" s="357" t="str">
        <f t="shared" si="161"/>
        <v/>
      </c>
      <c r="GA681" s="357" t="str">
        <f t="shared" si="162"/>
        <v/>
      </c>
      <c r="GB681" s="357" t="str">
        <f t="shared" si="163"/>
        <v/>
      </c>
      <c r="GC681" s="357" t="str">
        <f t="shared" si="164"/>
        <v/>
      </c>
      <c r="GD681" s="357" t="str">
        <f t="shared" si="165"/>
        <v/>
      </c>
      <c r="GE681" s="357" t="str">
        <f t="shared" si="166"/>
        <v/>
      </c>
      <c r="GF681" s="357" t="str">
        <f t="shared" si="167"/>
        <v/>
      </c>
      <c r="GG681" s="357" t="str">
        <f t="shared" si="168"/>
        <v/>
      </c>
      <c r="GH681" s="357" t="str">
        <f t="shared" si="169"/>
        <v/>
      </c>
      <c r="GI681" s="357" t="str">
        <f t="shared" si="170"/>
        <v/>
      </c>
      <c r="GJ681" s="357" t="str">
        <f t="shared" si="171"/>
        <v/>
      </c>
      <c r="GK681" s="357" t="str">
        <f t="shared" si="172"/>
        <v/>
      </c>
      <c r="GL681" s="357" t="str">
        <f t="shared" si="173"/>
        <v/>
      </c>
      <c r="GM681" s="357" t="str">
        <f t="shared" si="174"/>
        <v/>
      </c>
      <c r="GN681" s="357" t="str">
        <f t="shared" si="175"/>
        <v/>
      </c>
      <c r="GO681" s="357" t="str">
        <f t="shared" si="176"/>
        <v/>
      </c>
      <c r="GP681" s="357" t="str">
        <f t="shared" si="177"/>
        <v/>
      </c>
      <c r="GQ681" s="357" t="str">
        <f t="shared" si="178"/>
        <v/>
      </c>
      <c r="GR681" s="357" t="str">
        <f t="shared" si="179"/>
        <v/>
      </c>
      <c r="GS681" s="357" t="str">
        <f t="shared" si="180"/>
        <v/>
      </c>
      <c r="GT681" s="357" t="str">
        <f t="shared" si="181"/>
        <v/>
      </c>
      <c r="GU681" s="357" t="str">
        <f t="shared" si="182"/>
        <v/>
      </c>
      <c r="GV681" s="357" t="str">
        <f t="shared" si="183"/>
        <v/>
      </c>
      <c r="GW681" s="357" t="str">
        <f t="shared" si="184"/>
        <v/>
      </c>
      <c r="GX681" s="357" t="str">
        <f t="shared" si="185"/>
        <v/>
      </c>
      <c r="GY681" s="357" t="str">
        <f t="shared" si="186"/>
        <v/>
      </c>
      <c r="GZ681" s="357" t="str">
        <f t="shared" si="187"/>
        <v/>
      </c>
      <c r="HA681" s="357" t="str">
        <f t="shared" si="188"/>
        <v/>
      </c>
      <c r="HB681" s="357" t="str">
        <f t="shared" si="189"/>
        <v/>
      </c>
      <c r="HC681" s="357" t="str">
        <f t="shared" si="190"/>
        <v/>
      </c>
      <c r="HD681" s="357" t="str">
        <f t="shared" si="191"/>
        <v/>
      </c>
      <c r="HE681" s="357" t="str">
        <f t="shared" si="192"/>
        <v/>
      </c>
      <c r="HF681" s="357" t="str">
        <f t="shared" si="193"/>
        <v/>
      </c>
      <c r="HG681" s="357" t="str">
        <f t="shared" si="194"/>
        <v/>
      </c>
      <c r="HH681" s="357" t="str">
        <f t="shared" si="195"/>
        <v/>
      </c>
      <c r="HI681" s="357" t="str">
        <f t="shared" si="196"/>
        <v/>
      </c>
      <c r="HJ681" s="357" t="str">
        <f t="shared" si="197"/>
        <v/>
      </c>
      <c r="HK681" s="357" t="str">
        <f t="shared" si="198"/>
        <v/>
      </c>
      <c r="HL681" s="357" t="str">
        <f t="shared" si="199"/>
        <v/>
      </c>
      <c r="HM681" s="357" t="str">
        <f t="shared" si="200"/>
        <v/>
      </c>
      <c r="HN681" s="357" t="str">
        <f t="shared" si="201"/>
        <v/>
      </c>
      <c r="HO681" s="357" t="str">
        <f t="shared" si="202"/>
        <v/>
      </c>
      <c r="HP681" s="357" t="str">
        <f t="shared" si="203"/>
        <v/>
      </c>
      <c r="HQ681" s="357" t="str">
        <f t="shared" si="204"/>
        <v/>
      </c>
      <c r="HR681" s="357" t="str">
        <f t="shared" si="205"/>
        <v/>
      </c>
      <c r="HS681" s="357" t="str">
        <f t="shared" si="206"/>
        <v/>
      </c>
      <c r="HT681" s="357" t="str">
        <f t="shared" si="207"/>
        <v/>
      </c>
      <c r="HU681" s="357" t="str">
        <f t="shared" si="208"/>
        <v/>
      </c>
      <c r="HV681" s="357" t="str">
        <f t="shared" si="209"/>
        <v/>
      </c>
      <c r="HW681" s="357" t="str">
        <f t="shared" si="210"/>
        <v/>
      </c>
      <c r="HX681" s="357" t="str">
        <f t="shared" si="211"/>
        <v/>
      </c>
      <c r="HY681" s="357" t="str">
        <f t="shared" si="212"/>
        <v/>
      </c>
      <c r="HZ681" s="1903" t="str">
        <f t="shared" si="213"/>
        <v/>
      </c>
      <c r="IA681" s="1903" t="str">
        <f t="shared" si="214"/>
        <v/>
      </c>
      <c r="IB681" s="1903" t="str">
        <f t="shared" si="215"/>
        <v/>
      </c>
      <c r="IC681" s="1903" t="str">
        <f t="shared" si="216"/>
        <v/>
      </c>
      <c r="ID681" s="1903" t="str">
        <f t="shared" si="217"/>
        <v/>
      </c>
      <c r="IE681" s="1903" t="str">
        <f t="shared" si="218"/>
        <v/>
      </c>
      <c r="IF681" s="1903" t="str">
        <f t="shared" si="219"/>
        <v/>
      </c>
      <c r="IG681" s="1903" t="str">
        <f t="shared" si="220"/>
        <v/>
      </c>
      <c r="IH681" s="1903" t="str">
        <f t="shared" si="221"/>
        <v/>
      </c>
      <c r="II681" s="1903" t="str">
        <f t="shared" si="222"/>
        <v/>
      </c>
      <c r="IJ681" s="1903" t="str">
        <f t="shared" si="223"/>
        <v/>
      </c>
      <c r="IK681" s="1903" t="str">
        <f t="shared" si="224"/>
        <v/>
      </c>
      <c r="IL681" s="1903" t="str">
        <f t="shared" si="225"/>
        <v/>
      </c>
      <c r="IM681" s="1903" t="str">
        <f t="shared" si="226"/>
        <v/>
      </c>
      <c r="IN681" s="1903" t="str">
        <f t="shared" si="227"/>
        <v/>
      </c>
      <c r="IO681" s="1903" t="str">
        <f t="shared" si="228"/>
        <v/>
      </c>
      <c r="IP681" s="1903" t="str">
        <f t="shared" si="229"/>
        <v/>
      </c>
      <c r="IQ681" s="1903" t="str">
        <f t="shared" si="230"/>
        <v/>
      </c>
      <c r="IR681" s="1903" t="str">
        <f t="shared" si="231"/>
        <v/>
      </c>
      <c r="IS681" s="1903" t="str">
        <f t="shared" si="232"/>
        <v/>
      </c>
      <c r="IT681" s="1903" t="str">
        <f t="shared" si="233"/>
        <v/>
      </c>
      <c r="IU681" s="1903" t="str">
        <f t="shared" si="234"/>
        <v/>
      </c>
      <c r="IV681" s="1903" t="str">
        <f t="shared" si="235"/>
        <v/>
      </c>
      <c r="IW681" s="1903" t="str">
        <f t="shared" si="236"/>
        <v/>
      </c>
      <c r="IX681" s="1903" t="str">
        <f t="shared" si="237"/>
        <v/>
      </c>
      <c r="IY681" s="1903" t="str">
        <f t="shared" si="238"/>
        <v/>
      </c>
      <c r="IZ681" s="1903" t="str">
        <f t="shared" si="239"/>
        <v/>
      </c>
      <c r="JA681" s="1903" t="str">
        <f t="shared" si="240"/>
        <v/>
      </c>
      <c r="JB681" s="1903" t="str">
        <f t="shared" si="241"/>
        <v/>
      </c>
      <c r="JC681" s="1903" t="str">
        <f t="shared" si="242"/>
        <v/>
      </c>
      <c r="JD681" s="1903" t="str">
        <f t="shared" si="243"/>
        <v/>
      </c>
      <c r="JE681" s="1903" t="str">
        <f t="shared" si="244"/>
        <v/>
      </c>
      <c r="JF681" s="1903" t="str">
        <f t="shared" si="245"/>
        <v/>
      </c>
      <c r="JG681" s="1903" t="str">
        <f t="shared" si="246"/>
        <v/>
      </c>
      <c r="JH681" s="1903" t="str">
        <f t="shared" si="247"/>
        <v/>
      </c>
      <c r="JI681" s="1903" t="str">
        <f t="shared" si="248"/>
        <v/>
      </c>
      <c r="JJ681" s="1903" t="str">
        <f t="shared" si="249"/>
        <v/>
      </c>
      <c r="JK681" s="1903" t="str">
        <f t="shared" si="250"/>
        <v/>
      </c>
      <c r="JL681" s="1903" t="str">
        <f t="shared" si="251"/>
        <v/>
      </c>
      <c r="JM681" s="1903" t="str">
        <f t="shared" si="252"/>
        <v/>
      </c>
      <c r="JN681" s="1903" t="str">
        <f t="shared" si="253"/>
        <v/>
      </c>
      <c r="JO681" s="1903" t="str">
        <f t="shared" si="254"/>
        <v/>
      </c>
      <c r="JP681" s="1903" t="str">
        <f t="shared" si="255"/>
        <v/>
      </c>
      <c r="JQ681" s="1903" t="str">
        <f t="shared" si="256"/>
        <v/>
      </c>
      <c r="JR681" s="1903" t="str">
        <f t="shared" si="257"/>
        <v/>
      </c>
      <c r="JS681" s="1903" t="str">
        <f t="shared" si="258"/>
        <v/>
      </c>
      <c r="JT681" s="1903" t="str">
        <f t="shared" si="259"/>
        <v/>
      </c>
      <c r="JU681" s="1903" t="str">
        <f t="shared" si="260"/>
        <v/>
      </c>
      <c r="JV681" s="1903" t="str">
        <f t="shared" si="261"/>
        <v/>
      </c>
      <c r="JW681" s="1903" t="str">
        <f t="shared" si="262"/>
        <v/>
      </c>
      <c r="JX681" s="1903" t="str">
        <f t="shared" si="263"/>
        <v/>
      </c>
      <c r="JY681" s="1903" t="str">
        <f t="shared" si="264"/>
        <v/>
      </c>
      <c r="JZ681" s="1903" t="str">
        <f t="shared" si="265"/>
        <v/>
      </c>
      <c r="KA681" s="1903" t="str">
        <f t="shared" si="266"/>
        <v/>
      </c>
      <c r="KB681" s="1903" t="str">
        <f t="shared" si="267"/>
        <v/>
      </c>
      <c r="KC681" s="1903" t="str">
        <f t="shared" si="268"/>
        <v/>
      </c>
      <c r="KD681" s="1903" t="str">
        <f t="shared" si="269"/>
        <v/>
      </c>
      <c r="KE681" s="1903" t="str">
        <f t="shared" si="270"/>
        <v/>
      </c>
      <c r="KF681" s="1903" t="str">
        <f t="shared" si="271"/>
        <v/>
      </c>
      <c r="KG681" s="1903" t="str">
        <f t="shared" si="272"/>
        <v/>
      </c>
      <c r="KH681" s="1903" t="str">
        <f t="shared" si="273"/>
        <v/>
      </c>
      <c r="KI681" s="1903" t="str">
        <f t="shared" si="274"/>
        <v/>
      </c>
      <c r="KJ681" s="1903" t="str">
        <f t="shared" si="275"/>
        <v/>
      </c>
      <c r="KK681" s="1903" t="str">
        <f t="shared" si="276"/>
        <v/>
      </c>
      <c r="KL681" s="1903" t="str">
        <f t="shared" si="277"/>
        <v/>
      </c>
      <c r="KM681" s="1903" t="str">
        <f t="shared" si="278"/>
        <v/>
      </c>
      <c r="KN681" s="1903" t="str">
        <f t="shared" si="279"/>
        <v/>
      </c>
      <c r="KO681" s="1903" t="str">
        <f t="shared" si="280"/>
        <v/>
      </c>
      <c r="KP681" s="1903" t="str">
        <f t="shared" si="281"/>
        <v/>
      </c>
      <c r="KQ681" s="1903" t="str">
        <f t="shared" si="282"/>
        <v/>
      </c>
      <c r="KR681" s="1903" t="str">
        <f t="shared" si="283"/>
        <v/>
      </c>
      <c r="KS681" s="1903" t="str">
        <f t="shared" si="284"/>
        <v/>
      </c>
      <c r="KT681" s="1903" t="str">
        <f t="shared" si="285"/>
        <v/>
      </c>
      <c r="KU681" s="1903" t="str">
        <f t="shared" si="286"/>
        <v/>
      </c>
      <c r="KV681" s="1903" t="str">
        <f t="shared" si="287"/>
        <v/>
      </c>
      <c r="KW681" s="1903" t="str">
        <f t="shared" si="288"/>
        <v/>
      </c>
      <c r="KX681" s="1903" t="str">
        <f t="shared" si="289"/>
        <v/>
      </c>
      <c r="KY681" s="1903" t="str">
        <f t="shared" si="290"/>
        <v/>
      </c>
      <c r="KZ681" s="1903" t="str">
        <f t="shared" si="291"/>
        <v/>
      </c>
      <c r="LA681" s="1903" t="str">
        <f t="shared" si="292"/>
        <v/>
      </c>
      <c r="LB681" s="1903" t="str">
        <f t="shared" si="293"/>
        <v/>
      </c>
      <c r="LC681" s="1903" t="str">
        <f t="shared" si="294"/>
        <v/>
      </c>
      <c r="LD681" s="1903" t="str">
        <f t="shared" si="295"/>
        <v/>
      </c>
      <c r="LE681" s="1903" t="str">
        <f t="shared" si="296"/>
        <v/>
      </c>
      <c r="LF681" s="1903" t="str">
        <f t="shared" si="297"/>
        <v/>
      </c>
      <c r="LG681" s="1750" t="str">
        <f t="shared" si="298"/>
        <v/>
      </c>
      <c r="LH681" s="1750" t="str">
        <f t="shared" si="299"/>
        <v/>
      </c>
      <c r="LI681" s="1750" t="str">
        <f t="shared" si="300"/>
        <v/>
      </c>
      <c r="LJ681" s="1750" t="str">
        <f t="shared" si="301"/>
        <v/>
      </c>
      <c r="LK681" s="1750" t="str">
        <f t="shared" si="302"/>
        <v/>
      </c>
      <c r="LL681" s="357" t="str">
        <f t="shared" si="303"/>
        <v/>
      </c>
      <c r="LM681" s="357" t="str">
        <f t="shared" si="304"/>
        <v/>
      </c>
      <c r="LN681" s="357" t="str">
        <f t="shared" si="305"/>
        <v/>
      </c>
      <c r="LO681" s="357" t="str">
        <f t="shared" si="306"/>
        <v/>
      </c>
      <c r="LP681" s="357" t="str">
        <f t="shared" si="307"/>
        <v/>
      </c>
      <c r="LQ681" s="357" t="str">
        <f t="shared" si="308"/>
        <v/>
      </c>
      <c r="LR681" s="357" t="str">
        <f t="shared" si="309"/>
        <v/>
      </c>
      <c r="LS681" s="357" t="str">
        <f t="shared" si="310"/>
        <v/>
      </c>
      <c r="LT681" s="357" t="str">
        <f t="shared" si="311"/>
        <v/>
      </c>
      <c r="LU681" s="357" t="str">
        <f t="shared" si="312"/>
        <v/>
      </c>
      <c r="LV681" s="357" t="str">
        <f t="shared" si="313"/>
        <v/>
      </c>
      <c r="LW681" s="357" t="str">
        <f t="shared" si="314"/>
        <v/>
      </c>
      <c r="LX681" s="357" t="str">
        <f t="shared" si="315"/>
        <v/>
      </c>
      <c r="LY681" s="357" t="str">
        <f t="shared" si="316"/>
        <v/>
      </c>
      <c r="LZ681" s="357" t="str">
        <f t="shared" si="317"/>
        <v/>
      </c>
      <c r="MA681" s="357" t="str">
        <f t="shared" si="318"/>
        <v/>
      </c>
      <c r="MB681" s="357" t="str">
        <f t="shared" si="319"/>
        <v/>
      </c>
      <c r="MC681" s="357" t="str">
        <f t="shared" si="320"/>
        <v/>
      </c>
      <c r="MD681" s="357" t="str">
        <f t="shared" si="321"/>
        <v/>
      </c>
      <c r="ME681" s="357" t="str">
        <f t="shared" si="322"/>
        <v/>
      </c>
      <c r="MF681" s="1750">
        <f t="shared" si="323"/>
        <v>0</v>
      </c>
      <c r="MG681" s="1750">
        <f t="shared" si="324"/>
        <v>0</v>
      </c>
      <c r="MH681" s="1750">
        <f t="shared" si="325"/>
        <v>0</v>
      </c>
      <c r="MI681" s="1750">
        <f t="shared" si="326"/>
        <v>0</v>
      </c>
      <c r="MJ681" s="1750">
        <f t="shared" si="327"/>
        <v>0</v>
      </c>
      <c r="MK681" s="1750">
        <f t="shared" si="333"/>
        <v>0</v>
      </c>
      <c r="ML681" s="1750">
        <f t="shared" si="334"/>
        <v>0</v>
      </c>
      <c r="MM681" s="1750">
        <f t="shared" si="335"/>
        <v>0</v>
      </c>
      <c r="MN681" s="1750">
        <f t="shared" si="336"/>
        <v>0</v>
      </c>
      <c r="MO681" s="1750">
        <f t="shared" si="337"/>
        <v>0</v>
      </c>
      <c r="MP681" s="1750">
        <f t="shared" si="328"/>
        <v>0</v>
      </c>
      <c r="MQ681" s="1750">
        <f t="shared" si="329"/>
        <v>0</v>
      </c>
      <c r="MR681" s="1750">
        <f t="shared" si="330"/>
        <v>0</v>
      </c>
      <c r="MS681" s="1750">
        <f t="shared" si="331"/>
        <v>0</v>
      </c>
      <c r="MT681" s="1750">
        <f t="shared" si="332"/>
        <v>0</v>
      </c>
      <c r="NP681" s="357" t="s">
        <v>6446</v>
      </c>
    </row>
    <row r="682" spans="1:380" ht="13.9" customHeight="1">
      <c r="A682" s="1901" t="str">
        <f t="shared" si="0"/>
        <v/>
      </c>
      <c r="B682" s="2238">
        <f>'Part V-Revenues &amp; Expenses'!B44</f>
        <v>0</v>
      </c>
      <c r="C682" s="2229">
        <f>'Part V-Revenues &amp; Expenses'!C44</f>
        <v>0</v>
      </c>
      <c r="D682" s="2230">
        <f>'Part V-Revenues &amp; Expenses'!D44</f>
        <v>0</v>
      </c>
      <c r="E682" s="2231">
        <f>'Part V-Revenues &amp; Expenses'!E44</f>
        <v>0</v>
      </c>
      <c r="F682" s="2231">
        <f>'Part V-Revenues &amp; Expenses'!F44</f>
        <v>0</v>
      </c>
      <c r="G682" s="2231">
        <f>'Part V-Revenues &amp; Expenses'!G44</f>
        <v>0</v>
      </c>
      <c r="H682" s="2231">
        <f>'Part V-Revenues &amp; Expenses'!H44</f>
        <v>0</v>
      </c>
      <c r="I682" s="2231">
        <f>'Part V-Revenues &amp; Expenses'!I44</f>
        <v>0</v>
      </c>
      <c r="J682" s="2231">
        <f>'Part V-Revenues &amp; Expenses'!J44</f>
        <v>0</v>
      </c>
      <c r="K682" s="2232">
        <f>'Part V-Revenues &amp; Expenses'!K44</f>
        <v>0</v>
      </c>
      <c r="L682" s="2233">
        <f t="shared" si="340"/>
        <v>0</v>
      </c>
      <c r="M682" s="2233">
        <f t="shared" si="341"/>
        <v>0</v>
      </c>
      <c r="N682" s="2094">
        <f>'Part V-Revenues &amp; Expenses'!N44</f>
        <v>0</v>
      </c>
      <c r="O682" s="2234">
        <f>'Part V-Revenues &amp; Expenses'!O44</f>
        <v>0</v>
      </c>
      <c r="P682" s="2094">
        <f>'Part V-Revenues &amp; Expenses'!P44</f>
        <v>0</v>
      </c>
      <c r="Q682" s="2235">
        <f>'Part V-Revenues &amp; Expenses'!Q44</f>
        <v>0</v>
      </c>
      <c r="R682" s="2236"/>
      <c r="S682" s="2237"/>
      <c r="T682" s="2160"/>
      <c r="U682" s="2160"/>
      <c r="V682" s="2160"/>
      <c r="W682" s="2160"/>
      <c r="X682" s="357" t="str">
        <f t="shared" si="3"/>
        <v/>
      </c>
      <c r="Y682" s="357" t="str">
        <f t="shared" si="4"/>
        <v/>
      </c>
      <c r="Z682" s="357" t="str">
        <f t="shared" si="5"/>
        <v/>
      </c>
      <c r="AA682" s="357" t="str">
        <f t="shared" si="6"/>
        <v/>
      </c>
      <c r="AB682" s="357" t="str">
        <f t="shared" si="7"/>
        <v/>
      </c>
      <c r="AC682" s="357" t="str">
        <f t="shared" si="8"/>
        <v/>
      </c>
      <c r="AD682" s="357" t="str">
        <f t="shared" si="9"/>
        <v/>
      </c>
      <c r="AE682" s="357" t="str">
        <f t="shared" si="10"/>
        <v/>
      </c>
      <c r="AF682" s="357" t="str">
        <f t="shared" si="11"/>
        <v/>
      </c>
      <c r="AG682" s="357" t="str">
        <f t="shared" si="12"/>
        <v/>
      </c>
      <c r="AH682" s="357" t="str">
        <f t="shared" si="13"/>
        <v/>
      </c>
      <c r="AI682" s="357" t="str">
        <f t="shared" si="14"/>
        <v/>
      </c>
      <c r="AJ682" s="357" t="str">
        <f t="shared" si="15"/>
        <v/>
      </c>
      <c r="AK682" s="357" t="str">
        <f t="shared" si="16"/>
        <v/>
      </c>
      <c r="AL682" s="357" t="str">
        <f t="shared" si="17"/>
        <v/>
      </c>
      <c r="AM682" s="357" t="str">
        <f t="shared" si="18"/>
        <v/>
      </c>
      <c r="AN682" s="357" t="str">
        <f t="shared" si="19"/>
        <v/>
      </c>
      <c r="AO682" s="357" t="str">
        <f t="shared" si="20"/>
        <v/>
      </c>
      <c r="AP682" s="357" t="str">
        <f t="shared" si="21"/>
        <v/>
      </c>
      <c r="AQ682" s="357" t="str">
        <f t="shared" si="22"/>
        <v/>
      </c>
      <c r="AR682" s="357" t="str">
        <f t="shared" si="23"/>
        <v/>
      </c>
      <c r="AS682" s="357" t="str">
        <f t="shared" si="24"/>
        <v/>
      </c>
      <c r="AT682" s="357" t="str">
        <f t="shared" si="25"/>
        <v/>
      </c>
      <c r="AU682" s="357" t="str">
        <f t="shared" si="26"/>
        <v/>
      </c>
      <c r="AV682" s="357" t="str">
        <f t="shared" si="27"/>
        <v/>
      </c>
      <c r="AW682" s="357" t="str">
        <f t="shared" si="28"/>
        <v/>
      </c>
      <c r="AX682" s="357" t="str">
        <f t="shared" si="29"/>
        <v/>
      </c>
      <c r="AY682" s="357" t="str">
        <f t="shared" si="30"/>
        <v/>
      </c>
      <c r="AZ682" s="357" t="str">
        <f t="shared" si="31"/>
        <v/>
      </c>
      <c r="BA682" s="357" t="str">
        <f t="shared" si="32"/>
        <v/>
      </c>
      <c r="BB682" s="357" t="str">
        <f t="shared" si="33"/>
        <v/>
      </c>
      <c r="BC682" s="357" t="str">
        <f t="shared" si="34"/>
        <v/>
      </c>
      <c r="BD682" s="357" t="str">
        <f t="shared" si="35"/>
        <v/>
      </c>
      <c r="BE682" s="357" t="str">
        <f t="shared" si="36"/>
        <v/>
      </c>
      <c r="BF682" s="357" t="str">
        <f t="shared" si="37"/>
        <v/>
      </c>
      <c r="BG682" s="357" t="str">
        <f t="shared" si="38"/>
        <v/>
      </c>
      <c r="BH682" s="357" t="str">
        <f t="shared" si="39"/>
        <v/>
      </c>
      <c r="BI682" s="357" t="str">
        <f t="shared" si="40"/>
        <v/>
      </c>
      <c r="BJ682" s="357" t="str">
        <f t="shared" si="41"/>
        <v/>
      </c>
      <c r="BK682" s="357" t="str">
        <f t="shared" si="42"/>
        <v/>
      </c>
      <c r="BL682" s="357" t="str">
        <f t="shared" si="43"/>
        <v/>
      </c>
      <c r="BM682" s="357" t="str">
        <f t="shared" si="44"/>
        <v/>
      </c>
      <c r="BN682" s="357" t="str">
        <f t="shared" si="45"/>
        <v/>
      </c>
      <c r="BO682" s="357" t="str">
        <f t="shared" si="46"/>
        <v/>
      </c>
      <c r="BP682" s="357" t="str">
        <f t="shared" si="47"/>
        <v/>
      </c>
      <c r="BQ682" s="357" t="str">
        <f t="shared" si="48"/>
        <v/>
      </c>
      <c r="BR682" s="357" t="str">
        <f t="shared" si="49"/>
        <v/>
      </c>
      <c r="BS682" s="357" t="str">
        <f t="shared" si="50"/>
        <v/>
      </c>
      <c r="BT682" s="357" t="str">
        <f t="shared" si="51"/>
        <v/>
      </c>
      <c r="BU682" s="357" t="str">
        <f t="shared" si="52"/>
        <v/>
      </c>
      <c r="BV682" s="357" t="str">
        <f t="shared" si="53"/>
        <v/>
      </c>
      <c r="BW682" s="357" t="str">
        <f t="shared" si="54"/>
        <v/>
      </c>
      <c r="BX682" s="357" t="str">
        <f t="shared" si="55"/>
        <v/>
      </c>
      <c r="BY682" s="357" t="str">
        <f t="shared" si="56"/>
        <v/>
      </c>
      <c r="BZ682" s="357" t="str">
        <f t="shared" si="57"/>
        <v/>
      </c>
      <c r="CA682" s="357" t="str">
        <f t="shared" si="58"/>
        <v/>
      </c>
      <c r="CB682" s="357" t="str">
        <f t="shared" si="59"/>
        <v/>
      </c>
      <c r="CC682" s="357" t="str">
        <f t="shared" si="60"/>
        <v/>
      </c>
      <c r="CD682" s="357" t="str">
        <f t="shared" si="61"/>
        <v/>
      </c>
      <c r="CE682" s="357" t="str">
        <f t="shared" si="62"/>
        <v/>
      </c>
      <c r="CF682" s="357" t="str">
        <f t="shared" si="63"/>
        <v/>
      </c>
      <c r="CG682" s="357" t="str">
        <f t="shared" si="64"/>
        <v/>
      </c>
      <c r="CH682" s="357" t="str">
        <f t="shared" si="65"/>
        <v/>
      </c>
      <c r="CI682" s="357" t="str">
        <f t="shared" si="66"/>
        <v/>
      </c>
      <c r="CJ682" s="357" t="str">
        <f t="shared" si="67"/>
        <v/>
      </c>
      <c r="CK682" s="357" t="str">
        <f t="shared" si="68"/>
        <v/>
      </c>
      <c r="CL682" s="357" t="str">
        <f t="shared" si="69"/>
        <v/>
      </c>
      <c r="CM682" s="357" t="str">
        <f t="shared" si="70"/>
        <v/>
      </c>
      <c r="CN682" s="357" t="str">
        <f t="shared" si="71"/>
        <v/>
      </c>
      <c r="CO682" s="357" t="str">
        <f t="shared" si="72"/>
        <v/>
      </c>
      <c r="CP682" s="357" t="str">
        <f t="shared" si="73"/>
        <v/>
      </c>
      <c r="CQ682" s="357" t="str">
        <f t="shared" si="74"/>
        <v/>
      </c>
      <c r="CR682" s="357" t="str">
        <f t="shared" si="75"/>
        <v/>
      </c>
      <c r="CS682" s="357" t="str">
        <f t="shared" si="76"/>
        <v/>
      </c>
      <c r="CT682" s="357" t="str">
        <f t="shared" si="77"/>
        <v/>
      </c>
      <c r="CU682" s="357" t="str">
        <f t="shared" si="78"/>
        <v/>
      </c>
      <c r="CV682" s="357" t="str">
        <f t="shared" si="79"/>
        <v/>
      </c>
      <c r="CW682" s="357" t="str">
        <f t="shared" si="80"/>
        <v/>
      </c>
      <c r="CX682" s="357" t="str">
        <f t="shared" si="81"/>
        <v/>
      </c>
      <c r="CY682" s="357" t="str">
        <f t="shared" si="82"/>
        <v/>
      </c>
      <c r="CZ682" s="357" t="str">
        <f t="shared" si="83"/>
        <v/>
      </c>
      <c r="DA682" s="357" t="str">
        <f t="shared" si="84"/>
        <v/>
      </c>
      <c r="DB682" s="357" t="str">
        <f t="shared" si="85"/>
        <v/>
      </c>
      <c r="DC682" s="357" t="str">
        <f t="shared" si="86"/>
        <v/>
      </c>
      <c r="DD682" s="357" t="str">
        <f t="shared" si="87"/>
        <v/>
      </c>
      <c r="DE682" s="357" t="str">
        <f t="shared" si="88"/>
        <v/>
      </c>
      <c r="DF682" s="357" t="str">
        <f t="shared" si="89"/>
        <v/>
      </c>
      <c r="DG682" s="357" t="str">
        <f t="shared" si="90"/>
        <v/>
      </c>
      <c r="DH682" s="357" t="str">
        <f t="shared" si="91"/>
        <v/>
      </c>
      <c r="DI682" s="357" t="str">
        <f t="shared" si="92"/>
        <v/>
      </c>
      <c r="DJ682" s="357" t="str">
        <f t="shared" si="93"/>
        <v/>
      </c>
      <c r="DK682" s="357" t="str">
        <f t="shared" si="94"/>
        <v/>
      </c>
      <c r="DL682" s="357" t="str">
        <f t="shared" si="95"/>
        <v/>
      </c>
      <c r="DM682" s="357" t="str">
        <f t="shared" si="96"/>
        <v/>
      </c>
      <c r="DN682" s="357" t="str">
        <f t="shared" si="97"/>
        <v/>
      </c>
      <c r="DO682" s="357" t="str">
        <f t="shared" si="98"/>
        <v/>
      </c>
      <c r="DP682" s="357" t="str">
        <f t="shared" si="99"/>
        <v/>
      </c>
      <c r="DQ682" s="357" t="str">
        <f t="shared" si="100"/>
        <v/>
      </c>
      <c r="DR682" s="357" t="str">
        <f t="shared" si="101"/>
        <v/>
      </c>
      <c r="DS682" s="357" t="str">
        <f t="shared" si="102"/>
        <v/>
      </c>
      <c r="DT682" s="357" t="str">
        <f t="shared" si="103"/>
        <v/>
      </c>
      <c r="DU682" s="357" t="str">
        <f t="shared" si="104"/>
        <v/>
      </c>
      <c r="DV682" s="357" t="str">
        <f t="shared" si="105"/>
        <v/>
      </c>
      <c r="DW682" s="357" t="str">
        <f t="shared" si="106"/>
        <v/>
      </c>
      <c r="DX682" s="357" t="str">
        <f t="shared" si="107"/>
        <v/>
      </c>
      <c r="DY682" s="357" t="str">
        <f t="shared" si="108"/>
        <v/>
      </c>
      <c r="DZ682" s="357" t="str">
        <f t="shared" si="109"/>
        <v/>
      </c>
      <c r="EA682" s="357" t="str">
        <f t="shared" si="110"/>
        <v/>
      </c>
      <c r="EB682" s="357" t="str">
        <f t="shared" si="111"/>
        <v/>
      </c>
      <c r="EC682" s="357" t="str">
        <f t="shared" si="112"/>
        <v/>
      </c>
      <c r="ED682" s="357" t="str">
        <f t="shared" si="113"/>
        <v/>
      </c>
      <c r="EE682" s="357" t="str">
        <f t="shared" si="114"/>
        <v/>
      </c>
      <c r="EF682" s="357" t="str">
        <f t="shared" si="115"/>
        <v/>
      </c>
      <c r="EG682" s="357" t="str">
        <f t="shared" si="116"/>
        <v/>
      </c>
      <c r="EH682" s="357" t="str">
        <f t="shared" si="117"/>
        <v/>
      </c>
      <c r="EI682" s="357" t="str">
        <f t="shared" si="118"/>
        <v/>
      </c>
      <c r="EJ682" s="357" t="str">
        <f t="shared" si="119"/>
        <v/>
      </c>
      <c r="EK682" s="357" t="str">
        <f t="shared" si="120"/>
        <v/>
      </c>
      <c r="EL682" s="357" t="str">
        <f t="shared" si="121"/>
        <v/>
      </c>
      <c r="EM682" s="357" t="str">
        <f t="shared" si="122"/>
        <v/>
      </c>
      <c r="EN682" s="357" t="str">
        <f t="shared" si="123"/>
        <v/>
      </c>
      <c r="EO682" s="357" t="str">
        <f t="shared" si="124"/>
        <v/>
      </c>
      <c r="EP682" s="357" t="str">
        <f t="shared" si="125"/>
        <v/>
      </c>
      <c r="EQ682" s="357" t="str">
        <f t="shared" si="126"/>
        <v/>
      </c>
      <c r="ER682" s="357" t="str">
        <f t="shared" si="127"/>
        <v/>
      </c>
      <c r="ES682" s="357" t="str">
        <f t="shared" si="128"/>
        <v/>
      </c>
      <c r="ET682" s="357" t="str">
        <f t="shared" si="129"/>
        <v/>
      </c>
      <c r="EU682" s="357" t="str">
        <f t="shared" si="130"/>
        <v/>
      </c>
      <c r="EV682" s="357" t="str">
        <f t="shared" si="131"/>
        <v/>
      </c>
      <c r="EW682" s="357" t="str">
        <f t="shared" si="132"/>
        <v/>
      </c>
      <c r="EX682" s="357" t="str">
        <f t="shared" si="133"/>
        <v/>
      </c>
      <c r="EY682" s="357" t="str">
        <f t="shared" si="134"/>
        <v/>
      </c>
      <c r="EZ682" s="357" t="str">
        <f t="shared" si="135"/>
        <v/>
      </c>
      <c r="FA682" s="357" t="str">
        <f t="shared" si="136"/>
        <v/>
      </c>
      <c r="FB682" s="357" t="str">
        <f t="shared" si="137"/>
        <v/>
      </c>
      <c r="FC682" s="357" t="str">
        <f t="shared" si="138"/>
        <v/>
      </c>
      <c r="FD682" s="357" t="str">
        <f t="shared" si="139"/>
        <v/>
      </c>
      <c r="FE682" s="357" t="str">
        <f t="shared" si="140"/>
        <v/>
      </c>
      <c r="FF682" s="357" t="str">
        <f t="shared" si="141"/>
        <v/>
      </c>
      <c r="FG682" s="357" t="str">
        <f t="shared" si="142"/>
        <v/>
      </c>
      <c r="FH682" s="357" t="str">
        <f t="shared" si="143"/>
        <v/>
      </c>
      <c r="FI682" s="357" t="str">
        <f t="shared" si="144"/>
        <v/>
      </c>
      <c r="FJ682" s="357" t="str">
        <f t="shared" si="145"/>
        <v/>
      </c>
      <c r="FK682" s="357" t="str">
        <f t="shared" si="146"/>
        <v/>
      </c>
      <c r="FL682" s="357" t="str">
        <f t="shared" si="147"/>
        <v/>
      </c>
      <c r="FM682" s="357" t="str">
        <f t="shared" si="148"/>
        <v/>
      </c>
      <c r="FN682" s="357" t="str">
        <f t="shared" si="149"/>
        <v/>
      </c>
      <c r="FO682" s="357" t="str">
        <f t="shared" si="150"/>
        <v/>
      </c>
      <c r="FP682" s="357" t="str">
        <f t="shared" si="151"/>
        <v/>
      </c>
      <c r="FQ682" s="357" t="str">
        <f t="shared" si="152"/>
        <v/>
      </c>
      <c r="FR682" s="357" t="str">
        <f t="shared" si="153"/>
        <v/>
      </c>
      <c r="FS682" s="357" t="str">
        <f t="shared" si="154"/>
        <v/>
      </c>
      <c r="FT682" s="357" t="str">
        <f t="shared" si="155"/>
        <v/>
      </c>
      <c r="FU682" s="357" t="str">
        <f t="shared" si="156"/>
        <v/>
      </c>
      <c r="FV682" s="357" t="str">
        <f t="shared" si="157"/>
        <v/>
      </c>
      <c r="FW682" s="357" t="str">
        <f t="shared" si="158"/>
        <v/>
      </c>
      <c r="FX682" s="357" t="str">
        <f t="shared" si="159"/>
        <v/>
      </c>
      <c r="FY682" s="357" t="str">
        <f t="shared" si="160"/>
        <v/>
      </c>
      <c r="FZ682" s="357" t="str">
        <f t="shared" si="161"/>
        <v/>
      </c>
      <c r="GA682" s="357" t="str">
        <f t="shared" si="162"/>
        <v/>
      </c>
      <c r="GB682" s="357" t="str">
        <f t="shared" si="163"/>
        <v/>
      </c>
      <c r="GC682" s="357" t="str">
        <f t="shared" si="164"/>
        <v/>
      </c>
      <c r="GD682" s="357" t="str">
        <f t="shared" si="165"/>
        <v/>
      </c>
      <c r="GE682" s="357" t="str">
        <f t="shared" si="166"/>
        <v/>
      </c>
      <c r="GF682" s="357" t="str">
        <f t="shared" si="167"/>
        <v/>
      </c>
      <c r="GG682" s="357" t="str">
        <f t="shared" si="168"/>
        <v/>
      </c>
      <c r="GH682" s="357" t="str">
        <f t="shared" si="169"/>
        <v/>
      </c>
      <c r="GI682" s="357" t="str">
        <f t="shared" si="170"/>
        <v/>
      </c>
      <c r="GJ682" s="357" t="str">
        <f t="shared" si="171"/>
        <v/>
      </c>
      <c r="GK682" s="357" t="str">
        <f t="shared" si="172"/>
        <v/>
      </c>
      <c r="GL682" s="357" t="str">
        <f t="shared" si="173"/>
        <v/>
      </c>
      <c r="GM682" s="357" t="str">
        <f t="shared" si="174"/>
        <v/>
      </c>
      <c r="GN682" s="357" t="str">
        <f t="shared" si="175"/>
        <v/>
      </c>
      <c r="GO682" s="357" t="str">
        <f t="shared" si="176"/>
        <v/>
      </c>
      <c r="GP682" s="357" t="str">
        <f t="shared" si="177"/>
        <v/>
      </c>
      <c r="GQ682" s="357" t="str">
        <f t="shared" si="178"/>
        <v/>
      </c>
      <c r="GR682" s="357" t="str">
        <f t="shared" si="179"/>
        <v/>
      </c>
      <c r="GS682" s="357" t="str">
        <f t="shared" si="180"/>
        <v/>
      </c>
      <c r="GT682" s="357" t="str">
        <f t="shared" si="181"/>
        <v/>
      </c>
      <c r="GU682" s="357" t="str">
        <f t="shared" si="182"/>
        <v/>
      </c>
      <c r="GV682" s="357" t="str">
        <f t="shared" si="183"/>
        <v/>
      </c>
      <c r="GW682" s="357" t="str">
        <f t="shared" si="184"/>
        <v/>
      </c>
      <c r="GX682" s="357" t="str">
        <f t="shared" si="185"/>
        <v/>
      </c>
      <c r="GY682" s="357" t="str">
        <f t="shared" si="186"/>
        <v/>
      </c>
      <c r="GZ682" s="357" t="str">
        <f t="shared" si="187"/>
        <v/>
      </c>
      <c r="HA682" s="357" t="str">
        <f t="shared" si="188"/>
        <v/>
      </c>
      <c r="HB682" s="357" t="str">
        <f t="shared" si="189"/>
        <v/>
      </c>
      <c r="HC682" s="357" t="str">
        <f t="shared" si="190"/>
        <v/>
      </c>
      <c r="HD682" s="357" t="str">
        <f t="shared" si="191"/>
        <v/>
      </c>
      <c r="HE682" s="357" t="str">
        <f t="shared" si="192"/>
        <v/>
      </c>
      <c r="HF682" s="357" t="str">
        <f t="shared" si="193"/>
        <v/>
      </c>
      <c r="HG682" s="357" t="str">
        <f t="shared" si="194"/>
        <v/>
      </c>
      <c r="HH682" s="357" t="str">
        <f t="shared" si="195"/>
        <v/>
      </c>
      <c r="HI682" s="357" t="str">
        <f t="shared" si="196"/>
        <v/>
      </c>
      <c r="HJ682" s="357" t="str">
        <f t="shared" si="197"/>
        <v/>
      </c>
      <c r="HK682" s="357" t="str">
        <f t="shared" si="198"/>
        <v/>
      </c>
      <c r="HL682" s="357" t="str">
        <f t="shared" si="199"/>
        <v/>
      </c>
      <c r="HM682" s="357" t="str">
        <f t="shared" si="200"/>
        <v/>
      </c>
      <c r="HN682" s="357" t="str">
        <f t="shared" si="201"/>
        <v/>
      </c>
      <c r="HO682" s="357" t="str">
        <f t="shared" si="202"/>
        <v/>
      </c>
      <c r="HP682" s="357" t="str">
        <f t="shared" si="203"/>
        <v/>
      </c>
      <c r="HQ682" s="357" t="str">
        <f t="shared" si="204"/>
        <v/>
      </c>
      <c r="HR682" s="357" t="str">
        <f t="shared" si="205"/>
        <v/>
      </c>
      <c r="HS682" s="357" t="str">
        <f t="shared" si="206"/>
        <v/>
      </c>
      <c r="HT682" s="357" t="str">
        <f t="shared" si="207"/>
        <v/>
      </c>
      <c r="HU682" s="357" t="str">
        <f t="shared" si="208"/>
        <v/>
      </c>
      <c r="HV682" s="357" t="str">
        <f t="shared" si="209"/>
        <v/>
      </c>
      <c r="HW682" s="357" t="str">
        <f t="shared" si="210"/>
        <v/>
      </c>
      <c r="HX682" s="357" t="str">
        <f t="shared" si="211"/>
        <v/>
      </c>
      <c r="HY682" s="357" t="str">
        <f t="shared" si="212"/>
        <v/>
      </c>
      <c r="HZ682" s="1903" t="str">
        <f t="shared" si="213"/>
        <v/>
      </c>
      <c r="IA682" s="1903" t="str">
        <f t="shared" si="214"/>
        <v/>
      </c>
      <c r="IB682" s="1903" t="str">
        <f t="shared" si="215"/>
        <v/>
      </c>
      <c r="IC682" s="1903" t="str">
        <f t="shared" si="216"/>
        <v/>
      </c>
      <c r="ID682" s="1903" t="str">
        <f t="shared" si="217"/>
        <v/>
      </c>
      <c r="IE682" s="1903" t="str">
        <f t="shared" si="218"/>
        <v/>
      </c>
      <c r="IF682" s="1903" t="str">
        <f t="shared" si="219"/>
        <v/>
      </c>
      <c r="IG682" s="1903" t="str">
        <f t="shared" si="220"/>
        <v/>
      </c>
      <c r="IH682" s="1903" t="str">
        <f t="shared" si="221"/>
        <v/>
      </c>
      <c r="II682" s="1903" t="str">
        <f t="shared" si="222"/>
        <v/>
      </c>
      <c r="IJ682" s="1903" t="str">
        <f t="shared" si="223"/>
        <v/>
      </c>
      <c r="IK682" s="1903" t="str">
        <f t="shared" si="224"/>
        <v/>
      </c>
      <c r="IL682" s="1903" t="str">
        <f t="shared" si="225"/>
        <v/>
      </c>
      <c r="IM682" s="1903" t="str">
        <f t="shared" si="226"/>
        <v/>
      </c>
      <c r="IN682" s="1903" t="str">
        <f t="shared" si="227"/>
        <v/>
      </c>
      <c r="IO682" s="1903" t="str">
        <f t="shared" si="228"/>
        <v/>
      </c>
      <c r="IP682" s="1903" t="str">
        <f t="shared" si="229"/>
        <v/>
      </c>
      <c r="IQ682" s="1903" t="str">
        <f t="shared" si="230"/>
        <v/>
      </c>
      <c r="IR682" s="1903" t="str">
        <f t="shared" si="231"/>
        <v/>
      </c>
      <c r="IS682" s="1903" t="str">
        <f t="shared" si="232"/>
        <v/>
      </c>
      <c r="IT682" s="1903" t="str">
        <f t="shared" si="233"/>
        <v/>
      </c>
      <c r="IU682" s="1903" t="str">
        <f t="shared" si="234"/>
        <v/>
      </c>
      <c r="IV682" s="1903" t="str">
        <f t="shared" si="235"/>
        <v/>
      </c>
      <c r="IW682" s="1903" t="str">
        <f t="shared" si="236"/>
        <v/>
      </c>
      <c r="IX682" s="1903" t="str">
        <f t="shared" si="237"/>
        <v/>
      </c>
      <c r="IY682" s="1903" t="str">
        <f t="shared" si="238"/>
        <v/>
      </c>
      <c r="IZ682" s="1903" t="str">
        <f t="shared" si="239"/>
        <v/>
      </c>
      <c r="JA682" s="1903" t="str">
        <f t="shared" si="240"/>
        <v/>
      </c>
      <c r="JB682" s="1903" t="str">
        <f t="shared" si="241"/>
        <v/>
      </c>
      <c r="JC682" s="1903" t="str">
        <f t="shared" si="242"/>
        <v/>
      </c>
      <c r="JD682" s="1903" t="str">
        <f t="shared" si="243"/>
        <v/>
      </c>
      <c r="JE682" s="1903" t="str">
        <f t="shared" si="244"/>
        <v/>
      </c>
      <c r="JF682" s="1903" t="str">
        <f t="shared" si="245"/>
        <v/>
      </c>
      <c r="JG682" s="1903" t="str">
        <f t="shared" si="246"/>
        <v/>
      </c>
      <c r="JH682" s="1903" t="str">
        <f t="shared" si="247"/>
        <v/>
      </c>
      <c r="JI682" s="1903" t="str">
        <f t="shared" si="248"/>
        <v/>
      </c>
      <c r="JJ682" s="1903" t="str">
        <f t="shared" si="249"/>
        <v/>
      </c>
      <c r="JK682" s="1903" t="str">
        <f t="shared" si="250"/>
        <v/>
      </c>
      <c r="JL682" s="1903" t="str">
        <f t="shared" si="251"/>
        <v/>
      </c>
      <c r="JM682" s="1903" t="str">
        <f t="shared" si="252"/>
        <v/>
      </c>
      <c r="JN682" s="1903" t="str">
        <f t="shared" si="253"/>
        <v/>
      </c>
      <c r="JO682" s="1903" t="str">
        <f t="shared" si="254"/>
        <v/>
      </c>
      <c r="JP682" s="1903" t="str">
        <f t="shared" si="255"/>
        <v/>
      </c>
      <c r="JQ682" s="1903" t="str">
        <f t="shared" si="256"/>
        <v/>
      </c>
      <c r="JR682" s="1903" t="str">
        <f t="shared" si="257"/>
        <v/>
      </c>
      <c r="JS682" s="1903" t="str">
        <f t="shared" si="258"/>
        <v/>
      </c>
      <c r="JT682" s="1903" t="str">
        <f t="shared" si="259"/>
        <v/>
      </c>
      <c r="JU682" s="1903" t="str">
        <f t="shared" si="260"/>
        <v/>
      </c>
      <c r="JV682" s="1903" t="str">
        <f t="shared" si="261"/>
        <v/>
      </c>
      <c r="JW682" s="1903" t="str">
        <f t="shared" si="262"/>
        <v/>
      </c>
      <c r="JX682" s="1903" t="str">
        <f t="shared" si="263"/>
        <v/>
      </c>
      <c r="JY682" s="1903" t="str">
        <f t="shared" si="264"/>
        <v/>
      </c>
      <c r="JZ682" s="1903" t="str">
        <f t="shared" si="265"/>
        <v/>
      </c>
      <c r="KA682" s="1903" t="str">
        <f t="shared" si="266"/>
        <v/>
      </c>
      <c r="KB682" s="1903" t="str">
        <f t="shared" si="267"/>
        <v/>
      </c>
      <c r="KC682" s="1903" t="str">
        <f t="shared" si="268"/>
        <v/>
      </c>
      <c r="KD682" s="1903" t="str">
        <f t="shared" si="269"/>
        <v/>
      </c>
      <c r="KE682" s="1903" t="str">
        <f t="shared" si="270"/>
        <v/>
      </c>
      <c r="KF682" s="1903" t="str">
        <f t="shared" si="271"/>
        <v/>
      </c>
      <c r="KG682" s="1903" t="str">
        <f t="shared" si="272"/>
        <v/>
      </c>
      <c r="KH682" s="1903" t="str">
        <f t="shared" si="273"/>
        <v/>
      </c>
      <c r="KI682" s="1903" t="str">
        <f t="shared" si="274"/>
        <v/>
      </c>
      <c r="KJ682" s="1903" t="str">
        <f t="shared" si="275"/>
        <v/>
      </c>
      <c r="KK682" s="1903" t="str">
        <f t="shared" si="276"/>
        <v/>
      </c>
      <c r="KL682" s="1903" t="str">
        <f t="shared" si="277"/>
        <v/>
      </c>
      <c r="KM682" s="1903" t="str">
        <f t="shared" si="278"/>
        <v/>
      </c>
      <c r="KN682" s="1903" t="str">
        <f t="shared" si="279"/>
        <v/>
      </c>
      <c r="KO682" s="1903" t="str">
        <f t="shared" si="280"/>
        <v/>
      </c>
      <c r="KP682" s="1903" t="str">
        <f t="shared" si="281"/>
        <v/>
      </c>
      <c r="KQ682" s="1903" t="str">
        <f t="shared" si="282"/>
        <v/>
      </c>
      <c r="KR682" s="1903" t="str">
        <f t="shared" si="283"/>
        <v/>
      </c>
      <c r="KS682" s="1903" t="str">
        <f t="shared" si="284"/>
        <v/>
      </c>
      <c r="KT682" s="1903" t="str">
        <f t="shared" si="285"/>
        <v/>
      </c>
      <c r="KU682" s="1903" t="str">
        <f t="shared" si="286"/>
        <v/>
      </c>
      <c r="KV682" s="1903" t="str">
        <f t="shared" si="287"/>
        <v/>
      </c>
      <c r="KW682" s="1903" t="str">
        <f t="shared" si="288"/>
        <v/>
      </c>
      <c r="KX682" s="1903" t="str">
        <f t="shared" si="289"/>
        <v/>
      </c>
      <c r="KY682" s="1903" t="str">
        <f t="shared" si="290"/>
        <v/>
      </c>
      <c r="KZ682" s="1903" t="str">
        <f t="shared" si="291"/>
        <v/>
      </c>
      <c r="LA682" s="1903" t="str">
        <f t="shared" si="292"/>
        <v/>
      </c>
      <c r="LB682" s="1903" t="str">
        <f t="shared" si="293"/>
        <v/>
      </c>
      <c r="LC682" s="1903" t="str">
        <f t="shared" si="294"/>
        <v/>
      </c>
      <c r="LD682" s="1903" t="str">
        <f t="shared" si="295"/>
        <v/>
      </c>
      <c r="LE682" s="1903" t="str">
        <f t="shared" si="296"/>
        <v/>
      </c>
      <c r="LF682" s="1903" t="str">
        <f t="shared" si="297"/>
        <v/>
      </c>
      <c r="LG682" s="1750" t="str">
        <f t="shared" si="298"/>
        <v/>
      </c>
      <c r="LH682" s="1750" t="str">
        <f t="shared" si="299"/>
        <v/>
      </c>
      <c r="LI682" s="1750" t="str">
        <f t="shared" si="300"/>
        <v/>
      </c>
      <c r="LJ682" s="1750" t="str">
        <f t="shared" si="301"/>
        <v/>
      </c>
      <c r="LK682" s="1750" t="str">
        <f t="shared" si="302"/>
        <v/>
      </c>
      <c r="LL682" s="357" t="str">
        <f t="shared" si="303"/>
        <v/>
      </c>
      <c r="LM682" s="357" t="str">
        <f t="shared" si="304"/>
        <v/>
      </c>
      <c r="LN682" s="357" t="str">
        <f t="shared" si="305"/>
        <v/>
      </c>
      <c r="LO682" s="357" t="str">
        <f t="shared" si="306"/>
        <v/>
      </c>
      <c r="LP682" s="357" t="str">
        <f t="shared" si="307"/>
        <v/>
      </c>
      <c r="LQ682" s="357" t="str">
        <f t="shared" si="308"/>
        <v/>
      </c>
      <c r="LR682" s="357" t="str">
        <f t="shared" si="309"/>
        <v/>
      </c>
      <c r="LS682" s="357" t="str">
        <f t="shared" si="310"/>
        <v/>
      </c>
      <c r="LT682" s="357" t="str">
        <f t="shared" si="311"/>
        <v/>
      </c>
      <c r="LU682" s="357" t="str">
        <f t="shared" si="312"/>
        <v/>
      </c>
      <c r="LV682" s="357" t="str">
        <f t="shared" si="313"/>
        <v/>
      </c>
      <c r="LW682" s="357" t="str">
        <f t="shared" si="314"/>
        <v/>
      </c>
      <c r="LX682" s="357" t="str">
        <f t="shared" si="315"/>
        <v/>
      </c>
      <c r="LY682" s="357" t="str">
        <f t="shared" si="316"/>
        <v/>
      </c>
      <c r="LZ682" s="357" t="str">
        <f t="shared" si="317"/>
        <v/>
      </c>
      <c r="MA682" s="357" t="str">
        <f t="shared" si="318"/>
        <v/>
      </c>
      <c r="MB682" s="357" t="str">
        <f t="shared" si="319"/>
        <v/>
      </c>
      <c r="MC682" s="357" t="str">
        <f t="shared" si="320"/>
        <v/>
      </c>
      <c r="MD682" s="357" t="str">
        <f t="shared" si="321"/>
        <v/>
      </c>
      <c r="ME682" s="357" t="str">
        <f t="shared" si="322"/>
        <v/>
      </c>
      <c r="MF682" s="1750">
        <f t="shared" si="323"/>
        <v>0</v>
      </c>
      <c r="MG682" s="1750">
        <f t="shared" si="324"/>
        <v>0</v>
      </c>
      <c r="MH682" s="1750">
        <f t="shared" si="325"/>
        <v>0</v>
      </c>
      <c r="MI682" s="1750">
        <f t="shared" si="326"/>
        <v>0</v>
      </c>
      <c r="MJ682" s="1750">
        <f t="shared" si="327"/>
        <v>0</v>
      </c>
      <c r="MK682" s="1750">
        <f t="shared" si="333"/>
        <v>0</v>
      </c>
      <c r="ML682" s="1750">
        <f t="shared" si="334"/>
        <v>0</v>
      </c>
      <c r="MM682" s="1750">
        <f t="shared" si="335"/>
        <v>0</v>
      </c>
      <c r="MN682" s="1750">
        <f t="shared" si="336"/>
        <v>0</v>
      </c>
      <c r="MO682" s="1750">
        <f t="shared" si="337"/>
        <v>0</v>
      </c>
      <c r="MP682" s="1750">
        <f t="shared" si="328"/>
        <v>0</v>
      </c>
      <c r="MQ682" s="1750">
        <f t="shared" si="329"/>
        <v>0</v>
      </c>
      <c r="MR682" s="1750">
        <f t="shared" si="330"/>
        <v>0</v>
      </c>
      <c r="MS682" s="1750">
        <f t="shared" si="331"/>
        <v>0</v>
      </c>
      <c r="MT682" s="1750">
        <f t="shared" si="332"/>
        <v>0</v>
      </c>
      <c r="NP682" s="357" t="s">
        <v>6447</v>
      </c>
    </row>
    <row r="683" spans="1:380" ht="13.9" customHeight="1">
      <c r="A683" s="1901" t="str">
        <f t="shared" si="0"/>
        <v/>
      </c>
      <c r="B683" s="2238">
        <f>'Part V-Revenues &amp; Expenses'!B45</f>
        <v>0</v>
      </c>
      <c r="C683" s="2229">
        <f>'Part V-Revenues &amp; Expenses'!C45</f>
        <v>0</v>
      </c>
      <c r="D683" s="2230">
        <f>'Part V-Revenues &amp; Expenses'!D45</f>
        <v>0</v>
      </c>
      <c r="E683" s="2231">
        <f>'Part V-Revenues &amp; Expenses'!E45</f>
        <v>0</v>
      </c>
      <c r="F683" s="2231">
        <f>'Part V-Revenues &amp; Expenses'!F45</f>
        <v>0</v>
      </c>
      <c r="G683" s="2231">
        <f>'Part V-Revenues &amp; Expenses'!G45</f>
        <v>0</v>
      </c>
      <c r="H683" s="2231">
        <f>'Part V-Revenues &amp; Expenses'!H45</f>
        <v>0</v>
      </c>
      <c r="I683" s="2231">
        <f>'Part V-Revenues &amp; Expenses'!I45</f>
        <v>0</v>
      </c>
      <c r="J683" s="2231">
        <f>'Part V-Revenues &amp; Expenses'!J45</f>
        <v>0</v>
      </c>
      <c r="K683" s="2232">
        <f>'Part V-Revenues &amp; Expenses'!K45</f>
        <v>0</v>
      </c>
      <c r="L683" s="2233">
        <f t="shared" si="340"/>
        <v>0</v>
      </c>
      <c r="M683" s="2233">
        <f t="shared" si="341"/>
        <v>0</v>
      </c>
      <c r="N683" s="2094">
        <f>'Part V-Revenues &amp; Expenses'!N45</f>
        <v>0</v>
      </c>
      <c r="O683" s="2234">
        <f>'Part V-Revenues &amp; Expenses'!O45</f>
        <v>0</v>
      </c>
      <c r="P683" s="2094">
        <f>'Part V-Revenues &amp; Expenses'!P45</f>
        <v>0</v>
      </c>
      <c r="Q683" s="2235">
        <f>'Part V-Revenues &amp; Expenses'!Q45</f>
        <v>0</v>
      </c>
      <c r="R683" s="2236"/>
      <c r="S683" s="2237"/>
      <c r="T683" s="2160"/>
      <c r="U683" s="2160"/>
      <c r="V683" s="2160"/>
      <c r="W683" s="2160"/>
      <c r="X683" s="357" t="str">
        <f t="shared" si="3"/>
        <v/>
      </c>
      <c r="Y683" s="357" t="str">
        <f t="shared" si="4"/>
        <v/>
      </c>
      <c r="Z683" s="357" t="str">
        <f t="shared" si="5"/>
        <v/>
      </c>
      <c r="AA683" s="357" t="str">
        <f t="shared" si="6"/>
        <v/>
      </c>
      <c r="AB683" s="357" t="str">
        <f t="shared" si="7"/>
        <v/>
      </c>
      <c r="AC683" s="357" t="str">
        <f t="shared" si="8"/>
        <v/>
      </c>
      <c r="AD683" s="357" t="str">
        <f t="shared" si="9"/>
        <v/>
      </c>
      <c r="AE683" s="357" t="str">
        <f t="shared" si="10"/>
        <v/>
      </c>
      <c r="AF683" s="357" t="str">
        <f t="shared" si="11"/>
        <v/>
      </c>
      <c r="AG683" s="357" t="str">
        <f t="shared" si="12"/>
        <v/>
      </c>
      <c r="AH683" s="357" t="str">
        <f t="shared" si="13"/>
        <v/>
      </c>
      <c r="AI683" s="357" t="str">
        <f t="shared" si="14"/>
        <v/>
      </c>
      <c r="AJ683" s="357" t="str">
        <f t="shared" si="15"/>
        <v/>
      </c>
      <c r="AK683" s="357" t="str">
        <f t="shared" si="16"/>
        <v/>
      </c>
      <c r="AL683" s="357" t="str">
        <f t="shared" si="17"/>
        <v/>
      </c>
      <c r="AM683" s="357" t="str">
        <f t="shared" si="18"/>
        <v/>
      </c>
      <c r="AN683" s="357" t="str">
        <f t="shared" si="19"/>
        <v/>
      </c>
      <c r="AO683" s="357" t="str">
        <f t="shared" si="20"/>
        <v/>
      </c>
      <c r="AP683" s="357" t="str">
        <f t="shared" si="21"/>
        <v/>
      </c>
      <c r="AQ683" s="357" t="str">
        <f t="shared" si="22"/>
        <v/>
      </c>
      <c r="AR683" s="357" t="str">
        <f t="shared" si="23"/>
        <v/>
      </c>
      <c r="AS683" s="357" t="str">
        <f t="shared" si="24"/>
        <v/>
      </c>
      <c r="AT683" s="357" t="str">
        <f t="shared" si="25"/>
        <v/>
      </c>
      <c r="AU683" s="357" t="str">
        <f t="shared" si="26"/>
        <v/>
      </c>
      <c r="AV683" s="357" t="str">
        <f t="shared" si="27"/>
        <v/>
      </c>
      <c r="AW683" s="357" t="str">
        <f t="shared" si="28"/>
        <v/>
      </c>
      <c r="AX683" s="357" t="str">
        <f t="shared" si="29"/>
        <v/>
      </c>
      <c r="AY683" s="357" t="str">
        <f t="shared" si="30"/>
        <v/>
      </c>
      <c r="AZ683" s="357" t="str">
        <f t="shared" si="31"/>
        <v/>
      </c>
      <c r="BA683" s="357" t="str">
        <f t="shared" si="32"/>
        <v/>
      </c>
      <c r="BB683" s="357" t="str">
        <f t="shared" si="33"/>
        <v/>
      </c>
      <c r="BC683" s="357" t="str">
        <f t="shared" si="34"/>
        <v/>
      </c>
      <c r="BD683" s="357" t="str">
        <f t="shared" si="35"/>
        <v/>
      </c>
      <c r="BE683" s="357" t="str">
        <f t="shared" si="36"/>
        <v/>
      </c>
      <c r="BF683" s="357" t="str">
        <f t="shared" si="37"/>
        <v/>
      </c>
      <c r="BG683" s="357" t="str">
        <f t="shared" si="38"/>
        <v/>
      </c>
      <c r="BH683" s="357" t="str">
        <f t="shared" si="39"/>
        <v/>
      </c>
      <c r="BI683" s="357" t="str">
        <f t="shared" si="40"/>
        <v/>
      </c>
      <c r="BJ683" s="357" t="str">
        <f t="shared" si="41"/>
        <v/>
      </c>
      <c r="BK683" s="357" t="str">
        <f t="shared" si="42"/>
        <v/>
      </c>
      <c r="BL683" s="357" t="str">
        <f t="shared" si="43"/>
        <v/>
      </c>
      <c r="BM683" s="357" t="str">
        <f t="shared" si="44"/>
        <v/>
      </c>
      <c r="BN683" s="357" t="str">
        <f t="shared" si="45"/>
        <v/>
      </c>
      <c r="BO683" s="357" t="str">
        <f t="shared" si="46"/>
        <v/>
      </c>
      <c r="BP683" s="357" t="str">
        <f t="shared" si="47"/>
        <v/>
      </c>
      <c r="BQ683" s="357" t="str">
        <f t="shared" si="48"/>
        <v/>
      </c>
      <c r="BR683" s="357" t="str">
        <f t="shared" si="49"/>
        <v/>
      </c>
      <c r="BS683" s="357" t="str">
        <f t="shared" si="50"/>
        <v/>
      </c>
      <c r="BT683" s="357" t="str">
        <f t="shared" si="51"/>
        <v/>
      </c>
      <c r="BU683" s="357" t="str">
        <f t="shared" si="52"/>
        <v/>
      </c>
      <c r="BV683" s="357" t="str">
        <f t="shared" si="53"/>
        <v/>
      </c>
      <c r="BW683" s="357" t="str">
        <f t="shared" si="54"/>
        <v/>
      </c>
      <c r="BX683" s="357" t="str">
        <f t="shared" si="55"/>
        <v/>
      </c>
      <c r="BY683" s="357" t="str">
        <f t="shared" si="56"/>
        <v/>
      </c>
      <c r="BZ683" s="357" t="str">
        <f t="shared" si="57"/>
        <v/>
      </c>
      <c r="CA683" s="357" t="str">
        <f t="shared" si="58"/>
        <v/>
      </c>
      <c r="CB683" s="357" t="str">
        <f t="shared" si="59"/>
        <v/>
      </c>
      <c r="CC683" s="357" t="str">
        <f t="shared" si="60"/>
        <v/>
      </c>
      <c r="CD683" s="357" t="str">
        <f t="shared" si="61"/>
        <v/>
      </c>
      <c r="CE683" s="357" t="str">
        <f t="shared" si="62"/>
        <v/>
      </c>
      <c r="CF683" s="357" t="str">
        <f t="shared" si="63"/>
        <v/>
      </c>
      <c r="CG683" s="357" t="str">
        <f t="shared" si="64"/>
        <v/>
      </c>
      <c r="CH683" s="357" t="str">
        <f t="shared" si="65"/>
        <v/>
      </c>
      <c r="CI683" s="357" t="str">
        <f t="shared" si="66"/>
        <v/>
      </c>
      <c r="CJ683" s="357" t="str">
        <f t="shared" si="67"/>
        <v/>
      </c>
      <c r="CK683" s="357" t="str">
        <f t="shared" si="68"/>
        <v/>
      </c>
      <c r="CL683" s="357" t="str">
        <f t="shared" si="69"/>
        <v/>
      </c>
      <c r="CM683" s="357" t="str">
        <f t="shared" si="70"/>
        <v/>
      </c>
      <c r="CN683" s="357" t="str">
        <f t="shared" si="71"/>
        <v/>
      </c>
      <c r="CO683" s="357" t="str">
        <f t="shared" si="72"/>
        <v/>
      </c>
      <c r="CP683" s="357" t="str">
        <f t="shared" si="73"/>
        <v/>
      </c>
      <c r="CQ683" s="357" t="str">
        <f t="shared" si="74"/>
        <v/>
      </c>
      <c r="CR683" s="357" t="str">
        <f t="shared" si="75"/>
        <v/>
      </c>
      <c r="CS683" s="357" t="str">
        <f t="shared" si="76"/>
        <v/>
      </c>
      <c r="CT683" s="357" t="str">
        <f t="shared" si="77"/>
        <v/>
      </c>
      <c r="CU683" s="357" t="str">
        <f t="shared" si="78"/>
        <v/>
      </c>
      <c r="CV683" s="357" t="str">
        <f t="shared" si="79"/>
        <v/>
      </c>
      <c r="CW683" s="357" t="str">
        <f t="shared" si="80"/>
        <v/>
      </c>
      <c r="CX683" s="357" t="str">
        <f t="shared" si="81"/>
        <v/>
      </c>
      <c r="CY683" s="357" t="str">
        <f t="shared" si="82"/>
        <v/>
      </c>
      <c r="CZ683" s="357" t="str">
        <f t="shared" si="83"/>
        <v/>
      </c>
      <c r="DA683" s="357" t="str">
        <f t="shared" si="84"/>
        <v/>
      </c>
      <c r="DB683" s="357" t="str">
        <f t="shared" si="85"/>
        <v/>
      </c>
      <c r="DC683" s="357" t="str">
        <f t="shared" si="86"/>
        <v/>
      </c>
      <c r="DD683" s="357" t="str">
        <f t="shared" si="87"/>
        <v/>
      </c>
      <c r="DE683" s="357" t="str">
        <f t="shared" si="88"/>
        <v/>
      </c>
      <c r="DF683" s="357" t="str">
        <f t="shared" si="89"/>
        <v/>
      </c>
      <c r="DG683" s="357" t="str">
        <f t="shared" si="90"/>
        <v/>
      </c>
      <c r="DH683" s="357" t="str">
        <f t="shared" si="91"/>
        <v/>
      </c>
      <c r="DI683" s="357" t="str">
        <f t="shared" si="92"/>
        <v/>
      </c>
      <c r="DJ683" s="357" t="str">
        <f t="shared" si="93"/>
        <v/>
      </c>
      <c r="DK683" s="357" t="str">
        <f t="shared" si="94"/>
        <v/>
      </c>
      <c r="DL683" s="357" t="str">
        <f t="shared" si="95"/>
        <v/>
      </c>
      <c r="DM683" s="357" t="str">
        <f t="shared" si="96"/>
        <v/>
      </c>
      <c r="DN683" s="357" t="str">
        <f t="shared" si="97"/>
        <v/>
      </c>
      <c r="DO683" s="357" t="str">
        <f t="shared" si="98"/>
        <v/>
      </c>
      <c r="DP683" s="357" t="str">
        <f t="shared" si="99"/>
        <v/>
      </c>
      <c r="DQ683" s="357" t="str">
        <f t="shared" si="100"/>
        <v/>
      </c>
      <c r="DR683" s="357" t="str">
        <f t="shared" si="101"/>
        <v/>
      </c>
      <c r="DS683" s="357" t="str">
        <f t="shared" si="102"/>
        <v/>
      </c>
      <c r="DT683" s="357" t="str">
        <f t="shared" si="103"/>
        <v/>
      </c>
      <c r="DU683" s="357" t="str">
        <f t="shared" si="104"/>
        <v/>
      </c>
      <c r="DV683" s="357" t="str">
        <f t="shared" si="105"/>
        <v/>
      </c>
      <c r="DW683" s="357" t="str">
        <f t="shared" si="106"/>
        <v/>
      </c>
      <c r="DX683" s="357" t="str">
        <f t="shared" si="107"/>
        <v/>
      </c>
      <c r="DY683" s="357" t="str">
        <f t="shared" si="108"/>
        <v/>
      </c>
      <c r="DZ683" s="357" t="str">
        <f t="shared" si="109"/>
        <v/>
      </c>
      <c r="EA683" s="357" t="str">
        <f t="shared" si="110"/>
        <v/>
      </c>
      <c r="EB683" s="357" t="str">
        <f t="shared" si="111"/>
        <v/>
      </c>
      <c r="EC683" s="357" t="str">
        <f t="shared" si="112"/>
        <v/>
      </c>
      <c r="ED683" s="357" t="str">
        <f t="shared" si="113"/>
        <v/>
      </c>
      <c r="EE683" s="357" t="str">
        <f t="shared" si="114"/>
        <v/>
      </c>
      <c r="EF683" s="357" t="str">
        <f t="shared" si="115"/>
        <v/>
      </c>
      <c r="EG683" s="357" t="str">
        <f t="shared" si="116"/>
        <v/>
      </c>
      <c r="EH683" s="357" t="str">
        <f t="shared" si="117"/>
        <v/>
      </c>
      <c r="EI683" s="357" t="str">
        <f t="shared" si="118"/>
        <v/>
      </c>
      <c r="EJ683" s="357" t="str">
        <f t="shared" si="119"/>
        <v/>
      </c>
      <c r="EK683" s="357" t="str">
        <f t="shared" si="120"/>
        <v/>
      </c>
      <c r="EL683" s="357" t="str">
        <f t="shared" si="121"/>
        <v/>
      </c>
      <c r="EM683" s="357" t="str">
        <f t="shared" si="122"/>
        <v/>
      </c>
      <c r="EN683" s="357" t="str">
        <f t="shared" si="123"/>
        <v/>
      </c>
      <c r="EO683" s="357" t="str">
        <f t="shared" si="124"/>
        <v/>
      </c>
      <c r="EP683" s="357" t="str">
        <f t="shared" si="125"/>
        <v/>
      </c>
      <c r="EQ683" s="357" t="str">
        <f t="shared" si="126"/>
        <v/>
      </c>
      <c r="ER683" s="357" t="str">
        <f t="shared" si="127"/>
        <v/>
      </c>
      <c r="ES683" s="357" t="str">
        <f t="shared" si="128"/>
        <v/>
      </c>
      <c r="ET683" s="357" t="str">
        <f t="shared" si="129"/>
        <v/>
      </c>
      <c r="EU683" s="357" t="str">
        <f t="shared" si="130"/>
        <v/>
      </c>
      <c r="EV683" s="357" t="str">
        <f t="shared" si="131"/>
        <v/>
      </c>
      <c r="EW683" s="357" t="str">
        <f t="shared" si="132"/>
        <v/>
      </c>
      <c r="EX683" s="357" t="str">
        <f t="shared" si="133"/>
        <v/>
      </c>
      <c r="EY683" s="357" t="str">
        <f t="shared" si="134"/>
        <v/>
      </c>
      <c r="EZ683" s="357" t="str">
        <f t="shared" si="135"/>
        <v/>
      </c>
      <c r="FA683" s="357" t="str">
        <f t="shared" si="136"/>
        <v/>
      </c>
      <c r="FB683" s="357" t="str">
        <f t="shared" si="137"/>
        <v/>
      </c>
      <c r="FC683" s="357" t="str">
        <f t="shared" si="138"/>
        <v/>
      </c>
      <c r="FD683" s="357" t="str">
        <f t="shared" si="139"/>
        <v/>
      </c>
      <c r="FE683" s="357" t="str">
        <f t="shared" si="140"/>
        <v/>
      </c>
      <c r="FF683" s="357" t="str">
        <f t="shared" si="141"/>
        <v/>
      </c>
      <c r="FG683" s="357" t="str">
        <f t="shared" si="142"/>
        <v/>
      </c>
      <c r="FH683" s="357" t="str">
        <f t="shared" si="143"/>
        <v/>
      </c>
      <c r="FI683" s="357" t="str">
        <f t="shared" si="144"/>
        <v/>
      </c>
      <c r="FJ683" s="357" t="str">
        <f t="shared" si="145"/>
        <v/>
      </c>
      <c r="FK683" s="357" t="str">
        <f t="shared" si="146"/>
        <v/>
      </c>
      <c r="FL683" s="357" t="str">
        <f t="shared" si="147"/>
        <v/>
      </c>
      <c r="FM683" s="357" t="str">
        <f t="shared" si="148"/>
        <v/>
      </c>
      <c r="FN683" s="357" t="str">
        <f t="shared" si="149"/>
        <v/>
      </c>
      <c r="FO683" s="357" t="str">
        <f t="shared" si="150"/>
        <v/>
      </c>
      <c r="FP683" s="357" t="str">
        <f t="shared" si="151"/>
        <v/>
      </c>
      <c r="FQ683" s="357" t="str">
        <f t="shared" si="152"/>
        <v/>
      </c>
      <c r="FR683" s="357" t="str">
        <f t="shared" si="153"/>
        <v/>
      </c>
      <c r="FS683" s="357" t="str">
        <f t="shared" si="154"/>
        <v/>
      </c>
      <c r="FT683" s="357" t="str">
        <f t="shared" si="155"/>
        <v/>
      </c>
      <c r="FU683" s="357" t="str">
        <f t="shared" si="156"/>
        <v/>
      </c>
      <c r="FV683" s="357" t="str">
        <f t="shared" si="157"/>
        <v/>
      </c>
      <c r="FW683" s="357" t="str">
        <f t="shared" si="158"/>
        <v/>
      </c>
      <c r="FX683" s="357" t="str">
        <f t="shared" si="159"/>
        <v/>
      </c>
      <c r="FY683" s="357" t="str">
        <f t="shared" si="160"/>
        <v/>
      </c>
      <c r="FZ683" s="357" t="str">
        <f t="shared" si="161"/>
        <v/>
      </c>
      <c r="GA683" s="357" t="str">
        <f t="shared" si="162"/>
        <v/>
      </c>
      <c r="GB683" s="357" t="str">
        <f t="shared" si="163"/>
        <v/>
      </c>
      <c r="GC683" s="357" t="str">
        <f t="shared" si="164"/>
        <v/>
      </c>
      <c r="GD683" s="357" t="str">
        <f t="shared" si="165"/>
        <v/>
      </c>
      <c r="GE683" s="357" t="str">
        <f t="shared" si="166"/>
        <v/>
      </c>
      <c r="GF683" s="357" t="str">
        <f t="shared" si="167"/>
        <v/>
      </c>
      <c r="GG683" s="357" t="str">
        <f t="shared" si="168"/>
        <v/>
      </c>
      <c r="GH683" s="357" t="str">
        <f t="shared" si="169"/>
        <v/>
      </c>
      <c r="GI683" s="357" t="str">
        <f t="shared" si="170"/>
        <v/>
      </c>
      <c r="GJ683" s="357" t="str">
        <f t="shared" si="171"/>
        <v/>
      </c>
      <c r="GK683" s="357" t="str">
        <f t="shared" si="172"/>
        <v/>
      </c>
      <c r="GL683" s="357" t="str">
        <f t="shared" si="173"/>
        <v/>
      </c>
      <c r="GM683" s="357" t="str">
        <f t="shared" si="174"/>
        <v/>
      </c>
      <c r="GN683" s="357" t="str">
        <f t="shared" si="175"/>
        <v/>
      </c>
      <c r="GO683" s="357" t="str">
        <f t="shared" si="176"/>
        <v/>
      </c>
      <c r="GP683" s="357" t="str">
        <f t="shared" si="177"/>
        <v/>
      </c>
      <c r="GQ683" s="357" t="str">
        <f t="shared" si="178"/>
        <v/>
      </c>
      <c r="GR683" s="357" t="str">
        <f t="shared" si="179"/>
        <v/>
      </c>
      <c r="GS683" s="357" t="str">
        <f t="shared" si="180"/>
        <v/>
      </c>
      <c r="GT683" s="357" t="str">
        <f t="shared" si="181"/>
        <v/>
      </c>
      <c r="GU683" s="357" t="str">
        <f t="shared" si="182"/>
        <v/>
      </c>
      <c r="GV683" s="357" t="str">
        <f t="shared" si="183"/>
        <v/>
      </c>
      <c r="GW683" s="357" t="str">
        <f t="shared" si="184"/>
        <v/>
      </c>
      <c r="GX683" s="357" t="str">
        <f t="shared" si="185"/>
        <v/>
      </c>
      <c r="GY683" s="357" t="str">
        <f t="shared" si="186"/>
        <v/>
      </c>
      <c r="GZ683" s="357" t="str">
        <f t="shared" si="187"/>
        <v/>
      </c>
      <c r="HA683" s="357" t="str">
        <f t="shared" si="188"/>
        <v/>
      </c>
      <c r="HB683" s="357" t="str">
        <f t="shared" si="189"/>
        <v/>
      </c>
      <c r="HC683" s="357" t="str">
        <f t="shared" si="190"/>
        <v/>
      </c>
      <c r="HD683" s="357" t="str">
        <f t="shared" si="191"/>
        <v/>
      </c>
      <c r="HE683" s="357" t="str">
        <f t="shared" si="192"/>
        <v/>
      </c>
      <c r="HF683" s="357" t="str">
        <f t="shared" si="193"/>
        <v/>
      </c>
      <c r="HG683" s="357" t="str">
        <f t="shared" si="194"/>
        <v/>
      </c>
      <c r="HH683" s="357" t="str">
        <f t="shared" si="195"/>
        <v/>
      </c>
      <c r="HI683" s="357" t="str">
        <f t="shared" si="196"/>
        <v/>
      </c>
      <c r="HJ683" s="357" t="str">
        <f t="shared" si="197"/>
        <v/>
      </c>
      <c r="HK683" s="357" t="str">
        <f t="shared" si="198"/>
        <v/>
      </c>
      <c r="HL683" s="357" t="str">
        <f t="shared" si="199"/>
        <v/>
      </c>
      <c r="HM683" s="357" t="str">
        <f t="shared" si="200"/>
        <v/>
      </c>
      <c r="HN683" s="357" t="str">
        <f t="shared" si="201"/>
        <v/>
      </c>
      <c r="HO683" s="357" t="str">
        <f t="shared" si="202"/>
        <v/>
      </c>
      <c r="HP683" s="357" t="str">
        <f t="shared" si="203"/>
        <v/>
      </c>
      <c r="HQ683" s="357" t="str">
        <f t="shared" si="204"/>
        <v/>
      </c>
      <c r="HR683" s="357" t="str">
        <f t="shared" si="205"/>
        <v/>
      </c>
      <c r="HS683" s="357" t="str">
        <f t="shared" si="206"/>
        <v/>
      </c>
      <c r="HT683" s="357" t="str">
        <f t="shared" si="207"/>
        <v/>
      </c>
      <c r="HU683" s="357" t="str">
        <f t="shared" si="208"/>
        <v/>
      </c>
      <c r="HV683" s="357" t="str">
        <f t="shared" si="209"/>
        <v/>
      </c>
      <c r="HW683" s="357" t="str">
        <f t="shared" si="210"/>
        <v/>
      </c>
      <c r="HX683" s="357" t="str">
        <f t="shared" si="211"/>
        <v/>
      </c>
      <c r="HY683" s="357" t="str">
        <f t="shared" si="212"/>
        <v/>
      </c>
      <c r="HZ683" s="1903" t="str">
        <f t="shared" si="213"/>
        <v/>
      </c>
      <c r="IA683" s="1903" t="str">
        <f t="shared" si="214"/>
        <v/>
      </c>
      <c r="IB683" s="1903" t="str">
        <f t="shared" si="215"/>
        <v/>
      </c>
      <c r="IC683" s="1903" t="str">
        <f t="shared" si="216"/>
        <v/>
      </c>
      <c r="ID683" s="1903" t="str">
        <f t="shared" si="217"/>
        <v/>
      </c>
      <c r="IE683" s="1903" t="str">
        <f t="shared" si="218"/>
        <v/>
      </c>
      <c r="IF683" s="1903" t="str">
        <f t="shared" si="219"/>
        <v/>
      </c>
      <c r="IG683" s="1903" t="str">
        <f t="shared" si="220"/>
        <v/>
      </c>
      <c r="IH683" s="1903" t="str">
        <f t="shared" si="221"/>
        <v/>
      </c>
      <c r="II683" s="1903" t="str">
        <f t="shared" si="222"/>
        <v/>
      </c>
      <c r="IJ683" s="1903" t="str">
        <f t="shared" si="223"/>
        <v/>
      </c>
      <c r="IK683" s="1903" t="str">
        <f t="shared" si="224"/>
        <v/>
      </c>
      <c r="IL683" s="1903" t="str">
        <f t="shared" si="225"/>
        <v/>
      </c>
      <c r="IM683" s="1903" t="str">
        <f t="shared" si="226"/>
        <v/>
      </c>
      <c r="IN683" s="1903" t="str">
        <f t="shared" si="227"/>
        <v/>
      </c>
      <c r="IO683" s="1903" t="str">
        <f t="shared" si="228"/>
        <v/>
      </c>
      <c r="IP683" s="1903" t="str">
        <f t="shared" si="229"/>
        <v/>
      </c>
      <c r="IQ683" s="1903" t="str">
        <f t="shared" si="230"/>
        <v/>
      </c>
      <c r="IR683" s="1903" t="str">
        <f t="shared" si="231"/>
        <v/>
      </c>
      <c r="IS683" s="1903" t="str">
        <f t="shared" si="232"/>
        <v/>
      </c>
      <c r="IT683" s="1903" t="str">
        <f t="shared" si="233"/>
        <v/>
      </c>
      <c r="IU683" s="1903" t="str">
        <f t="shared" si="234"/>
        <v/>
      </c>
      <c r="IV683" s="1903" t="str">
        <f t="shared" si="235"/>
        <v/>
      </c>
      <c r="IW683" s="1903" t="str">
        <f t="shared" si="236"/>
        <v/>
      </c>
      <c r="IX683" s="1903" t="str">
        <f t="shared" si="237"/>
        <v/>
      </c>
      <c r="IY683" s="1903" t="str">
        <f t="shared" si="238"/>
        <v/>
      </c>
      <c r="IZ683" s="1903" t="str">
        <f t="shared" si="239"/>
        <v/>
      </c>
      <c r="JA683" s="1903" t="str">
        <f t="shared" si="240"/>
        <v/>
      </c>
      <c r="JB683" s="1903" t="str">
        <f t="shared" si="241"/>
        <v/>
      </c>
      <c r="JC683" s="1903" t="str">
        <f t="shared" si="242"/>
        <v/>
      </c>
      <c r="JD683" s="1903" t="str">
        <f t="shared" si="243"/>
        <v/>
      </c>
      <c r="JE683" s="1903" t="str">
        <f t="shared" si="244"/>
        <v/>
      </c>
      <c r="JF683" s="1903" t="str">
        <f t="shared" si="245"/>
        <v/>
      </c>
      <c r="JG683" s="1903" t="str">
        <f t="shared" si="246"/>
        <v/>
      </c>
      <c r="JH683" s="1903" t="str">
        <f t="shared" si="247"/>
        <v/>
      </c>
      <c r="JI683" s="1903" t="str">
        <f t="shared" si="248"/>
        <v/>
      </c>
      <c r="JJ683" s="1903" t="str">
        <f t="shared" si="249"/>
        <v/>
      </c>
      <c r="JK683" s="1903" t="str">
        <f t="shared" si="250"/>
        <v/>
      </c>
      <c r="JL683" s="1903" t="str">
        <f t="shared" si="251"/>
        <v/>
      </c>
      <c r="JM683" s="1903" t="str">
        <f t="shared" si="252"/>
        <v/>
      </c>
      <c r="JN683" s="1903" t="str">
        <f t="shared" si="253"/>
        <v/>
      </c>
      <c r="JO683" s="1903" t="str">
        <f t="shared" si="254"/>
        <v/>
      </c>
      <c r="JP683" s="1903" t="str">
        <f t="shared" si="255"/>
        <v/>
      </c>
      <c r="JQ683" s="1903" t="str">
        <f t="shared" si="256"/>
        <v/>
      </c>
      <c r="JR683" s="1903" t="str">
        <f t="shared" si="257"/>
        <v/>
      </c>
      <c r="JS683" s="1903" t="str">
        <f t="shared" si="258"/>
        <v/>
      </c>
      <c r="JT683" s="1903" t="str">
        <f t="shared" si="259"/>
        <v/>
      </c>
      <c r="JU683" s="1903" t="str">
        <f t="shared" si="260"/>
        <v/>
      </c>
      <c r="JV683" s="1903" t="str">
        <f t="shared" si="261"/>
        <v/>
      </c>
      <c r="JW683" s="1903" t="str">
        <f t="shared" si="262"/>
        <v/>
      </c>
      <c r="JX683" s="1903" t="str">
        <f t="shared" si="263"/>
        <v/>
      </c>
      <c r="JY683" s="1903" t="str">
        <f t="shared" si="264"/>
        <v/>
      </c>
      <c r="JZ683" s="1903" t="str">
        <f t="shared" si="265"/>
        <v/>
      </c>
      <c r="KA683" s="1903" t="str">
        <f t="shared" si="266"/>
        <v/>
      </c>
      <c r="KB683" s="1903" t="str">
        <f t="shared" si="267"/>
        <v/>
      </c>
      <c r="KC683" s="1903" t="str">
        <f t="shared" si="268"/>
        <v/>
      </c>
      <c r="KD683" s="1903" t="str">
        <f t="shared" si="269"/>
        <v/>
      </c>
      <c r="KE683" s="1903" t="str">
        <f t="shared" si="270"/>
        <v/>
      </c>
      <c r="KF683" s="1903" t="str">
        <f t="shared" si="271"/>
        <v/>
      </c>
      <c r="KG683" s="1903" t="str">
        <f t="shared" si="272"/>
        <v/>
      </c>
      <c r="KH683" s="1903" t="str">
        <f t="shared" si="273"/>
        <v/>
      </c>
      <c r="KI683" s="1903" t="str">
        <f t="shared" si="274"/>
        <v/>
      </c>
      <c r="KJ683" s="1903" t="str">
        <f t="shared" si="275"/>
        <v/>
      </c>
      <c r="KK683" s="1903" t="str">
        <f t="shared" si="276"/>
        <v/>
      </c>
      <c r="KL683" s="1903" t="str">
        <f t="shared" si="277"/>
        <v/>
      </c>
      <c r="KM683" s="1903" t="str">
        <f t="shared" si="278"/>
        <v/>
      </c>
      <c r="KN683" s="1903" t="str">
        <f t="shared" si="279"/>
        <v/>
      </c>
      <c r="KO683" s="1903" t="str">
        <f t="shared" si="280"/>
        <v/>
      </c>
      <c r="KP683" s="1903" t="str">
        <f t="shared" si="281"/>
        <v/>
      </c>
      <c r="KQ683" s="1903" t="str">
        <f t="shared" si="282"/>
        <v/>
      </c>
      <c r="KR683" s="1903" t="str">
        <f t="shared" si="283"/>
        <v/>
      </c>
      <c r="KS683" s="1903" t="str">
        <f t="shared" si="284"/>
        <v/>
      </c>
      <c r="KT683" s="1903" t="str">
        <f t="shared" si="285"/>
        <v/>
      </c>
      <c r="KU683" s="1903" t="str">
        <f t="shared" si="286"/>
        <v/>
      </c>
      <c r="KV683" s="1903" t="str">
        <f t="shared" si="287"/>
        <v/>
      </c>
      <c r="KW683" s="1903" t="str">
        <f t="shared" si="288"/>
        <v/>
      </c>
      <c r="KX683" s="1903" t="str">
        <f t="shared" si="289"/>
        <v/>
      </c>
      <c r="KY683" s="1903" t="str">
        <f t="shared" si="290"/>
        <v/>
      </c>
      <c r="KZ683" s="1903" t="str">
        <f t="shared" si="291"/>
        <v/>
      </c>
      <c r="LA683" s="1903" t="str">
        <f t="shared" si="292"/>
        <v/>
      </c>
      <c r="LB683" s="1903" t="str">
        <f t="shared" si="293"/>
        <v/>
      </c>
      <c r="LC683" s="1903" t="str">
        <f t="shared" si="294"/>
        <v/>
      </c>
      <c r="LD683" s="1903" t="str">
        <f t="shared" si="295"/>
        <v/>
      </c>
      <c r="LE683" s="1903" t="str">
        <f t="shared" si="296"/>
        <v/>
      </c>
      <c r="LF683" s="1903" t="str">
        <f t="shared" si="297"/>
        <v/>
      </c>
      <c r="LG683" s="1750" t="str">
        <f t="shared" si="298"/>
        <v/>
      </c>
      <c r="LH683" s="1750" t="str">
        <f t="shared" si="299"/>
        <v/>
      </c>
      <c r="LI683" s="1750" t="str">
        <f t="shared" si="300"/>
        <v/>
      </c>
      <c r="LJ683" s="1750" t="str">
        <f t="shared" si="301"/>
        <v/>
      </c>
      <c r="LK683" s="1750" t="str">
        <f t="shared" si="302"/>
        <v/>
      </c>
      <c r="LL683" s="357" t="str">
        <f t="shared" si="303"/>
        <v/>
      </c>
      <c r="LM683" s="357" t="str">
        <f t="shared" si="304"/>
        <v/>
      </c>
      <c r="LN683" s="357" t="str">
        <f t="shared" si="305"/>
        <v/>
      </c>
      <c r="LO683" s="357" t="str">
        <f t="shared" si="306"/>
        <v/>
      </c>
      <c r="LP683" s="357" t="str">
        <f t="shared" si="307"/>
        <v/>
      </c>
      <c r="LQ683" s="357" t="str">
        <f t="shared" si="308"/>
        <v/>
      </c>
      <c r="LR683" s="357" t="str">
        <f t="shared" si="309"/>
        <v/>
      </c>
      <c r="LS683" s="357" t="str">
        <f t="shared" si="310"/>
        <v/>
      </c>
      <c r="LT683" s="357" t="str">
        <f t="shared" si="311"/>
        <v/>
      </c>
      <c r="LU683" s="357" t="str">
        <f t="shared" si="312"/>
        <v/>
      </c>
      <c r="LV683" s="357" t="str">
        <f t="shared" si="313"/>
        <v/>
      </c>
      <c r="LW683" s="357" t="str">
        <f t="shared" si="314"/>
        <v/>
      </c>
      <c r="LX683" s="357" t="str">
        <f t="shared" si="315"/>
        <v/>
      </c>
      <c r="LY683" s="357" t="str">
        <f t="shared" si="316"/>
        <v/>
      </c>
      <c r="LZ683" s="357" t="str">
        <f t="shared" si="317"/>
        <v/>
      </c>
      <c r="MA683" s="357" t="str">
        <f t="shared" si="318"/>
        <v/>
      </c>
      <c r="MB683" s="357" t="str">
        <f t="shared" si="319"/>
        <v/>
      </c>
      <c r="MC683" s="357" t="str">
        <f t="shared" si="320"/>
        <v/>
      </c>
      <c r="MD683" s="357" t="str">
        <f t="shared" si="321"/>
        <v/>
      </c>
      <c r="ME683" s="357" t="str">
        <f t="shared" si="322"/>
        <v/>
      </c>
      <c r="MF683" s="1750">
        <f t="shared" si="323"/>
        <v>0</v>
      </c>
      <c r="MG683" s="1750">
        <f t="shared" si="324"/>
        <v>0</v>
      </c>
      <c r="MH683" s="1750">
        <f t="shared" si="325"/>
        <v>0</v>
      </c>
      <c r="MI683" s="1750">
        <f t="shared" si="326"/>
        <v>0</v>
      </c>
      <c r="MJ683" s="1750">
        <f t="shared" si="327"/>
        <v>0</v>
      </c>
      <c r="MK683" s="1750">
        <f t="shared" si="333"/>
        <v>0</v>
      </c>
      <c r="ML683" s="1750">
        <f t="shared" si="334"/>
        <v>0</v>
      </c>
      <c r="MM683" s="1750">
        <f t="shared" si="335"/>
        <v>0</v>
      </c>
      <c r="MN683" s="1750">
        <f t="shared" si="336"/>
        <v>0</v>
      </c>
      <c r="MO683" s="1750">
        <f t="shared" si="337"/>
        <v>0</v>
      </c>
      <c r="MP683" s="1750">
        <f t="shared" si="328"/>
        <v>0</v>
      </c>
      <c r="MQ683" s="1750">
        <f t="shared" si="329"/>
        <v>0</v>
      </c>
      <c r="MR683" s="1750">
        <f t="shared" si="330"/>
        <v>0</v>
      </c>
      <c r="MS683" s="1750">
        <f t="shared" si="331"/>
        <v>0</v>
      </c>
      <c r="MT683" s="1750">
        <f t="shared" si="332"/>
        <v>0</v>
      </c>
      <c r="NP683" s="357" t="s">
        <v>6448</v>
      </c>
    </row>
    <row r="684" spans="1:380" ht="13.9" customHeight="1">
      <c r="A684" s="1901" t="str">
        <f t="shared" si="0"/>
        <v/>
      </c>
      <c r="B684" s="2238">
        <f>'Part V-Revenues &amp; Expenses'!B46</f>
        <v>0</v>
      </c>
      <c r="C684" s="2229">
        <f>'Part V-Revenues &amp; Expenses'!C46</f>
        <v>0</v>
      </c>
      <c r="D684" s="2230">
        <f>'Part V-Revenues &amp; Expenses'!D46</f>
        <v>0</v>
      </c>
      <c r="E684" s="2231">
        <f>'Part V-Revenues &amp; Expenses'!E46</f>
        <v>0</v>
      </c>
      <c r="F684" s="2231">
        <f>'Part V-Revenues &amp; Expenses'!F46</f>
        <v>0</v>
      </c>
      <c r="G684" s="2231">
        <f>'Part V-Revenues &amp; Expenses'!G46</f>
        <v>0</v>
      </c>
      <c r="H684" s="2231">
        <f>'Part V-Revenues &amp; Expenses'!H46</f>
        <v>0</v>
      </c>
      <c r="I684" s="2231">
        <f>'Part V-Revenues &amp; Expenses'!I46</f>
        <v>0</v>
      </c>
      <c r="J684" s="2231">
        <f>'Part V-Revenues &amp; Expenses'!J46</f>
        <v>0</v>
      </c>
      <c r="K684" s="2232">
        <f>'Part V-Revenues &amp; Expenses'!K46</f>
        <v>0</v>
      </c>
      <c r="L684" s="2233">
        <f t="shared" si="340"/>
        <v>0</v>
      </c>
      <c r="M684" s="2233">
        <f t="shared" si="341"/>
        <v>0</v>
      </c>
      <c r="N684" s="2094">
        <f>'Part V-Revenues &amp; Expenses'!N46</f>
        <v>0</v>
      </c>
      <c r="O684" s="2234">
        <f>'Part V-Revenues &amp; Expenses'!O46</f>
        <v>0</v>
      </c>
      <c r="P684" s="2094">
        <f>'Part V-Revenues &amp; Expenses'!P46</f>
        <v>0</v>
      </c>
      <c r="Q684" s="2235">
        <f>'Part V-Revenues &amp; Expenses'!Q46</f>
        <v>0</v>
      </c>
      <c r="R684" s="2236"/>
      <c r="S684" s="2237"/>
      <c r="T684" s="2160"/>
      <c r="U684" s="2160"/>
      <c r="V684" s="2160"/>
      <c r="W684" s="2160"/>
      <c r="X684" s="357" t="str">
        <f t="shared" si="3"/>
        <v/>
      </c>
      <c r="Y684" s="357" t="str">
        <f t="shared" si="4"/>
        <v/>
      </c>
      <c r="Z684" s="357" t="str">
        <f t="shared" si="5"/>
        <v/>
      </c>
      <c r="AA684" s="357" t="str">
        <f t="shared" si="6"/>
        <v/>
      </c>
      <c r="AB684" s="357" t="str">
        <f t="shared" si="7"/>
        <v/>
      </c>
      <c r="AC684" s="357" t="str">
        <f t="shared" si="8"/>
        <v/>
      </c>
      <c r="AD684" s="357" t="str">
        <f t="shared" si="9"/>
        <v/>
      </c>
      <c r="AE684" s="357" t="str">
        <f t="shared" si="10"/>
        <v/>
      </c>
      <c r="AF684" s="357" t="str">
        <f t="shared" si="11"/>
        <v/>
      </c>
      <c r="AG684" s="357" t="str">
        <f t="shared" si="12"/>
        <v/>
      </c>
      <c r="AH684" s="357" t="str">
        <f t="shared" si="13"/>
        <v/>
      </c>
      <c r="AI684" s="357" t="str">
        <f t="shared" si="14"/>
        <v/>
      </c>
      <c r="AJ684" s="357" t="str">
        <f t="shared" si="15"/>
        <v/>
      </c>
      <c r="AK684" s="357" t="str">
        <f t="shared" si="16"/>
        <v/>
      </c>
      <c r="AL684" s="357" t="str">
        <f t="shared" si="17"/>
        <v/>
      </c>
      <c r="AM684" s="357" t="str">
        <f t="shared" si="18"/>
        <v/>
      </c>
      <c r="AN684" s="357" t="str">
        <f t="shared" si="19"/>
        <v/>
      </c>
      <c r="AO684" s="357" t="str">
        <f t="shared" si="20"/>
        <v/>
      </c>
      <c r="AP684" s="357" t="str">
        <f t="shared" si="21"/>
        <v/>
      </c>
      <c r="AQ684" s="357" t="str">
        <f t="shared" si="22"/>
        <v/>
      </c>
      <c r="AR684" s="357" t="str">
        <f t="shared" si="23"/>
        <v/>
      </c>
      <c r="AS684" s="357" t="str">
        <f t="shared" si="24"/>
        <v/>
      </c>
      <c r="AT684" s="357" t="str">
        <f t="shared" si="25"/>
        <v/>
      </c>
      <c r="AU684" s="357" t="str">
        <f t="shared" si="26"/>
        <v/>
      </c>
      <c r="AV684" s="357" t="str">
        <f t="shared" si="27"/>
        <v/>
      </c>
      <c r="AW684" s="357" t="str">
        <f t="shared" si="28"/>
        <v/>
      </c>
      <c r="AX684" s="357" t="str">
        <f t="shared" si="29"/>
        <v/>
      </c>
      <c r="AY684" s="357" t="str">
        <f t="shared" si="30"/>
        <v/>
      </c>
      <c r="AZ684" s="357" t="str">
        <f t="shared" si="31"/>
        <v/>
      </c>
      <c r="BA684" s="357" t="str">
        <f t="shared" si="32"/>
        <v/>
      </c>
      <c r="BB684" s="357" t="str">
        <f t="shared" si="33"/>
        <v/>
      </c>
      <c r="BC684" s="357" t="str">
        <f t="shared" si="34"/>
        <v/>
      </c>
      <c r="BD684" s="357" t="str">
        <f t="shared" si="35"/>
        <v/>
      </c>
      <c r="BE684" s="357" t="str">
        <f t="shared" si="36"/>
        <v/>
      </c>
      <c r="BF684" s="357" t="str">
        <f t="shared" si="37"/>
        <v/>
      </c>
      <c r="BG684" s="357" t="str">
        <f t="shared" si="38"/>
        <v/>
      </c>
      <c r="BH684" s="357" t="str">
        <f t="shared" si="39"/>
        <v/>
      </c>
      <c r="BI684" s="357" t="str">
        <f t="shared" si="40"/>
        <v/>
      </c>
      <c r="BJ684" s="357" t="str">
        <f t="shared" si="41"/>
        <v/>
      </c>
      <c r="BK684" s="357" t="str">
        <f t="shared" si="42"/>
        <v/>
      </c>
      <c r="BL684" s="357" t="str">
        <f t="shared" si="43"/>
        <v/>
      </c>
      <c r="BM684" s="357" t="str">
        <f t="shared" si="44"/>
        <v/>
      </c>
      <c r="BN684" s="357" t="str">
        <f t="shared" si="45"/>
        <v/>
      </c>
      <c r="BO684" s="357" t="str">
        <f t="shared" si="46"/>
        <v/>
      </c>
      <c r="BP684" s="357" t="str">
        <f t="shared" si="47"/>
        <v/>
      </c>
      <c r="BQ684" s="357" t="str">
        <f t="shared" si="48"/>
        <v/>
      </c>
      <c r="BR684" s="357" t="str">
        <f t="shared" si="49"/>
        <v/>
      </c>
      <c r="BS684" s="357" t="str">
        <f t="shared" si="50"/>
        <v/>
      </c>
      <c r="BT684" s="357" t="str">
        <f t="shared" si="51"/>
        <v/>
      </c>
      <c r="BU684" s="357" t="str">
        <f t="shared" si="52"/>
        <v/>
      </c>
      <c r="BV684" s="357" t="str">
        <f t="shared" si="53"/>
        <v/>
      </c>
      <c r="BW684" s="357" t="str">
        <f t="shared" si="54"/>
        <v/>
      </c>
      <c r="BX684" s="357" t="str">
        <f t="shared" si="55"/>
        <v/>
      </c>
      <c r="BY684" s="357" t="str">
        <f t="shared" si="56"/>
        <v/>
      </c>
      <c r="BZ684" s="357" t="str">
        <f t="shared" si="57"/>
        <v/>
      </c>
      <c r="CA684" s="357" t="str">
        <f t="shared" si="58"/>
        <v/>
      </c>
      <c r="CB684" s="357" t="str">
        <f t="shared" si="59"/>
        <v/>
      </c>
      <c r="CC684" s="357" t="str">
        <f t="shared" si="60"/>
        <v/>
      </c>
      <c r="CD684" s="357" t="str">
        <f t="shared" si="61"/>
        <v/>
      </c>
      <c r="CE684" s="357" t="str">
        <f t="shared" si="62"/>
        <v/>
      </c>
      <c r="CF684" s="357" t="str">
        <f t="shared" si="63"/>
        <v/>
      </c>
      <c r="CG684" s="357" t="str">
        <f t="shared" si="64"/>
        <v/>
      </c>
      <c r="CH684" s="357" t="str">
        <f t="shared" si="65"/>
        <v/>
      </c>
      <c r="CI684" s="357" t="str">
        <f t="shared" si="66"/>
        <v/>
      </c>
      <c r="CJ684" s="357" t="str">
        <f t="shared" si="67"/>
        <v/>
      </c>
      <c r="CK684" s="357" t="str">
        <f t="shared" si="68"/>
        <v/>
      </c>
      <c r="CL684" s="357" t="str">
        <f t="shared" si="69"/>
        <v/>
      </c>
      <c r="CM684" s="357" t="str">
        <f t="shared" si="70"/>
        <v/>
      </c>
      <c r="CN684" s="357" t="str">
        <f t="shared" si="71"/>
        <v/>
      </c>
      <c r="CO684" s="357" t="str">
        <f t="shared" si="72"/>
        <v/>
      </c>
      <c r="CP684" s="357" t="str">
        <f t="shared" si="73"/>
        <v/>
      </c>
      <c r="CQ684" s="357" t="str">
        <f t="shared" si="74"/>
        <v/>
      </c>
      <c r="CR684" s="357" t="str">
        <f t="shared" si="75"/>
        <v/>
      </c>
      <c r="CS684" s="357" t="str">
        <f t="shared" si="76"/>
        <v/>
      </c>
      <c r="CT684" s="357" t="str">
        <f t="shared" si="77"/>
        <v/>
      </c>
      <c r="CU684" s="357" t="str">
        <f t="shared" si="78"/>
        <v/>
      </c>
      <c r="CV684" s="357" t="str">
        <f t="shared" si="79"/>
        <v/>
      </c>
      <c r="CW684" s="357" t="str">
        <f t="shared" si="80"/>
        <v/>
      </c>
      <c r="CX684" s="357" t="str">
        <f t="shared" si="81"/>
        <v/>
      </c>
      <c r="CY684" s="357" t="str">
        <f t="shared" si="82"/>
        <v/>
      </c>
      <c r="CZ684" s="357" t="str">
        <f t="shared" si="83"/>
        <v/>
      </c>
      <c r="DA684" s="357" t="str">
        <f t="shared" si="84"/>
        <v/>
      </c>
      <c r="DB684" s="357" t="str">
        <f t="shared" si="85"/>
        <v/>
      </c>
      <c r="DC684" s="357" t="str">
        <f t="shared" si="86"/>
        <v/>
      </c>
      <c r="DD684" s="357" t="str">
        <f t="shared" si="87"/>
        <v/>
      </c>
      <c r="DE684" s="357" t="str">
        <f t="shared" si="88"/>
        <v/>
      </c>
      <c r="DF684" s="357" t="str">
        <f t="shared" si="89"/>
        <v/>
      </c>
      <c r="DG684" s="357" t="str">
        <f t="shared" si="90"/>
        <v/>
      </c>
      <c r="DH684" s="357" t="str">
        <f t="shared" si="91"/>
        <v/>
      </c>
      <c r="DI684" s="357" t="str">
        <f t="shared" si="92"/>
        <v/>
      </c>
      <c r="DJ684" s="357" t="str">
        <f t="shared" si="93"/>
        <v/>
      </c>
      <c r="DK684" s="357" t="str">
        <f t="shared" si="94"/>
        <v/>
      </c>
      <c r="DL684" s="357" t="str">
        <f t="shared" si="95"/>
        <v/>
      </c>
      <c r="DM684" s="357" t="str">
        <f t="shared" si="96"/>
        <v/>
      </c>
      <c r="DN684" s="357" t="str">
        <f t="shared" si="97"/>
        <v/>
      </c>
      <c r="DO684" s="357" t="str">
        <f t="shared" si="98"/>
        <v/>
      </c>
      <c r="DP684" s="357" t="str">
        <f t="shared" si="99"/>
        <v/>
      </c>
      <c r="DQ684" s="357" t="str">
        <f t="shared" si="100"/>
        <v/>
      </c>
      <c r="DR684" s="357" t="str">
        <f t="shared" si="101"/>
        <v/>
      </c>
      <c r="DS684" s="357" t="str">
        <f t="shared" si="102"/>
        <v/>
      </c>
      <c r="DT684" s="357" t="str">
        <f t="shared" si="103"/>
        <v/>
      </c>
      <c r="DU684" s="357" t="str">
        <f t="shared" si="104"/>
        <v/>
      </c>
      <c r="DV684" s="357" t="str">
        <f t="shared" si="105"/>
        <v/>
      </c>
      <c r="DW684" s="357" t="str">
        <f t="shared" si="106"/>
        <v/>
      </c>
      <c r="DX684" s="357" t="str">
        <f t="shared" si="107"/>
        <v/>
      </c>
      <c r="DY684" s="357" t="str">
        <f t="shared" si="108"/>
        <v/>
      </c>
      <c r="DZ684" s="357" t="str">
        <f t="shared" si="109"/>
        <v/>
      </c>
      <c r="EA684" s="357" t="str">
        <f t="shared" si="110"/>
        <v/>
      </c>
      <c r="EB684" s="357" t="str">
        <f t="shared" si="111"/>
        <v/>
      </c>
      <c r="EC684" s="357" t="str">
        <f t="shared" si="112"/>
        <v/>
      </c>
      <c r="ED684" s="357" t="str">
        <f t="shared" si="113"/>
        <v/>
      </c>
      <c r="EE684" s="357" t="str">
        <f t="shared" si="114"/>
        <v/>
      </c>
      <c r="EF684" s="357" t="str">
        <f t="shared" si="115"/>
        <v/>
      </c>
      <c r="EG684" s="357" t="str">
        <f t="shared" si="116"/>
        <v/>
      </c>
      <c r="EH684" s="357" t="str">
        <f t="shared" si="117"/>
        <v/>
      </c>
      <c r="EI684" s="357" t="str">
        <f t="shared" si="118"/>
        <v/>
      </c>
      <c r="EJ684" s="357" t="str">
        <f t="shared" si="119"/>
        <v/>
      </c>
      <c r="EK684" s="357" t="str">
        <f t="shared" si="120"/>
        <v/>
      </c>
      <c r="EL684" s="357" t="str">
        <f t="shared" si="121"/>
        <v/>
      </c>
      <c r="EM684" s="357" t="str">
        <f t="shared" si="122"/>
        <v/>
      </c>
      <c r="EN684" s="357" t="str">
        <f t="shared" si="123"/>
        <v/>
      </c>
      <c r="EO684" s="357" t="str">
        <f t="shared" si="124"/>
        <v/>
      </c>
      <c r="EP684" s="357" t="str">
        <f t="shared" si="125"/>
        <v/>
      </c>
      <c r="EQ684" s="357" t="str">
        <f t="shared" si="126"/>
        <v/>
      </c>
      <c r="ER684" s="357" t="str">
        <f t="shared" si="127"/>
        <v/>
      </c>
      <c r="ES684" s="357" t="str">
        <f t="shared" si="128"/>
        <v/>
      </c>
      <c r="ET684" s="357" t="str">
        <f t="shared" si="129"/>
        <v/>
      </c>
      <c r="EU684" s="357" t="str">
        <f t="shared" si="130"/>
        <v/>
      </c>
      <c r="EV684" s="357" t="str">
        <f t="shared" si="131"/>
        <v/>
      </c>
      <c r="EW684" s="357" t="str">
        <f t="shared" si="132"/>
        <v/>
      </c>
      <c r="EX684" s="357" t="str">
        <f t="shared" si="133"/>
        <v/>
      </c>
      <c r="EY684" s="357" t="str">
        <f t="shared" si="134"/>
        <v/>
      </c>
      <c r="EZ684" s="357" t="str">
        <f t="shared" si="135"/>
        <v/>
      </c>
      <c r="FA684" s="357" t="str">
        <f t="shared" si="136"/>
        <v/>
      </c>
      <c r="FB684" s="357" t="str">
        <f t="shared" si="137"/>
        <v/>
      </c>
      <c r="FC684" s="357" t="str">
        <f t="shared" si="138"/>
        <v/>
      </c>
      <c r="FD684" s="357" t="str">
        <f t="shared" si="139"/>
        <v/>
      </c>
      <c r="FE684" s="357" t="str">
        <f t="shared" si="140"/>
        <v/>
      </c>
      <c r="FF684" s="357" t="str">
        <f t="shared" si="141"/>
        <v/>
      </c>
      <c r="FG684" s="357" t="str">
        <f t="shared" si="142"/>
        <v/>
      </c>
      <c r="FH684" s="357" t="str">
        <f t="shared" si="143"/>
        <v/>
      </c>
      <c r="FI684" s="357" t="str">
        <f t="shared" si="144"/>
        <v/>
      </c>
      <c r="FJ684" s="357" t="str">
        <f t="shared" si="145"/>
        <v/>
      </c>
      <c r="FK684" s="357" t="str">
        <f t="shared" si="146"/>
        <v/>
      </c>
      <c r="FL684" s="357" t="str">
        <f t="shared" si="147"/>
        <v/>
      </c>
      <c r="FM684" s="357" t="str">
        <f t="shared" si="148"/>
        <v/>
      </c>
      <c r="FN684" s="357" t="str">
        <f t="shared" si="149"/>
        <v/>
      </c>
      <c r="FO684" s="357" t="str">
        <f t="shared" si="150"/>
        <v/>
      </c>
      <c r="FP684" s="357" t="str">
        <f t="shared" si="151"/>
        <v/>
      </c>
      <c r="FQ684" s="357" t="str">
        <f t="shared" si="152"/>
        <v/>
      </c>
      <c r="FR684" s="357" t="str">
        <f t="shared" si="153"/>
        <v/>
      </c>
      <c r="FS684" s="357" t="str">
        <f t="shared" si="154"/>
        <v/>
      </c>
      <c r="FT684" s="357" t="str">
        <f t="shared" si="155"/>
        <v/>
      </c>
      <c r="FU684" s="357" t="str">
        <f t="shared" si="156"/>
        <v/>
      </c>
      <c r="FV684" s="357" t="str">
        <f t="shared" si="157"/>
        <v/>
      </c>
      <c r="FW684" s="357" t="str">
        <f t="shared" si="158"/>
        <v/>
      </c>
      <c r="FX684" s="357" t="str">
        <f t="shared" si="159"/>
        <v/>
      </c>
      <c r="FY684" s="357" t="str">
        <f t="shared" si="160"/>
        <v/>
      </c>
      <c r="FZ684" s="357" t="str">
        <f t="shared" si="161"/>
        <v/>
      </c>
      <c r="GA684" s="357" t="str">
        <f t="shared" si="162"/>
        <v/>
      </c>
      <c r="GB684" s="357" t="str">
        <f t="shared" si="163"/>
        <v/>
      </c>
      <c r="GC684" s="357" t="str">
        <f t="shared" si="164"/>
        <v/>
      </c>
      <c r="GD684" s="357" t="str">
        <f t="shared" si="165"/>
        <v/>
      </c>
      <c r="GE684" s="357" t="str">
        <f t="shared" si="166"/>
        <v/>
      </c>
      <c r="GF684" s="357" t="str">
        <f t="shared" si="167"/>
        <v/>
      </c>
      <c r="GG684" s="357" t="str">
        <f t="shared" si="168"/>
        <v/>
      </c>
      <c r="GH684" s="357" t="str">
        <f t="shared" si="169"/>
        <v/>
      </c>
      <c r="GI684" s="357" t="str">
        <f t="shared" si="170"/>
        <v/>
      </c>
      <c r="GJ684" s="357" t="str">
        <f t="shared" si="171"/>
        <v/>
      </c>
      <c r="GK684" s="357" t="str">
        <f t="shared" si="172"/>
        <v/>
      </c>
      <c r="GL684" s="357" t="str">
        <f t="shared" si="173"/>
        <v/>
      </c>
      <c r="GM684" s="357" t="str">
        <f t="shared" si="174"/>
        <v/>
      </c>
      <c r="GN684" s="357" t="str">
        <f t="shared" si="175"/>
        <v/>
      </c>
      <c r="GO684" s="357" t="str">
        <f t="shared" si="176"/>
        <v/>
      </c>
      <c r="GP684" s="357" t="str">
        <f t="shared" si="177"/>
        <v/>
      </c>
      <c r="GQ684" s="357" t="str">
        <f t="shared" si="178"/>
        <v/>
      </c>
      <c r="GR684" s="357" t="str">
        <f t="shared" si="179"/>
        <v/>
      </c>
      <c r="GS684" s="357" t="str">
        <f t="shared" si="180"/>
        <v/>
      </c>
      <c r="GT684" s="357" t="str">
        <f t="shared" si="181"/>
        <v/>
      </c>
      <c r="GU684" s="357" t="str">
        <f t="shared" si="182"/>
        <v/>
      </c>
      <c r="GV684" s="357" t="str">
        <f t="shared" si="183"/>
        <v/>
      </c>
      <c r="GW684" s="357" t="str">
        <f t="shared" si="184"/>
        <v/>
      </c>
      <c r="GX684" s="357" t="str">
        <f t="shared" si="185"/>
        <v/>
      </c>
      <c r="GY684" s="357" t="str">
        <f t="shared" si="186"/>
        <v/>
      </c>
      <c r="GZ684" s="357" t="str">
        <f t="shared" si="187"/>
        <v/>
      </c>
      <c r="HA684" s="357" t="str">
        <f t="shared" si="188"/>
        <v/>
      </c>
      <c r="HB684" s="357" t="str">
        <f t="shared" si="189"/>
        <v/>
      </c>
      <c r="HC684" s="357" t="str">
        <f t="shared" si="190"/>
        <v/>
      </c>
      <c r="HD684" s="357" t="str">
        <f t="shared" si="191"/>
        <v/>
      </c>
      <c r="HE684" s="357" t="str">
        <f t="shared" si="192"/>
        <v/>
      </c>
      <c r="HF684" s="357" t="str">
        <f t="shared" si="193"/>
        <v/>
      </c>
      <c r="HG684" s="357" t="str">
        <f t="shared" si="194"/>
        <v/>
      </c>
      <c r="HH684" s="357" t="str">
        <f t="shared" si="195"/>
        <v/>
      </c>
      <c r="HI684" s="357" t="str">
        <f t="shared" si="196"/>
        <v/>
      </c>
      <c r="HJ684" s="357" t="str">
        <f t="shared" si="197"/>
        <v/>
      </c>
      <c r="HK684" s="357" t="str">
        <f t="shared" si="198"/>
        <v/>
      </c>
      <c r="HL684" s="357" t="str">
        <f t="shared" si="199"/>
        <v/>
      </c>
      <c r="HM684" s="357" t="str">
        <f t="shared" si="200"/>
        <v/>
      </c>
      <c r="HN684" s="357" t="str">
        <f t="shared" si="201"/>
        <v/>
      </c>
      <c r="HO684" s="357" t="str">
        <f t="shared" si="202"/>
        <v/>
      </c>
      <c r="HP684" s="357" t="str">
        <f t="shared" si="203"/>
        <v/>
      </c>
      <c r="HQ684" s="357" t="str">
        <f t="shared" si="204"/>
        <v/>
      </c>
      <c r="HR684" s="357" t="str">
        <f t="shared" si="205"/>
        <v/>
      </c>
      <c r="HS684" s="357" t="str">
        <f t="shared" si="206"/>
        <v/>
      </c>
      <c r="HT684" s="357" t="str">
        <f t="shared" si="207"/>
        <v/>
      </c>
      <c r="HU684" s="357" t="str">
        <f t="shared" si="208"/>
        <v/>
      </c>
      <c r="HV684" s="357" t="str">
        <f t="shared" si="209"/>
        <v/>
      </c>
      <c r="HW684" s="357" t="str">
        <f t="shared" si="210"/>
        <v/>
      </c>
      <c r="HX684" s="357" t="str">
        <f t="shared" si="211"/>
        <v/>
      </c>
      <c r="HY684" s="357" t="str">
        <f t="shared" si="212"/>
        <v/>
      </c>
      <c r="HZ684" s="1903" t="str">
        <f t="shared" si="213"/>
        <v/>
      </c>
      <c r="IA684" s="1903" t="str">
        <f t="shared" si="214"/>
        <v/>
      </c>
      <c r="IB684" s="1903" t="str">
        <f t="shared" si="215"/>
        <v/>
      </c>
      <c r="IC684" s="1903" t="str">
        <f t="shared" si="216"/>
        <v/>
      </c>
      <c r="ID684" s="1903" t="str">
        <f t="shared" si="217"/>
        <v/>
      </c>
      <c r="IE684" s="1903" t="str">
        <f t="shared" si="218"/>
        <v/>
      </c>
      <c r="IF684" s="1903" t="str">
        <f t="shared" si="219"/>
        <v/>
      </c>
      <c r="IG684" s="1903" t="str">
        <f t="shared" si="220"/>
        <v/>
      </c>
      <c r="IH684" s="1903" t="str">
        <f t="shared" si="221"/>
        <v/>
      </c>
      <c r="II684" s="1903" t="str">
        <f t="shared" si="222"/>
        <v/>
      </c>
      <c r="IJ684" s="1903" t="str">
        <f t="shared" si="223"/>
        <v/>
      </c>
      <c r="IK684" s="1903" t="str">
        <f t="shared" si="224"/>
        <v/>
      </c>
      <c r="IL684" s="1903" t="str">
        <f t="shared" si="225"/>
        <v/>
      </c>
      <c r="IM684" s="1903" t="str">
        <f t="shared" si="226"/>
        <v/>
      </c>
      <c r="IN684" s="1903" t="str">
        <f t="shared" si="227"/>
        <v/>
      </c>
      <c r="IO684" s="1903" t="str">
        <f t="shared" si="228"/>
        <v/>
      </c>
      <c r="IP684" s="1903" t="str">
        <f t="shared" si="229"/>
        <v/>
      </c>
      <c r="IQ684" s="1903" t="str">
        <f t="shared" si="230"/>
        <v/>
      </c>
      <c r="IR684" s="1903" t="str">
        <f t="shared" si="231"/>
        <v/>
      </c>
      <c r="IS684" s="1903" t="str">
        <f t="shared" si="232"/>
        <v/>
      </c>
      <c r="IT684" s="1903" t="str">
        <f t="shared" si="233"/>
        <v/>
      </c>
      <c r="IU684" s="1903" t="str">
        <f t="shared" si="234"/>
        <v/>
      </c>
      <c r="IV684" s="1903" t="str">
        <f t="shared" si="235"/>
        <v/>
      </c>
      <c r="IW684" s="1903" t="str">
        <f t="shared" si="236"/>
        <v/>
      </c>
      <c r="IX684" s="1903" t="str">
        <f t="shared" si="237"/>
        <v/>
      </c>
      <c r="IY684" s="1903" t="str">
        <f t="shared" si="238"/>
        <v/>
      </c>
      <c r="IZ684" s="1903" t="str">
        <f t="shared" si="239"/>
        <v/>
      </c>
      <c r="JA684" s="1903" t="str">
        <f t="shared" si="240"/>
        <v/>
      </c>
      <c r="JB684" s="1903" t="str">
        <f t="shared" si="241"/>
        <v/>
      </c>
      <c r="JC684" s="1903" t="str">
        <f t="shared" si="242"/>
        <v/>
      </c>
      <c r="JD684" s="1903" t="str">
        <f t="shared" si="243"/>
        <v/>
      </c>
      <c r="JE684" s="1903" t="str">
        <f t="shared" si="244"/>
        <v/>
      </c>
      <c r="JF684" s="1903" t="str">
        <f t="shared" si="245"/>
        <v/>
      </c>
      <c r="JG684" s="1903" t="str">
        <f t="shared" si="246"/>
        <v/>
      </c>
      <c r="JH684" s="1903" t="str">
        <f t="shared" si="247"/>
        <v/>
      </c>
      <c r="JI684" s="1903" t="str">
        <f t="shared" si="248"/>
        <v/>
      </c>
      <c r="JJ684" s="1903" t="str">
        <f t="shared" si="249"/>
        <v/>
      </c>
      <c r="JK684" s="1903" t="str">
        <f t="shared" si="250"/>
        <v/>
      </c>
      <c r="JL684" s="1903" t="str">
        <f t="shared" si="251"/>
        <v/>
      </c>
      <c r="JM684" s="1903" t="str">
        <f t="shared" si="252"/>
        <v/>
      </c>
      <c r="JN684" s="1903" t="str">
        <f t="shared" si="253"/>
        <v/>
      </c>
      <c r="JO684" s="1903" t="str">
        <f t="shared" si="254"/>
        <v/>
      </c>
      <c r="JP684" s="1903" t="str">
        <f t="shared" si="255"/>
        <v/>
      </c>
      <c r="JQ684" s="1903" t="str">
        <f t="shared" si="256"/>
        <v/>
      </c>
      <c r="JR684" s="1903" t="str">
        <f t="shared" si="257"/>
        <v/>
      </c>
      <c r="JS684" s="1903" t="str">
        <f t="shared" si="258"/>
        <v/>
      </c>
      <c r="JT684" s="1903" t="str">
        <f t="shared" si="259"/>
        <v/>
      </c>
      <c r="JU684" s="1903" t="str">
        <f t="shared" si="260"/>
        <v/>
      </c>
      <c r="JV684" s="1903" t="str">
        <f t="shared" si="261"/>
        <v/>
      </c>
      <c r="JW684" s="1903" t="str">
        <f t="shared" si="262"/>
        <v/>
      </c>
      <c r="JX684" s="1903" t="str">
        <f t="shared" si="263"/>
        <v/>
      </c>
      <c r="JY684" s="1903" t="str">
        <f t="shared" si="264"/>
        <v/>
      </c>
      <c r="JZ684" s="1903" t="str">
        <f t="shared" si="265"/>
        <v/>
      </c>
      <c r="KA684" s="1903" t="str">
        <f t="shared" si="266"/>
        <v/>
      </c>
      <c r="KB684" s="1903" t="str">
        <f t="shared" si="267"/>
        <v/>
      </c>
      <c r="KC684" s="1903" t="str">
        <f t="shared" si="268"/>
        <v/>
      </c>
      <c r="KD684" s="1903" t="str">
        <f t="shared" si="269"/>
        <v/>
      </c>
      <c r="KE684" s="1903" t="str">
        <f t="shared" si="270"/>
        <v/>
      </c>
      <c r="KF684" s="1903" t="str">
        <f t="shared" si="271"/>
        <v/>
      </c>
      <c r="KG684" s="1903" t="str">
        <f t="shared" si="272"/>
        <v/>
      </c>
      <c r="KH684" s="1903" t="str">
        <f t="shared" si="273"/>
        <v/>
      </c>
      <c r="KI684" s="1903" t="str">
        <f t="shared" si="274"/>
        <v/>
      </c>
      <c r="KJ684" s="1903" t="str">
        <f t="shared" si="275"/>
        <v/>
      </c>
      <c r="KK684" s="1903" t="str">
        <f t="shared" si="276"/>
        <v/>
      </c>
      <c r="KL684" s="1903" t="str">
        <f t="shared" si="277"/>
        <v/>
      </c>
      <c r="KM684" s="1903" t="str">
        <f t="shared" si="278"/>
        <v/>
      </c>
      <c r="KN684" s="1903" t="str">
        <f t="shared" si="279"/>
        <v/>
      </c>
      <c r="KO684" s="1903" t="str">
        <f t="shared" si="280"/>
        <v/>
      </c>
      <c r="KP684" s="1903" t="str">
        <f t="shared" si="281"/>
        <v/>
      </c>
      <c r="KQ684" s="1903" t="str">
        <f t="shared" si="282"/>
        <v/>
      </c>
      <c r="KR684" s="1903" t="str">
        <f t="shared" si="283"/>
        <v/>
      </c>
      <c r="KS684" s="1903" t="str">
        <f t="shared" si="284"/>
        <v/>
      </c>
      <c r="KT684" s="1903" t="str">
        <f t="shared" si="285"/>
        <v/>
      </c>
      <c r="KU684" s="1903" t="str">
        <f t="shared" si="286"/>
        <v/>
      </c>
      <c r="KV684" s="1903" t="str">
        <f t="shared" si="287"/>
        <v/>
      </c>
      <c r="KW684" s="1903" t="str">
        <f t="shared" si="288"/>
        <v/>
      </c>
      <c r="KX684" s="1903" t="str">
        <f t="shared" si="289"/>
        <v/>
      </c>
      <c r="KY684" s="1903" t="str">
        <f t="shared" si="290"/>
        <v/>
      </c>
      <c r="KZ684" s="1903" t="str">
        <f t="shared" si="291"/>
        <v/>
      </c>
      <c r="LA684" s="1903" t="str">
        <f t="shared" si="292"/>
        <v/>
      </c>
      <c r="LB684" s="1903" t="str">
        <f t="shared" si="293"/>
        <v/>
      </c>
      <c r="LC684" s="1903" t="str">
        <f t="shared" si="294"/>
        <v/>
      </c>
      <c r="LD684" s="1903" t="str">
        <f t="shared" si="295"/>
        <v/>
      </c>
      <c r="LE684" s="1903" t="str">
        <f t="shared" si="296"/>
        <v/>
      </c>
      <c r="LF684" s="1903" t="str">
        <f t="shared" si="297"/>
        <v/>
      </c>
      <c r="LG684" s="1750" t="str">
        <f t="shared" si="298"/>
        <v/>
      </c>
      <c r="LH684" s="1750" t="str">
        <f t="shared" si="299"/>
        <v/>
      </c>
      <c r="LI684" s="1750" t="str">
        <f t="shared" si="300"/>
        <v/>
      </c>
      <c r="LJ684" s="1750" t="str">
        <f t="shared" si="301"/>
        <v/>
      </c>
      <c r="LK684" s="1750" t="str">
        <f t="shared" si="302"/>
        <v/>
      </c>
      <c r="LL684" s="357" t="str">
        <f t="shared" si="303"/>
        <v/>
      </c>
      <c r="LM684" s="357" t="str">
        <f t="shared" si="304"/>
        <v/>
      </c>
      <c r="LN684" s="357" t="str">
        <f t="shared" si="305"/>
        <v/>
      </c>
      <c r="LO684" s="357" t="str">
        <f t="shared" si="306"/>
        <v/>
      </c>
      <c r="LP684" s="357" t="str">
        <f t="shared" si="307"/>
        <v/>
      </c>
      <c r="LQ684" s="357" t="str">
        <f t="shared" si="308"/>
        <v/>
      </c>
      <c r="LR684" s="357" t="str">
        <f t="shared" si="309"/>
        <v/>
      </c>
      <c r="LS684" s="357" t="str">
        <f t="shared" si="310"/>
        <v/>
      </c>
      <c r="LT684" s="357" t="str">
        <f t="shared" si="311"/>
        <v/>
      </c>
      <c r="LU684" s="357" t="str">
        <f t="shared" si="312"/>
        <v/>
      </c>
      <c r="LV684" s="357" t="str">
        <f t="shared" si="313"/>
        <v/>
      </c>
      <c r="LW684" s="357" t="str">
        <f t="shared" si="314"/>
        <v/>
      </c>
      <c r="LX684" s="357" t="str">
        <f t="shared" si="315"/>
        <v/>
      </c>
      <c r="LY684" s="357" t="str">
        <f t="shared" si="316"/>
        <v/>
      </c>
      <c r="LZ684" s="357" t="str">
        <f t="shared" si="317"/>
        <v/>
      </c>
      <c r="MA684" s="357" t="str">
        <f t="shared" si="318"/>
        <v/>
      </c>
      <c r="MB684" s="357" t="str">
        <f t="shared" si="319"/>
        <v/>
      </c>
      <c r="MC684" s="357" t="str">
        <f t="shared" si="320"/>
        <v/>
      </c>
      <c r="MD684" s="357" t="str">
        <f t="shared" si="321"/>
        <v/>
      </c>
      <c r="ME684" s="357" t="str">
        <f t="shared" si="322"/>
        <v/>
      </c>
      <c r="MF684" s="1750">
        <f t="shared" si="323"/>
        <v>0</v>
      </c>
      <c r="MG684" s="1750">
        <f t="shared" si="324"/>
        <v>0</v>
      </c>
      <c r="MH684" s="1750">
        <f t="shared" si="325"/>
        <v>0</v>
      </c>
      <c r="MI684" s="1750">
        <f t="shared" si="326"/>
        <v>0</v>
      </c>
      <c r="MJ684" s="1750">
        <f t="shared" si="327"/>
        <v>0</v>
      </c>
      <c r="MK684" s="1750">
        <f t="shared" si="333"/>
        <v>0</v>
      </c>
      <c r="ML684" s="1750">
        <f t="shared" si="334"/>
        <v>0</v>
      </c>
      <c r="MM684" s="1750">
        <f t="shared" si="335"/>
        <v>0</v>
      </c>
      <c r="MN684" s="1750">
        <f t="shared" si="336"/>
        <v>0</v>
      </c>
      <c r="MO684" s="1750">
        <f t="shared" si="337"/>
        <v>0</v>
      </c>
      <c r="MP684" s="1750">
        <f t="shared" si="328"/>
        <v>0</v>
      </c>
      <c r="MQ684" s="1750">
        <f t="shared" si="329"/>
        <v>0</v>
      </c>
      <c r="MR684" s="1750">
        <f t="shared" si="330"/>
        <v>0</v>
      </c>
      <c r="MS684" s="1750">
        <f t="shared" si="331"/>
        <v>0</v>
      </c>
      <c r="MT684" s="1750">
        <f t="shared" si="332"/>
        <v>0</v>
      </c>
      <c r="NP684" s="357" t="s">
        <v>6449</v>
      </c>
    </row>
    <row r="685" spans="1:380" ht="13.9" customHeight="1">
      <c r="A685" s="1901" t="str">
        <f t="shared" si="0"/>
        <v/>
      </c>
      <c r="B685" s="2238">
        <f>'Part V-Revenues &amp; Expenses'!B47</f>
        <v>0</v>
      </c>
      <c r="C685" s="2229">
        <f>'Part V-Revenues &amp; Expenses'!C47</f>
        <v>0</v>
      </c>
      <c r="D685" s="2230">
        <f>'Part V-Revenues &amp; Expenses'!D47</f>
        <v>0</v>
      </c>
      <c r="E685" s="2231">
        <f>'Part V-Revenues &amp; Expenses'!E47</f>
        <v>0</v>
      </c>
      <c r="F685" s="2231">
        <f>'Part V-Revenues &amp; Expenses'!F47</f>
        <v>0</v>
      </c>
      <c r="G685" s="2231">
        <f>'Part V-Revenues &amp; Expenses'!G47</f>
        <v>0</v>
      </c>
      <c r="H685" s="2231">
        <f>'Part V-Revenues &amp; Expenses'!H47</f>
        <v>0</v>
      </c>
      <c r="I685" s="2231">
        <f>'Part V-Revenues &amp; Expenses'!I47</f>
        <v>0</v>
      </c>
      <c r="J685" s="2231">
        <f>'Part V-Revenues &amp; Expenses'!J47</f>
        <v>0</v>
      </c>
      <c r="K685" s="2232">
        <f>'Part V-Revenues &amp; Expenses'!K47</f>
        <v>0</v>
      </c>
      <c r="L685" s="2233">
        <f t="shared" si="340"/>
        <v>0</v>
      </c>
      <c r="M685" s="2233">
        <f t="shared" si="341"/>
        <v>0</v>
      </c>
      <c r="N685" s="2094">
        <f>'Part V-Revenues &amp; Expenses'!N47</f>
        <v>0</v>
      </c>
      <c r="O685" s="2234">
        <f>'Part V-Revenues &amp; Expenses'!O47</f>
        <v>0</v>
      </c>
      <c r="P685" s="2094">
        <f>'Part V-Revenues &amp; Expenses'!P47</f>
        <v>0</v>
      </c>
      <c r="Q685" s="2235">
        <f>'Part V-Revenues &amp; Expenses'!Q47</f>
        <v>0</v>
      </c>
      <c r="R685" s="2236"/>
      <c r="S685" s="2237"/>
      <c r="T685" s="2160"/>
      <c r="U685" s="2160"/>
      <c r="V685" s="2160"/>
      <c r="W685" s="2160"/>
      <c r="X685" s="357" t="str">
        <f t="shared" si="3"/>
        <v/>
      </c>
      <c r="Y685" s="357" t="str">
        <f t="shared" si="4"/>
        <v/>
      </c>
      <c r="Z685" s="357" t="str">
        <f t="shared" si="5"/>
        <v/>
      </c>
      <c r="AA685" s="357" t="str">
        <f t="shared" si="6"/>
        <v/>
      </c>
      <c r="AB685" s="357" t="str">
        <f t="shared" si="7"/>
        <v/>
      </c>
      <c r="AC685" s="357" t="str">
        <f t="shared" si="8"/>
        <v/>
      </c>
      <c r="AD685" s="357" t="str">
        <f t="shared" si="9"/>
        <v/>
      </c>
      <c r="AE685" s="357" t="str">
        <f t="shared" si="10"/>
        <v/>
      </c>
      <c r="AF685" s="357" t="str">
        <f t="shared" si="11"/>
        <v/>
      </c>
      <c r="AG685" s="357" t="str">
        <f t="shared" si="12"/>
        <v/>
      </c>
      <c r="AH685" s="357" t="str">
        <f t="shared" si="13"/>
        <v/>
      </c>
      <c r="AI685" s="357" t="str">
        <f t="shared" si="14"/>
        <v/>
      </c>
      <c r="AJ685" s="357" t="str">
        <f t="shared" si="15"/>
        <v/>
      </c>
      <c r="AK685" s="357" t="str">
        <f t="shared" si="16"/>
        <v/>
      </c>
      <c r="AL685" s="357" t="str">
        <f t="shared" si="17"/>
        <v/>
      </c>
      <c r="AM685" s="357" t="str">
        <f t="shared" si="18"/>
        <v/>
      </c>
      <c r="AN685" s="357" t="str">
        <f t="shared" si="19"/>
        <v/>
      </c>
      <c r="AO685" s="357" t="str">
        <f t="shared" si="20"/>
        <v/>
      </c>
      <c r="AP685" s="357" t="str">
        <f t="shared" si="21"/>
        <v/>
      </c>
      <c r="AQ685" s="357" t="str">
        <f t="shared" si="22"/>
        <v/>
      </c>
      <c r="AR685" s="357" t="str">
        <f t="shared" si="23"/>
        <v/>
      </c>
      <c r="AS685" s="357" t="str">
        <f t="shared" si="24"/>
        <v/>
      </c>
      <c r="AT685" s="357" t="str">
        <f t="shared" si="25"/>
        <v/>
      </c>
      <c r="AU685" s="357" t="str">
        <f t="shared" si="26"/>
        <v/>
      </c>
      <c r="AV685" s="357" t="str">
        <f t="shared" si="27"/>
        <v/>
      </c>
      <c r="AW685" s="357" t="str">
        <f t="shared" si="28"/>
        <v/>
      </c>
      <c r="AX685" s="357" t="str">
        <f t="shared" si="29"/>
        <v/>
      </c>
      <c r="AY685" s="357" t="str">
        <f t="shared" si="30"/>
        <v/>
      </c>
      <c r="AZ685" s="357" t="str">
        <f t="shared" si="31"/>
        <v/>
      </c>
      <c r="BA685" s="357" t="str">
        <f t="shared" si="32"/>
        <v/>
      </c>
      <c r="BB685" s="357" t="str">
        <f t="shared" si="33"/>
        <v/>
      </c>
      <c r="BC685" s="357" t="str">
        <f t="shared" si="34"/>
        <v/>
      </c>
      <c r="BD685" s="357" t="str">
        <f t="shared" si="35"/>
        <v/>
      </c>
      <c r="BE685" s="357" t="str">
        <f t="shared" si="36"/>
        <v/>
      </c>
      <c r="BF685" s="357" t="str">
        <f t="shared" si="37"/>
        <v/>
      </c>
      <c r="BG685" s="357" t="str">
        <f t="shared" si="38"/>
        <v/>
      </c>
      <c r="BH685" s="357" t="str">
        <f t="shared" si="39"/>
        <v/>
      </c>
      <c r="BI685" s="357" t="str">
        <f t="shared" si="40"/>
        <v/>
      </c>
      <c r="BJ685" s="357" t="str">
        <f t="shared" si="41"/>
        <v/>
      </c>
      <c r="BK685" s="357" t="str">
        <f t="shared" si="42"/>
        <v/>
      </c>
      <c r="BL685" s="357" t="str">
        <f t="shared" si="43"/>
        <v/>
      </c>
      <c r="BM685" s="357" t="str">
        <f t="shared" si="44"/>
        <v/>
      </c>
      <c r="BN685" s="357" t="str">
        <f t="shared" si="45"/>
        <v/>
      </c>
      <c r="BO685" s="357" t="str">
        <f t="shared" si="46"/>
        <v/>
      </c>
      <c r="BP685" s="357" t="str">
        <f t="shared" si="47"/>
        <v/>
      </c>
      <c r="BQ685" s="357" t="str">
        <f t="shared" si="48"/>
        <v/>
      </c>
      <c r="BR685" s="357" t="str">
        <f t="shared" si="49"/>
        <v/>
      </c>
      <c r="BS685" s="357" t="str">
        <f t="shared" si="50"/>
        <v/>
      </c>
      <c r="BT685" s="357" t="str">
        <f t="shared" si="51"/>
        <v/>
      </c>
      <c r="BU685" s="357" t="str">
        <f t="shared" si="52"/>
        <v/>
      </c>
      <c r="BV685" s="357" t="str">
        <f t="shared" si="53"/>
        <v/>
      </c>
      <c r="BW685" s="357" t="str">
        <f t="shared" si="54"/>
        <v/>
      </c>
      <c r="BX685" s="357" t="str">
        <f t="shared" si="55"/>
        <v/>
      </c>
      <c r="BY685" s="357" t="str">
        <f t="shared" si="56"/>
        <v/>
      </c>
      <c r="BZ685" s="357" t="str">
        <f t="shared" si="57"/>
        <v/>
      </c>
      <c r="CA685" s="357" t="str">
        <f t="shared" si="58"/>
        <v/>
      </c>
      <c r="CB685" s="357" t="str">
        <f t="shared" si="59"/>
        <v/>
      </c>
      <c r="CC685" s="357" t="str">
        <f t="shared" si="60"/>
        <v/>
      </c>
      <c r="CD685" s="357" t="str">
        <f t="shared" si="61"/>
        <v/>
      </c>
      <c r="CE685" s="357" t="str">
        <f t="shared" si="62"/>
        <v/>
      </c>
      <c r="CF685" s="357" t="str">
        <f t="shared" si="63"/>
        <v/>
      </c>
      <c r="CG685" s="357" t="str">
        <f t="shared" si="64"/>
        <v/>
      </c>
      <c r="CH685" s="357" t="str">
        <f t="shared" si="65"/>
        <v/>
      </c>
      <c r="CI685" s="357" t="str">
        <f t="shared" si="66"/>
        <v/>
      </c>
      <c r="CJ685" s="357" t="str">
        <f t="shared" si="67"/>
        <v/>
      </c>
      <c r="CK685" s="357" t="str">
        <f t="shared" si="68"/>
        <v/>
      </c>
      <c r="CL685" s="357" t="str">
        <f t="shared" si="69"/>
        <v/>
      </c>
      <c r="CM685" s="357" t="str">
        <f t="shared" si="70"/>
        <v/>
      </c>
      <c r="CN685" s="357" t="str">
        <f t="shared" si="71"/>
        <v/>
      </c>
      <c r="CO685" s="357" t="str">
        <f t="shared" si="72"/>
        <v/>
      </c>
      <c r="CP685" s="357" t="str">
        <f t="shared" si="73"/>
        <v/>
      </c>
      <c r="CQ685" s="357" t="str">
        <f t="shared" si="74"/>
        <v/>
      </c>
      <c r="CR685" s="357" t="str">
        <f t="shared" si="75"/>
        <v/>
      </c>
      <c r="CS685" s="357" t="str">
        <f t="shared" si="76"/>
        <v/>
      </c>
      <c r="CT685" s="357" t="str">
        <f t="shared" si="77"/>
        <v/>
      </c>
      <c r="CU685" s="357" t="str">
        <f t="shared" si="78"/>
        <v/>
      </c>
      <c r="CV685" s="357" t="str">
        <f t="shared" si="79"/>
        <v/>
      </c>
      <c r="CW685" s="357" t="str">
        <f t="shared" si="80"/>
        <v/>
      </c>
      <c r="CX685" s="357" t="str">
        <f t="shared" si="81"/>
        <v/>
      </c>
      <c r="CY685" s="357" t="str">
        <f t="shared" si="82"/>
        <v/>
      </c>
      <c r="CZ685" s="357" t="str">
        <f t="shared" si="83"/>
        <v/>
      </c>
      <c r="DA685" s="357" t="str">
        <f t="shared" si="84"/>
        <v/>
      </c>
      <c r="DB685" s="357" t="str">
        <f t="shared" si="85"/>
        <v/>
      </c>
      <c r="DC685" s="357" t="str">
        <f t="shared" si="86"/>
        <v/>
      </c>
      <c r="DD685" s="357" t="str">
        <f t="shared" si="87"/>
        <v/>
      </c>
      <c r="DE685" s="357" t="str">
        <f t="shared" si="88"/>
        <v/>
      </c>
      <c r="DF685" s="357" t="str">
        <f t="shared" si="89"/>
        <v/>
      </c>
      <c r="DG685" s="357" t="str">
        <f t="shared" si="90"/>
        <v/>
      </c>
      <c r="DH685" s="357" t="str">
        <f t="shared" si="91"/>
        <v/>
      </c>
      <c r="DI685" s="357" t="str">
        <f t="shared" si="92"/>
        <v/>
      </c>
      <c r="DJ685" s="357" t="str">
        <f t="shared" si="93"/>
        <v/>
      </c>
      <c r="DK685" s="357" t="str">
        <f t="shared" si="94"/>
        <v/>
      </c>
      <c r="DL685" s="357" t="str">
        <f t="shared" si="95"/>
        <v/>
      </c>
      <c r="DM685" s="357" t="str">
        <f t="shared" si="96"/>
        <v/>
      </c>
      <c r="DN685" s="357" t="str">
        <f t="shared" si="97"/>
        <v/>
      </c>
      <c r="DO685" s="357" t="str">
        <f t="shared" si="98"/>
        <v/>
      </c>
      <c r="DP685" s="357" t="str">
        <f t="shared" si="99"/>
        <v/>
      </c>
      <c r="DQ685" s="357" t="str">
        <f t="shared" si="100"/>
        <v/>
      </c>
      <c r="DR685" s="357" t="str">
        <f t="shared" si="101"/>
        <v/>
      </c>
      <c r="DS685" s="357" t="str">
        <f t="shared" si="102"/>
        <v/>
      </c>
      <c r="DT685" s="357" t="str">
        <f t="shared" si="103"/>
        <v/>
      </c>
      <c r="DU685" s="357" t="str">
        <f t="shared" si="104"/>
        <v/>
      </c>
      <c r="DV685" s="357" t="str">
        <f t="shared" si="105"/>
        <v/>
      </c>
      <c r="DW685" s="357" t="str">
        <f t="shared" si="106"/>
        <v/>
      </c>
      <c r="DX685" s="357" t="str">
        <f t="shared" si="107"/>
        <v/>
      </c>
      <c r="DY685" s="357" t="str">
        <f t="shared" si="108"/>
        <v/>
      </c>
      <c r="DZ685" s="357" t="str">
        <f t="shared" si="109"/>
        <v/>
      </c>
      <c r="EA685" s="357" t="str">
        <f t="shared" si="110"/>
        <v/>
      </c>
      <c r="EB685" s="357" t="str">
        <f t="shared" si="111"/>
        <v/>
      </c>
      <c r="EC685" s="357" t="str">
        <f t="shared" si="112"/>
        <v/>
      </c>
      <c r="ED685" s="357" t="str">
        <f t="shared" si="113"/>
        <v/>
      </c>
      <c r="EE685" s="357" t="str">
        <f t="shared" si="114"/>
        <v/>
      </c>
      <c r="EF685" s="357" t="str">
        <f t="shared" si="115"/>
        <v/>
      </c>
      <c r="EG685" s="357" t="str">
        <f t="shared" si="116"/>
        <v/>
      </c>
      <c r="EH685" s="357" t="str">
        <f t="shared" si="117"/>
        <v/>
      </c>
      <c r="EI685" s="357" t="str">
        <f t="shared" si="118"/>
        <v/>
      </c>
      <c r="EJ685" s="357" t="str">
        <f t="shared" si="119"/>
        <v/>
      </c>
      <c r="EK685" s="357" t="str">
        <f t="shared" si="120"/>
        <v/>
      </c>
      <c r="EL685" s="357" t="str">
        <f t="shared" si="121"/>
        <v/>
      </c>
      <c r="EM685" s="357" t="str">
        <f t="shared" si="122"/>
        <v/>
      </c>
      <c r="EN685" s="357" t="str">
        <f t="shared" si="123"/>
        <v/>
      </c>
      <c r="EO685" s="357" t="str">
        <f t="shared" si="124"/>
        <v/>
      </c>
      <c r="EP685" s="357" t="str">
        <f t="shared" si="125"/>
        <v/>
      </c>
      <c r="EQ685" s="357" t="str">
        <f t="shared" si="126"/>
        <v/>
      </c>
      <c r="ER685" s="357" t="str">
        <f t="shared" si="127"/>
        <v/>
      </c>
      <c r="ES685" s="357" t="str">
        <f t="shared" si="128"/>
        <v/>
      </c>
      <c r="ET685" s="357" t="str">
        <f t="shared" si="129"/>
        <v/>
      </c>
      <c r="EU685" s="357" t="str">
        <f t="shared" si="130"/>
        <v/>
      </c>
      <c r="EV685" s="357" t="str">
        <f t="shared" si="131"/>
        <v/>
      </c>
      <c r="EW685" s="357" t="str">
        <f t="shared" si="132"/>
        <v/>
      </c>
      <c r="EX685" s="357" t="str">
        <f t="shared" si="133"/>
        <v/>
      </c>
      <c r="EY685" s="357" t="str">
        <f t="shared" si="134"/>
        <v/>
      </c>
      <c r="EZ685" s="357" t="str">
        <f t="shared" si="135"/>
        <v/>
      </c>
      <c r="FA685" s="357" t="str">
        <f t="shared" si="136"/>
        <v/>
      </c>
      <c r="FB685" s="357" t="str">
        <f t="shared" si="137"/>
        <v/>
      </c>
      <c r="FC685" s="357" t="str">
        <f t="shared" si="138"/>
        <v/>
      </c>
      <c r="FD685" s="357" t="str">
        <f t="shared" si="139"/>
        <v/>
      </c>
      <c r="FE685" s="357" t="str">
        <f t="shared" si="140"/>
        <v/>
      </c>
      <c r="FF685" s="357" t="str">
        <f t="shared" si="141"/>
        <v/>
      </c>
      <c r="FG685" s="357" t="str">
        <f t="shared" si="142"/>
        <v/>
      </c>
      <c r="FH685" s="357" t="str">
        <f t="shared" si="143"/>
        <v/>
      </c>
      <c r="FI685" s="357" t="str">
        <f t="shared" si="144"/>
        <v/>
      </c>
      <c r="FJ685" s="357" t="str">
        <f t="shared" si="145"/>
        <v/>
      </c>
      <c r="FK685" s="357" t="str">
        <f t="shared" si="146"/>
        <v/>
      </c>
      <c r="FL685" s="357" t="str">
        <f t="shared" si="147"/>
        <v/>
      </c>
      <c r="FM685" s="357" t="str">
        <f t="shared" si="148"/>
        <v/>
      </c>
      <c r="FN685" s="357" t="str">
        <f t="shared" si="149"/>
        <v/>
      </c>
      <c r="FO685" s="357" t="str">
        <f t="shared" si="150"/>
        <v/>
      </c>
      <c r="FP685" s="357" t="str">
        <f t="shared" si="151"/>
        <v/>
      </c>
      <c r="FQ685" s="357" t="str">
        <f t="shared" si="152"/>
        <v/>
      </c>
      <c r="FR685" s="357" t="str">
        <f t="shared" si="153"/>
        <v/>
      </c>
      <c r="FS685" s="357" t="str">
        <f t="shared" si="154"/>
        <v/>
      </c>
      <c r="FT685" s="357" t="str">
        <f t="shared" si="155"/>
        <v/>
      </c>
      <c r="FU685" s="357" t="str">
        <f t="shared" si="156"/>
        <v/>
      </c>
      <c r="FV685" s="357" t="str">
        <f t="shared" si="157"/>
        <v/>
      </c>
      <c r="FW685" s="357" t="str">
        <f t="shared" si="158"/>
        <v/>
      </c>
      <c r="FX685" s="357" t="str">
        <f t="shared" si="159"/>
        <v/>
      </c>
      <c r="FY685" s="357" t="str">
        <f t="shared" si="160"/>
        <v/>
      </c>
      <c r="FZ685" s="357" t="str">
        <f t="shared" si="161"/>
        <v/>
      </c>
      <c r="GA685" s="357" t="str">
        <f t="shared" si="162"/>
        <v/>
      </c>
      <c r="GB685" s="357" t="str">
        <f t="shared" si="163"/>
        <v/>
      </c>
      <c r="GC685" s="357" t="str">
        <f t="shared" si="164"/>
        <v/>
      </c>
      <c r="GD685" s="357" t="str">
        <f t="shared" si="165"/>
        <v/>
      </c>
      <c r="GE685" s="357" t="str">
        <f t="shared" si="166"/>
        <v/>
      </c>
      <c r="GF685" s="357" t="str">
        <f t="shared" si="167"/>
        <v/>
      </c>
      <c r="GG685" s="357" t="str">
        <f t="shared" si="168"/>
        <v/>
      </c>
      <c r="GH685" s="357" t="str">
        <f t="shared" si="169"/>
        <v/>
      </c>
      <c r="GI685" s="357" t="str">
        <f t="shared" si="170"/>
        <v/>
      </c>
      <c r="GJ685" s="357" t="str">
        <f t="shared" si="171"/>
        <v/>
      </c>
      <c r="GK685" s="357" t="str">
        <f t="shared" si="172"/>
        <v/>
      </c>
      <c r="GL685" s="357" t="str">
        <f t="shared" si="173"/>
        <v/>
      </c>
      <c r="GM685" s="357" t="str">
        <f t="shared" si="174"/>
        <v/>
      </c>
      <c r="GN685" s="357" t="str">
        <f t="shared" si="175"/>
        <v/>
      </c>
      <c r="GO685" s="357" t="str">
        <f t="shared" si="176"/>
        <v/>
      </c>
      <c r="GP685" s="357" t="str">
        <f t="shared" si="177"/>
        <v/>
      </c>
      <c r="GQ685" s="357" t="str">
        <f t="shared" si="178"/>
        <v/>
      </c>
      <c r="GR685" s="357" t="str">
        <f t="shared" si="179"/>
        <v/>
      </c>
      <c r="GS685" s="357" t="str">
        <f t="shared" si="180"/>
        <v/>
      </c>
      <c r="GT685" s="357" t="str">
        <f t="shared" si="181"/>
        <v/>
      </c>
      <c r="GU685" s="357" t="str">
        <f t="shared" si="182"/>
        <v/>
      </c>
      <c r="GV685" s="357" t="str">
        <f t="shared" si="183"/>
        <v/>
      </c>
      <c r="GW685" s="357" t="str">
        <f t="shared" si="184"/>
        <v/>
      </c>
      <c r="GX685" s="357" t="str">
        <f t="shared" si="185"/>
        <v/>
      </c>
      <c r="GY685" s="357" t="str">
        <f t="shared" si="186"/>
        <v/>
      </c>
      <c r="GZ685" s="357" t="str">
        <f t="shared" si="187"/>
        <v/>
      </c>
      <c r="HA685" s="357" t="str">
        <f t="shared" si="188"/>
        <v/>
      </c>
      <c r="HB685" s="357" t="str">
        <f t="shared" si="189"/>
        <v/>
      </c>
      <c r="HC685" s="357" t="str">
        <f t="shared" si="190"/>
        <v/>
      </c>
      <c r="HD685" s="357" t="str">
        <f t="shared" si="191"/>
        <v/>
      </c>
      <c r="HE685" s="357" t="str">
        <f t="shared" si="192"/>
        <v/>
      </c>
      <c r="HF685" s="357" t="str">
        <f t="shared" si="193"/>
        <v/>
      </c>
      <c r="HG685" s="357" t="str">
        <f t="shared" si="194"/>
        <v/>
      </c>
      <c r="HH685" s="357" t="str">
        <f t="shared" si="195"/>
        <v/>
      </c>
      <c r="HI685" s="357" t="str">
        <f t="shared" si="196"/>
        <v/>
      </c>
      <c r="HJ685" s="357" t="str">
        <f t="shared" si="197"/>
        <v/>
      </c>
      <c r="HK685" s="357" t="str">
        <f t="shared" si="198"/>
        <v/>
      </c>
      <c r="HL685" s="357" t="str">
        <f t="shared" si="199"/>
        <v/>
      </c>
      <c r="HM685" s="357" t="str">
        <f t="shared" si="200"/>
        <v/>
      </c>
      <c r="HN685" s="357" t="str">
        <f t="shared" si="201"/>
        <v/>
      </c>
      <c r="HO685" s="357" t="str">
        <f t="shared" si="202"/>
        <v/>
      </c>
      <c r="HP685" s="357" t="str">
        <f t="shared" si="203"/>
        <v/>
      </c>
      <c r="HQ685" s="357" t="str">
        <f t="shared" si="204"/>
        <v/>
      </c>
      <c r="HR685" s="357" t="str">
        <f t="shared" si="205"/>
        <v/>
      </c>
      <c r="HS685" s="357" t="str">
        <f t="shared" si="206"/>
        <v/>
      </c>
      <c r="HT685" s="357" t="str">
        <f t="shared" si="207"/>
        <v/>
      </c>
      <c r="HU685" s="357" t="str">
        <f t="shared" si="208"/>
        <v/>
      </c>
      <c r="HV685" s="357" t="str">
        <f t="shared" si="209"/>
        <v/>
      </c>
      <c r="HW685" s="357" t="str">
        <f t="shared" si="210"/>
        <v/>
      </c>
      <c r="HX685" s="357" t="str">
        <f t="shared" si="211"/>
        <v/>
      </c>
      <c r="HY685" s="357" t="str">
        <f t="shared" si="212"/>
        <v/>
      </c>
      <c r="HZ685" s="1903" t="str">
        <f t="shared" si="213"/>
        <v/>
      </c>
      <c r="IA685" s="1903" t="str">
        <f t="shared" si="214"/>
        <v/>
      </c>
      <c r="IB685" s="1903" t="str">
        <f t="shared" si="215"/>
        <v/>
      </c>
      <c r="IC685" s="1903" t="str">
        <f t="shared" si="216"/>
        <v/>
      </c>
      <c r="ID685" s="1903" t="str">
        <f t="shared" si="217"/>
        <v/>
      </c>
      <c r="IE685" s="1903" t="str">
        <f t="shared" si="218"/>
        <v/>
      </c>
      <c r="IF685" s="1903" t="str">
        <f t="shared" si="219"/>
        <v/>
      </c>
      <c r="IG685" s="1903" t="str">
        <f t="shared" si="220"/>
        <v/>
      </c>
      <c r="IH685" s="1903" t="str">
        <f t="shared" si="221"/>
        <v/>
      </c>
      <c r="II685" s="1903" t="str">
        <f t="shared" si="222"/>
        <v/>
      </c>
      <c r="IJ685" s="1903" t="str">
        <f t="shared" si="223"/>
        <v/>
      </c>
      <c r="IK685" s="1903" t="str">
        <f t="shared" si="224"/>
        <v/>
      </c>
      <c r="IL685" s="1903" t="str">
        <f t="shared" si="225"/>
        <v/>
      </c>
      <c r="IM685" s="1903" t="str">
        <f t="shared" si="226"/>
        <v/>
      </c>
      <c r="IN685" s="1903" t="str">
        <f t="shared" si="227"/>
        <v/>
      </c>
      <c r="IO685" s="1903" t="str">
        <f t="shared" si="228"/>
        <v/>
      </c>
      <c r="IP685" s="1903" t="str">
        <f t="shared" si="229"/>
        <v/>
      </c>
      <c r="IQ685" s="1903" t="str">
        <f t="shared" si="230"/>
        <v/>
      </c>
      <c r="IR685" s="1903" t="str">
        <f t="shared" si="231"/>
        <v/>
      </c>
      <c r="IS685" s="1903" t="str">
        <f t="shared" si="232"/>
        <v/>
      </c>
      <c r="IT685" s="1903" t="str">
        <f t="shared" si="233"/>
        <v/>
      </c>
      <c r="IU685" s="1903" t="str">
        <f t="shared" si="234"/>
        <v/>
      </c>
      <c r="IV685" s="1903" t="str">
        <f t="shared" si="235"/>
        <v/>
      </c>
      <c r="IW685" s="1903" t="str">
        <f t="shared" si="236"/>
        <v/>
      </c>
      <c r="IX685" s="1903" t="str">
        <f t="shared" si="237"/>
        <v/>
      </c>
      <c r="IY685" s="1903" t="str">
        <f t="shared" si="238"/>
        <v/>
      </c>
      <c r="IZ685" s="1903" t="str">
        <f t="shared" si="239"/>
        <v/>
      </c>
      <c r="JA685" s="1903" t="str">
        <f t="shared" si="240"/>
        <v/>
      </c>
      <c r="JB685" s="1903" t="str">
        <f t="shared" si="241"/>
        <v/>
      </c>
      <c r="JC685" s="1903" t="str">
        <f t="shared" si="242"/>
        <v/>
      </c>
      <c r="JD685" s="1903" t="str">
        <f t="shared" si="243"/>
        <v/>
      </c>
      <c r="JE685" s="1903" t="str">
        <f t="shared" si="244"/>
        <v/>
      </c>
      <c r="JF685" s="1903" t="str">
        <f t="shared" si="245"/>
        <v/>
      </c>
      <c r="JG685" s="1903" t="str">
        <f t="shared" si="246"/>
        <v/>
      </c>
      <c r="JH685" s="1903" t="str">
        <f t="shared" si="247"/>
        <v/>
      </c>
      <c r="JI685" s="1903" t="str">
        <f t="shared" si="248"/>
        <v/>
      </c>
      <c r="JJ685" s="1903" t="str">
        <f t="shared" si="249"/>
        <v/>
      </c>
      <c r="JK685" s="1903" t="str">
        <f t="shared" si="250"/>
        <v/>
      </c>
      <c r="JL685" s="1903" t="str">
        <f t="shared" si="251"/>
        <v/>
      </c>
      <c r="JM685" s="1903" t="str">
        <f t="shared" si="252"/>
        <v/>
      </c>
      <c r="JN685" s="1903" t="str">
        <f t="shared" si="253"/>
        <v/>
      </c>
      <c r="JO685" s="1903" t="str">
        <f t="shared" si="254"/>
        <v/>
      </c>
      <c r="JP685" s="1903" t="str">
        <f t="shared" si="255"/>
        <v/>
      </c>
      <c r="JQ685" s="1903" t="str">
        <f t="shared" si="256"/>
        <v/>
      </c>
      <c r="JR685" s="1903" t="str">
        <f t="shared" si="257"/>
        <v/>
      </c>
      <c r="JS685" s="1903" t="str">
        <f t="shared" si="258"/>
        <v/>
      </c>
      <c r="JT685" s="1903" t="str">
        <f t="shared" si="259"/>
        <v/>
      </c>
      <c r="JU685" s="1903" t="str">
        <f t="shared" si="260"/>
        <v/>
      </c>
      <c r="JV685" s="1903" t="str">
        <f t="shared" si="261"/>
        <v/>
      </c>
      <c r="JW685" s="1903" t="str">
        <f t="shared" si="262"/>
        <v/>
      </c>
      <c r="JX685" s="1903" t="str">
        <f t="shared" si="263"/>
        <v/>
      </c>
      <c r="JY685" s="1903" t="str">
        <f t="shared" si="264"/>
        <v/>
      </c>
      <c r="JZ685" s="1903" t="str">
        <f t="shared" si="265"/>
        <v/>
      </c>
      <c r="KA685" s="1903" t="str">
        <f t="shared" si="266"/>
        <v/>
      </c>
      <c r="KB685" s="1903" t="str">
        <f t="shared" si="267"/>
        <v/>
      </c>
      <c r="KC685" s="1903" t="str">
        <f t="shared" si="268"/>
        <v/>
      </c>
      <c r="KD685" s="1903" t="str">
        <f t="shared" si="269"/>
        <v/>
      </c>
      <c r="KE685" s="1903" t="str">
        <f t="shared" si="270"/>
        <v/>
      </c>
      <c r="KF685" s="1903" t="str">
        <f t="shared" si="271"/>
        <v/>
      </c>
      <c r="KG685" s="1903" t="str">
        <f t="shared" si="272"/>
        <v/>
      </c>
      <c r="KH685" s="1903" t="str">
        <f t="shared" si="273"/>
        <v/>
      </c>
      <c r="KI685" s="1903" t="str">
        <f t="shared" si="274"/>
        <v/>
      </c>
      <c r="KJ685" s="1903" t="str">
        <f t="shared" si="275"/>
        <v/>
      </c>
      <c r="KK685" s="1903" t="str">
        <f t="shared" si="276"/>
        <v/>
      </c>
      <c r="KL685" s="1903" t="str">
        <f t="shared" si="277"/>
        <v/>
      </c>
      <c r="KM685" s="1903" t="str">
        <f t="shared" si="278"/>
        <v/>
      </c>
      <c r="KN685" s="1903" t="str">
        <f t="shared" si="279"/>
        <v/>
      </c>
      <c r="KO685" s="1903" t="str">
        <f t="shared" si="280"/>
        <v/>
      </c>
      <c r="KP685" s="1903" t="str">
        <f t="shared" si="281"/>
        <v/>
      </c>
      <c r="KQ685" s="1903" t="str">
        <f t="shared" si="282"/>
        <v/>
      </c>
      <c r="KR685" s="1903" t="str">
        <f t="shared" si="283"/>
        <v/>
      </c>
      <c r="KS685" s="1903" t="str">
        <f t="shared" si="284"/>
        <v/>
      </c>
      <c r="KT685" s="1903" t="str">
        <f t="shared" si="285"/>
        <v/>
      </c>
      <c r="KU685" s="1903" t="str">
        <f t="shared" si="286"/>
        <v/>
      </c>
      <c r="KV685" s="1903" t="str">
        <f t="shared" si="287"/>
        <v/>
      </c>
      <c r="KW685" s="1903" t="str">
        <f t="shared" si="288"/>
        <v/>
      </c>
      <c r="KX685" s="1903" t="str">
        <f t="shared" si="289"/>
        <v/>
      </c>
      <c r="KY685" s="1903" t="str">
        <f t="shared" si="290"/>
        <v/>
      </c>
      <c r="KZ685" s="1903" t="str">
        <f t="shared" si="291"/>
        <v/>
      </c>
      <c r="LA685" s="1903" t="str">
        <f t="shared" si="292"/>
        <v/>
      </c>
      <c r="LB685" s="1903" t="str">
        <f t="shared" si="293"/>
        <v/>
      </c>
      <c r="LC685" s="1903" t="str">
        <f t="shared" si="294"/>
        <v/>
      </c>
      <c r="LD685" s="1903" t="str">
        <f t="shared" si="295"/>
        <v/>
      </c>
      <c r="LE685" s="1903" t="str">
        <f t="shared" si="296"/>
        <v/>
      </c>
      <c r="LF685" s="1903" t="str">
        <f t="shared" si="297"/>
        <v/>
      </c>
      <c r="LG685" s="1750" t="str">
        <f t="shared" si="298"/>
        <v/>
      </c>
      <c r="LH685" s="1750" t="str">
        <f t="shared" si="299"/>
        <v/>
      </c>
      <c r="LI685" s="1750" t="str">
        <f t="shared" si="300"/>
        <v/>
      </c>
      <c r="LJ685" s="1750" t="str">
        <f t="shared" si="301"/>
        <v/>
      </c>
      <c r="LK685" s="1750" t="str">
        <f t="shared" si="302"/>
        <v/>
      </c>
      <c r="LL685" s="357" t="str">
        <f t="shared" si="303"/>
        <v/>
      </c>
      <c r="LM685" s="357" t="str">
        <f t="shared" si="304"/>
        <v/>
      </c>
      <c r="LN685" s="357" t="str">
        <f t="shared" si="305"/>
        <v/>
      </c>
      <c r="LO685" s="357" t="str">
        <f t="shared" si="306"/>
        <v/>
      </c>
      <c r="LP685" s="357" t="str">
        <f t="shared" si="307"/>
        <v/>
      </c>
      <c r="LQ685" s="357" t="str">
        <f t="shared" si="308"/>
        <v/>
      </c>
      <c r="LR685" s="357" t="str">
        <f t="shared" si="309"/>
        <v/>
      </c>
      <c r="LS685" s="357" t="str">
        <f t="shared" si="310"/>
        <v/>
      </c>
      <c r="LT685" s="357" t="str">
        <f t="shared" si="311"/>
        <v/>
      </c>
      <c r="LU685" s="357" t="str">
        <f t="shared" si="312"/>
        <v/>
      </c>
      <c r="LV685" s="357" t="str">
        <f t="shared" si="313"/>
        <v/>
      </c>
      <c r="LW685" s="357" t="str">
        <f t="shared" si="314"/>
        <v/>
      </c>
      <c r="LX685" s="357" t="str">
        <f t="shared" si="315"/>
        <v/>
      </c>
      <c r="LY685" s="357" t="str">
        <f t="shared" si="316"/>
        <v/>
      </c>
      <c r="LZ685" s="357" t="str">
        <f t="shared" si="317"/>
        <v/>
      </c>
      <c r="MA685" s="357" t="str">
        <f t="shared" si="318"/>
        <v/>
      </c>
      <c r="MB685" s="357" t="str">
        <f t="shared" si="319"/>
        <v/>
      </c>
      <c r="MC685" s="357" t="str">
        <f t="shared" si="320"/>
        <v/>
      </c>
      <c r="MD685" s="357" t="str">
        <f t="shared" si="321"/>
        <v/>
      </c>
      <c r="ME685" s="357" t="str">
        <f t="shared" si="322"/>
        <v/>
      </c>
      <c r="MF685" s="1750">
        <f t="shared" si="323"/>
        <v>0</v>
      </c>
      <c r="MG685" s="1750">
        <f t="shared" si="324"/>
        <v>0</v>
      </c>
      <c r="MH685" s="1750">
        <f t="shared" si="325"/>
        <v>0</v>
      </c>
      <c r="MI685" s="1750">
        <f t="shared" si="326"/>
        <v>0</v>
      </c>
      <c r="MJ685" s="1750">
        <f t="shared" si="327"/>
        <v>0</v>
      </c>
      <c r="MK685" s="1750">
        <f t="shared" si="333"/>
        <v>0</v>
      </c>
      <c r="ML685" s="1750">
        <f t="shared" si="334"/>
        <v>0</v>
      </c>
      <c r="MM685" s="1750">
        <f t="shared" si="335"/>
        <v>0</v>
      </c>
      <c r="MN685" s="1750">
        <f t="shared" si="336"/>
        <v>0</v>
      </c>
      <c r="MO685" s="1750">
        <f t="shared" si="337"/>
        <v>0</v>
      </c>
      <c r="MP685" s="1750">
        <f t="shared" si="328"/>
        <v>0</v>
      </c>
      <c r="MQ685" s="1750">
        <f t="shared" si="329"/>
        <v>0</v>
      </c>
      <c r="MR685" s="1750">
        <f t="shared" si="330"/>
        <v>0</v>
      </c>
      <c r="MS685" s="1750">
        <f t="shared" si="331"/>
        <v>0</v>
      </c>
      <c r="MT685" s="1750">
        <f t="shared" si="332"/>
        <v>0</v>
      </c>
      <c r="NP685" s="357" t="s">
        <v>6450</v>
      </c>
    </row>
    <row r="686" spans="1:380" ht="13.9" customHeight="1">
      <c r="A686" s="1901" t="str">
        <f t="shared" si="0"/>
        <v/>
      </c>
      <c r="B686" s="2238">
        <f>'Part V-Revenues &amp; Expenses'!B48</f>
        <v>0</v>
      </c>
      <c r="C686" s="2229">
        <f>'Part V-Revenues &amp; Expenses'!C48</f>
        <v>0</v>
      </c>
      <c r="D686" s="2230">
        <f>'Part V-Revenues &amp; Expenses'!D48</f>
        <v>0</v>
      </c>
      <c r="E686" s="2231">
        <f>'Part V-Revenues &amp; Expenses'!E48</f>
        <v>0</v>
      </c>
      <c r="F686" s="2231">
        <f>'Part V-Revenues &amp; Expenses'!F48</f>
        <v>0</v>
      </c>
      <c r="G686" s="2231">
        <f>'Part V-Revenues &amp; Expenses'!G48</f>
        <v>0</v>
      </c>
      <c r="H686" s="2231">
        <f>'Part V-Revenues &amp; Expenses'!H48</f>
        <v>0</v>
      </c>
      <c r="I686" s="2231">
        <f>'Part V-Revenues &amp; Expenses'!I48</f>
        <v>0</v>
      </c>
      <c r="J686" s="2231">
        <f>'Part V-Revenues &amp; Expenses'!J48</f>
        <v>0</v>
      </c>
      <c r="K686" s="2232">
        <f>'Part V-Revenues &amp; Expenses'!K48</f>
        <v>0</v>
      </c>
      <c r="L686" s="2233">
        <f t="shared" si="340"/>
        <v>0</v>
      </c>
      <c r="M686" s="2233">
        <f t="shared" si="341"/>
        <v>0</v>
      </c>
      <c r="N686" s="2094">
        <f>'Part V-Revenues &amp; Expenses'!N48</f>
        <v>0</v>
      </c>
      <c r="O686" s="2234">
        <f>'Part V-Revenues &amp; Expenses'!O48</f>
        <v>0</v>
      </c>
      <c r="P686" s="2094">
        <f>'Part V-Revenues &amp; Expenses'!P48</f>
        <v>0</v>
      </c>
      <c r="Q686" s="2235">
        <f>'Part V-Revenues &amp; Expenses'!Q48</f>
        <v>0</v>
      </c>
      <c r="R686" s="2236"/>
      <c r="S686" s="2237"/>
      <c r="T686" s="2160"/>
      <c r="U686" s="2160"/>
      <c r="V686" s="2160"/>
      <c r="W686" s="2160"/>
      <c r="X686" s="357" t="str">
        <f t="shared" si="3"/>
        <v/>
      </c>
      <c r="Y686" s="357" t="str">
        <f t="shared" si="4"/>
        <v/>
      </c>
      <c r="Z686" s="357" t="str">
        <f t="shared" si="5"/>
        <v/>
      </c>
      <c r="AA686" s="357" t="str">
        <f t="shared" si="6"/>
        <v/>
      </c>
      <c r="AB686" s="357" t="str">
        <f t="shared" si="7"/>
        <v/>
      </c>
      <c r="AC686" s="357" t="str">
        <f t="shared" si="8"/>
        <v/>
      </c>
      <c r="AD686" s="357" t="str">
        <f t="shared" si="9"/>
        <v/>
      </c>
      <c r="AE686" s="357" t="str">
        <f t="shared" si="10"/>
        <v/>
      </c>
      <c r="AF686" s="357" t="str">
        <f t="shared" si="11"/>
        <v/>
      </c>
      <c r="AG686" s="357" t="str">
        <f t="shared" si="12"/>
        <v/>
      </c>
      <c r="AH686" s="357" t="str">
        <f t="shared" si="13"/>
        <v/>
      </c>
      <c r="AI686" s="357" t="str">
        <f t="shared" si="14"/>
        <v/>
      </c>
      <c r="AJ686" s="357" t="str">
        <f t="shared" si="15"/>
        <v/>
      </c>
      <c r="AK686" s="357" t="str">
        <f t="shared" si="16"/>
        <v/>
      </c>
      <c r="AL686" s="357" t="str">
        <f t="shared" si="17"/>
        <v/>
      </c>
      <c r="AM686" s="357" t="str">
        <f t="shared" si="18"/>
        <v/>
      </c>
      <c r="AN686" s="357" t="str">
        <f t="shared" si="19"/>
        <v/>
      </c>
      <c r="AO686" s="357" t="str">
        <f t="shared" si="20"/>
        <v/>
      </c>
      <c r="AP686" s="357" t="str">
        <f t="shared" si="21"/>
        <v/>
      </c>
      <c r="AQ686" s="357" t="str">
        <f t="shared" si="22"/>
        <v/>
      </c>
      <c r="AR686" s="357" t="str">
        <f t="shared" si="23"/>
        <v/>
      </c>
      <c r="AS686" s="357" t="str">
        <f t="shared" si="24"/>
        <v/>
      </c>
      <c r="AT686" s="357" t="str">
        <f t="shared" si="25"/>
        <v/>
      </c>
      <c r="AU686" s="357" t="str">
        <f t="shared" si="26"/>
        <v/>
      </c>
      <c r="AV686" s="357" t="str">
        <f t="shared" si="27"/>
        <v/>
      </c>
      <c r="AW686" s="357" t="str">
        <f t="shared" si="28"/>
        <v/>
      </c>
      <c r="AX686" s="357" t="str">
        <f t="shared" si="29"/>
        <v/>
      </c>
      <c r="AY686" s="357" t="str">
        <f t="shared" si="30"/>
        <v/>
      </c>
      <c r="AZ686" s="357" t="str">
        <f t="shared" si="31"/>
        <v/>
      </c>
      <c r="BA686" s="357" t="str">
        <f t="shared" si="32"/>
        <v/>
      </c>
      <c r="BB686" s="357" t="str">
        <f t="shared" si="33"/>
        <v/>
      </c>
      <c r="BC686" s="357" t="str">
        <f t="shared" si="34"/>
        <v/>
      </c>
      <c r="BD686" s="357" t="str">
        <f t="shared" si="35"/>
        <v/>
      </c>
      <c r="BE686" s="357" t="str">
        <f t="shared" si="36"/>
        <v/>
      </c>
      <c r="BF686" s="357" t="str">
        <f t="shared" si="37"/>
        <v/>
      </c>
      <c r="BG686" s="357" t="str">
        <f t="shared" si="38"/>
        <v/>
      </c>
      <c r="BH686" s="357" t="str">
        <f t="shared" si="39"/>
        <v/>
      </c>
      <c r="BI686" s="357" t="str">
        <f t="shared" si="40"/>
        <v/>
      </c>
      <c r="BJ686" s="357" t="str">
        <f t="shared" si="41"/>
        <v/>
      </c>
      <c r="BK686" s="357" t="str">
        <f t="shared" si="42"/>
        <v/>
      </c>
      <c r="BL686" s="357" t="str">
        <f t="shared" si="43"/>
        <v/>
      </c>
      <c r="BM686" s="357" t="str">
        <f t="shared" si="44"/>
        <v/>
      </c>
      <c r="BN686" s="357" t="str">
        <f t="shared" si="45"/>
        <v/>
      </c>
      <c r="BO686" s="357" t="str">
        <f t="shared" si="46"/>
        <v/>
      </c>
      <c r="BP686" s="357" t="str">
        <f t="shared" si="47"/>
        <v/>
      </c>
      <c r="BQ686" s="357" t="str">
        <f t="shared" si="48"/>
        <v/>
      </c>
      <c r="BR686" s="357" t="str">
        <f t="shared" si="49"/>
        <v/>
      </c>
      <c r="BS686" s="357" t="str">
        <f t="shared" si="50"/>
        <v/>
      </c>
      <c r="BT686" s="357" t="str">
        <f t="shared" si="51"/>
        <v/>
      </c>
      <c r="BU686" s="357" t="str">
        <f t="shared" si="52"/>
        <v/>
      </c>
      <c r="BV686" s="357" t="str">
        <f t="shared" si="53"/>
        <v/>
      </c>
      <c r="BW686" s="357" t="str">
        <f t="shared" si="54"/>
        <v/>
      </c>
      <c r="BX686" s="357" t="str">
        <f t="shared" si="55"/>
        <v/>
      </c>
      <c r="BY686" s="357" t="str">
        <f t="shared" si="56"/>
        <v/>
      </c>
      <c r="BZ686" s="357" t="str">
        <f t="shared" si="57"/>
        <v/>
      </c>
      <c r="CA686" s="357" t="str">
        <f t="shared" si="58"/>
        <v/>
      </c>
      <c r="CB686" s="357" t="str">
        <f t="shared" si="59"/>
        <v/>
      </c>
      <c r="CC686" s="357" t="str">
        <f t="shared" si="60"/>
        <v/>
      </c>
      <c r="CD686" s="357" t="str">
        <f t="shared" si="61"/>
        <v/>
      </c>
      <c r="CE686" s="357" t="str">
        <f t="shared" si="62"/>
        <v/>
      </c>
      <c r="CF686" s="357" t="str">
        <f t="shared" si="63"/>
        <v/>
      </c>
      <c r="CG686" s="357" t="str">
        <f t="shared" si="64"/>
        <v/>
      </c>
      <c r="CH686" s="357" t="str">
        <f t="shared" si="65"/>
        <v/>
      </c>
      <c r="CI686" s="357" t="str">
        <f t="shared" si="66"/>
        <v/>
      </c>
      <c r="CJ686" s="357" t="str">
        <f t="shared" si="67"/>
        <v/>
      </c>
      <c r="CK686" s="357" t="str">
        <f t="shared" si="68"/>
        <v/>
      </c>
      <c r="CL686" s="357" t="str">
        <f t="shared" si="69"/>
        <v/>
      </c>
      <c r="CM686" s="357" t="str">
        <f t="shared" si="70"/>
        <v/>
      </c>
      <c r="CN686" s="357" t="str">
        <f t="shared" si="71"/>
        <v/>
      </c>
      <c r="CO686" s="357" t="str">
        <f t="shared" si="72"/>
        <v/>
      </c>
      <c r="CP686" s="357" t="str">
        <f t="shared" si="73"/>
        <v/>
      </c>
      <c r="CQ686" s="357" t="str">
        <f t="shared" si="74"/>
        <v/>
      </c>
      <c r="CR686" s="357" t="str">
        <f t="shared" si="75"/>
        <v/>
      </c>
      <c r="CS686" s="357" t="str">
        <f t="shared" si="76"/>
        <v/>
      </c>
      <c r="CT686" s="357" t="str">
        <f t="shared" si="77"/>
        <v/>
      </c>
      <c r="CU686" s="357" t="str">
        <f t="shared" si="78"/>
        <v/>
      </c>
      <c r="CV686" s="357" t="str">
        <f t="shared" si="79"/>
        <v/>
      </c>
      <c r="CW686" s="357" t="str">
        <f t="shared" si="80"/>
        <v/>
      </c>
      <c r="CX686" s="357" t="str">
        <f t="shared" si="81"/>
        <v/>
      </c>
      <c r="CY686" s="357" t="str">
        <f t="shared" si="82"/>
        <v/>
      </c>
      <c r="CZ686" s="357" t="str">
        <f t="shared" si="83"/>
        <v/>
      </c>
      <c r="DA686" s="357" t="str">
        <f t="shared" si="84"/>
        <v/>
      </c>
      <c r="DB686" s="357" t="str">
        <f t="shared" si="85"/>
        <v/>
      </c>
      <c r="DC686" s="357" t="str">
        <f t="shared" si="86"/>
        <v/>
      </c>
      <c r="DD686" s="357" t="str">
        <f t="shared" si="87"/>
        <v/>
      </c>
      <c r="DE686" s="357" t="str">
        <f t="shared" si="88"/>
        <v/>
      </c>
      <c r="DF686" s="357" t="str">
        <f t="shared" si="89"/>
        <v/>
      </c>
      <c r="DG686" s="357" t="str">
        <f t="shared" si="90"/>
        <v/>
      </c>
      <c r="DH686" s="357" t="str">
        <f t="shared" si="91"/>
        <v/>
      </c>
      <c r="DI686" s="357" t="str">
        <f t="shared" si="92"/>
        <v/>
      </c>
      <c r="DJ686" s="357" t="str">
        <f t="shared" si="93"/>
        <v/>
      </c>
      <c r="DK686" s="357" t="str">
        <f t="shared" si="94"/>
        <v/>
      </c>
      <c r="DL686" s="357" t="str">
        <f t="shared" si="95"/>
        <v/>
      </c>
      <c r="DM686" s="357" t="str">
        <f t="shared" si="96"/>
        <v/>
      </c>
      <c r="DN686" s="357" t="str">
        <f t="shared" si="97"/>
        <v/>
      </c>
      <c r="DO686" s="357" t="str">
        <f t="shared" si="98"/>
        <v/>
      </c>
      <c r="DP686" s="357" t="str">
        <f t="shared" si="99"/>
        <v/>
      </c>
      <c r="DQ686" s="357" t="str">
        <f t="shared" si="100"/>
        <v/>
      </c>
      <c r="DR686" s="357" t="str">
        <f t="shared" si="101"/>
        <v/>
      </c>
      <c r="DS686" s="357" t="str">
        <f t="shared" si="102"/>
        <v/>
      </c>
      <c r="DT686" s="357" t="str">
        <f t="shared" si="103"/>
        <v/>
      </c>
      <c r="DU686" s="357" t="str">
        <f t="shared" si="104"/>
        <v/>
      </c>
      <c r="DV686" s="357" t="str">
        <f t="shared" si="105"/>
        <v/>
      </c>
      <c r="DW686" s="357" t="str">
        <f t="shared" si="106"/>
        <v/>
      </c>
      <c r="DX686" s="357" t="str">
        <f t="shared" si="107"/>
        <v/>
      </c>
      <c r="DY686" s="357" t="str">
        <f t="shared" si="108"/>
        <v/>
      </c>
      <c r="DZ686" s="357" t="str">
        <f t="shared" si="109"/>
        <v/>
      </c>
      <c r="EA686" s="357" t="str">
        <f t="shared" si="110"/>
        <v/>
      </c>
      <c r="EB686" s="357" t="str">
        <f t="shared" si="111"/>
        <v/>
      </c>
      <c r="EC686" s="357" t="str">
        <f t="shared" si="112"/>
        <v/>
      </c>
      <c r="ED686" s="357" t="str">
        <f t="shared" si="113"/>
        <v/>
      </c>
      <c r="EE686" s="357" t="str">
        <f t="shared" si="114"/>
        <v/>
      </c>
      <c r="EF686" s="357" t="str">
        <f t="shared" si="115"/>
        <v/>
      </c>
      <c r="EG686" s="357" t="str">
        <f t="shared" si="116"/>
        <v/>
      </c>
      <c r="EH686" s="357" t="str">
        <f t="shared" si="117"/>
        <v/>
      </c>
      <c r="EI686" s="357" t="str">
        <f t="shared" si="118"/>
        <v/>
      </c>
      <c r="EJ686" s="357" t="str">
        <f t="shared" si="119"/>
        <v/>
      </c>
      <c r="EK686" s="357" t="str">
        <f t="shared" si="120"/>
        <v/>
      </c>
      <c r="EL686" s="357" t="str">
        <f t="shared" si="121"/>
        <v/>
      </c>
      <c r="EM686" s="357" t="str">
        <f t="shared" si="122"/>
        <v/>
      </c>
      <c r="EN686" s="357" t="str">
        <f t="shared" si="123"/>
        <v/>
      </c>
      <c r="EO686" s="357" t="str">
        <f t="shared" si="124"/>
        <v/>
      </c>
      <c r="EP686" s="357" t="str">
        <f t="shared" si="125"/>
        <v/>
      </c>
      <c r="EQ686" s="357" t="str">
        <f t="shared" si="126"/>
        <v/>
      </c>
      <c r="ER686" s="357" t="str">
        <f t="shared" si="127"/>
        <v/>
      </c>
      <c r="ES686" s="357" t="str">
        <f t="shared" si="128"/>
        <v/>
      </c>
      <c r="ET686" s="357" t="str">
        <f t="shared" si="129"/>
        <v/>
      </c>
      <c r="EU686" s="357" t="str">
        <f t="shared" si="130"/>
        <v/>
      </c>
      <c r="EV686" s="357" t="str">
        <f t="shared" si="131"/>
        <v/>
      </c>
      <c r="EW686" s="357" t="str">
        <f t="shared" si="132"/>
        <v/>
      </c>
      <c r="EX686" s="357" t="str">
        <f t="shared" si="133"/>
        <v/>
      </c>
      <c r="EY686" s="357" t="str">
        <f t="shared" si="134"/>
        <v/>
      </c>
      <c r="EZ686" s="357" t="str">
        <f t="shared" si="135"/>
        <v/>
      </c>
      <c r="FA686" s="357" t="str">
        <f t="shared" si="136"/>
        <v/>
      </c>
      <c r="FB686" s="357" t="str">
        <f t="shared" si="137"/>
        <v/>
      </c>
      <c r="FC686" s="357" t="str">
        <f t="shared" si="138"/>
        <v/>
      </c>
      <c r="FD686" s="357" t="str">
        <f t="shared" si="139"/>
        <v/>
      </c>
      <c r="FE686" s="357" t="str">
        <f t="shared" si="140"/>
        <v/>
      </c>
      <c r="FF686" s="357" t="str">
        <f t="shared" si="141"/>
        <v/>
      </c>
      <c r="FG686" s="357" t="str">
        <f t="shared" si="142"/>
        <v/>
      </c>
      <c r="FH686" s="357" t="str">
        <f t="shared" si="143"/>
        <v/>
      </c>
      <c r="FI686" s="357" t="str">
        <f t="shared" si="144"/>
        <v/>
      </c>
      <c r="FJ686" s="357" t="str">
        <f t="shared" si="145"/>
        <v/>
      </c>
      <c r="FK686" s="357" t="str">
        <f t="shared" si="146"/>
        <v/>
      </c>
      <c r="FL686" s="357" t="str">
        <f t="shared" si="147"/>
        <v/>
      </c>
      <c r="FM686" s="357" t="str">
        <f t="shared" si="148"/>
        <v/>
      </c>
      <c r="FN686" s="357" t="str">
        <f t="shared" si="149"/>
        <v/>
      </c>
      <c r="FO686" s="357" t="str">
        <f t="shared" si="150"/>
        <v/>
      </c>
      <c r="FP686" s="357" t="str">
        <f t="shared" si="151"/>
        <v/>
      </c>
      <c r="FQ686" s="357" t="str">
        <f t="shared" si="152"/>
        <v/>
      </c>
      <c r="FR686" s="357" t="str">
        <f t="shared" si="153"/>
        <v/>
      </c>
      <c r="FS686" s="357" t="str">
        <f t="shared" si="154"/>
        <v/>
      </c>
      <c r="FT686" s="357" t="str">
        <f t="shared" si="155"/>
        <v/>
      </c>
      <c r="FU686" s="357" t="str">
        <f t="shared" si="156"/>
        <v/>
      </c>
      <c r="FV686" s="357" t="str">
        <f t="shared" si="157"/>
        <v/>
      </c>
      <c r="FW686" s="357" t="str">
        <f t="shared" si="158"/>
        <v/>
      </c>
      <c r="FX686" s="357" t="str">
        <f t="shared" si="159"/>
        <v/>
      </c>
      <c r="FY686" s="357" t="str">
        <f t="shared" si="160"/>
        <v/>
      </c>
      <c r="FZ686" s="357" t="str">
        <f t="shared" si="161"/>
        <v/>
      </c>
      <c r="GA686" s="357" t="str">
        <f t="shared" si="162"/>
        <v/>
      </c>
      <c r="GB686" s="357" t="str">
        <f t="shared" si="163"/>
        <v/>
      </c>
      <c r="GC686" s="357" t="str">
        <f t="shared" si="164"/>
        <v/>
      </c>
      <c r="GD686" s="357" t="str">
        <f t="shared" si="165"/>
        <v/>
      </c>
      <c r="GE686" s="357" t="str">
        <f t="shared" si="166"/>
        <v/>
      </c>
      <c r="GF686" s="357" t="str">
        <f t="shared" si="167"/>
        <v/>
      </c>
      <c r="GG686" s="357" t="str">
        <f t="shared" si="168"/>
        <v/>
      </c>
      <c r="GH686" s="357" t="str">
        <f t="shared" si="169"/>
        <v/>
      </c>
      <c r="GI686" s="357" t="str">
        <f t="shared" si="170"/>
        <v/>
      </c>
      <c r="GJ686" s="357" t="str">
        <f t="shared" si="171"/>
        <v/>
      </c>
      <c r="GK686" s="357" t="str">
        <f t="shared" si="172"/>
        <v/>
      </c>
      <c r="GL686" s="357" t="str">
        <f t="shared" si="173"/>
        <v/>
      </c>
      <c r="GM686" s="357" t="str">
        <f t="shared" si="174"/>
        <v/>
      </c>
      <c r="GN686" s="357" t="str">
        <f t="shared" si="175"/>
        <v/>
      </c>
      <c r="GO686" s="357" t="str">
        <f t="shared" si="176"/>
        <v/>
      </c>
      <c r="GP686" s="357" t="str">
        <f t="shared" si="177"/>
        <v/>
      </c>
      <c r="GQ686" s="357" t="str">
        <f t="shared" si="178"/>
        <v/>
      </c>
      <c r="GR686" s="357" t="str">
        <f t="shared" si="179"/>
        <v/>
      </c>
      <c r="GS686" s="357" t="str">
        <f t="shared" si="180"/>
        <v/>
      </c>
      <c r="GT686" s="357" t="str">
        <f t="shared" si="181"/>
        <v/>
      </c>
      <c r="GU686" s="357" t="str">
        <f t="shared" si="182"/>
        <v/>
      </c>
      <c r="GV686" s="357" t="str">
        <f t="shared" si="183"/>
        <v/>
      </c>
      <c r="GW686" s="357" t="str">
        <f t="shared" si="184"/>
        <v/>
      </c>
      <c r="GX686" s="357" t="str">
        <f t="shared" si="185"/>
        <v/>
      </c>
      <c r="GY686" s="357" t="str">
        <f t="shared" si="186"/>
        <v/>
      </c>
      <c r="GZ686" s="357" t="str">
        <f t="shared" si="187"/>
        <v/>
      </c>
      <c r="HA686" s="357" t="str">
        <f t="shared" si="188"/>
        <v/>
      </c>
      <c r="HB686" s="357" t="str">
        <f t="shared" si="189"/>
        <v/>
      </c>
      <c r="HC686" s="357" t="str">
        <f t="shared" si="190"/>
        <v/>
      </c>
      <c r="HD686" s="357" t="str">
        <f t="shared" si="191"/>
        <v/>
      </c>
      <c r="HE686" s="357" t="str">
        <f t="shared" si="192"/>
        <v/>
      </c>
      <c r="HF686" s="357" t="str">
        <f t="shared" si="193"/>
        <v/>
      </c>
      <c r="HG686" s="357" t="str">
        <f t="shared" si="194"/>
        <v/>
      </c>
      <c r="HH686" s="357" t="str">
        <f t="shared" si="195"/>
        <v/>
      </c>
      <c r="HI686" s="357" t="str">
        <f t="shared" si="196"/>
        <v/>
      </c>
      <c r="HJ686" s="357" t="str">
        <f t="shared" si="197"/>
        <v/>
      </c>
      <c r="HK686" s="357" t="str">
        <f t="shared" si="198"/>
        <v/>
      </c>
      <c r="HL686" s="357" t="str">
        <f t="shared" si="199"/>
        <v/>
      </c>
      <c r="HM686" s="357" t="str">
        <f t="shared" si="200"/>
        <v/>
      </c>
      <c r="HN686" s="357" t="str">
        <f t="shared" si="201"/>
        <v/>
      </c>
      <c r="HO686" s="357" t="str">
        <f t="shared" si="202"/>
        <v/>
      </c>
      <c r="HP686" s="357" t="str">
        <f t="shared" si="203"/>
        <v/>
      </c>
      <c r="HQ686" s="357" t="str">
        <f t="shared" si="204"/>
        <v/>
      </c>
      <c r="HR686" s="357" t="str">
        <f t="shared" si="205"/>
        <v/>
      </c>
      <c r="HS686" s="357" t="str">
        <f t="shared" si="206"/>
        <v/>
      </c>
      <c r="HT686" s="357" t="str">
        <f t="shared" si="207"/>
        <v/>
      </c>
      <c r="HU686" s="357" t="str">
        <f t="shared" si="208"/>
        <v/>
      </c>
      <c r="HV686" s="357" t="str">
        <f t="shared" si="209"/>
        <v/>
      </c>
      <c r="HW686" s="357" t="str">
        <f t="shared" si="210"/>
        <v/>
      </c>
      <c r="HX686" s="357" t="str">
        <f t="shared" si="211"/>
        <v/>
      </c>
      <c r="HY686" s="357" t="str">
        <f t="shared" si="212"/>
        <v/>
      </c>
      <c r="HZ686" s="1903" t="str">
        <f t="shared" si="213"/>
        <v/>
      </c>
      <c r="IA686" s="1903" t="str">
        <f t="shared" si="214"/>
        <v/>
      </c>
      <c r="IB686" s="1903" t="str">
        <f t="shared" si="215"/>
        <v/>
      </c>
      <c r="IC686" s="1903" t="str">
        <f t="shared" si="216"/>
        <v/>
      </c>
      <c r="ID686" s="1903" t="str">
        <f t="shared" si="217"/>
        <v/>
      </c>
      <c r="IE686" s="1903" t="str">
        <f t="shared" si="218"/>
        <v/>
      </c>
      <c r="IF686" s="1903" t="str">
        <f t="shared" si="219"/>
        <v/>
      </c>
      <c r="IG686" s="1903" t="str">
        <f t="shared" si="220"/>
        <v/>
      </c>
      <c r="IH686" s="1903" t="str">
        <f t="shared" si="221"/>
        <v/>
      </c>
      <c r="II686" s="1903" t="str">
        <f t="shared" si="222"/>
        <v/>
      </c>
      <c r="IJ686" s="1903" t="str">
        <f t="shared" si="223"/>
        <v/>
      </c>
      <c r="IK686" s="1903" t="str">
        <f t="shared" si="224"/>
        <v/>
      </c>
      <c r="IL686" s="1903" t="str">
        <f t="shared" si="225"/>
        <v/>
      </c>
      <c r="IM686" s="1903" t="str">
        <f t="shared" si="226"/>
        <v/>
      </c>
      <c r="IN686" s="1903" t="str">
        <f t="shared" si="227"/>
        <v/>
      </c>
      <c r="IO686" s="1903" t="str">
        <f t="shared" si="228"/>
        <v/>
      </c>
      <c r="IP686" s="1903" t="str">
        <f t="shared" si="229"/>
        <v/>
      </c>
      <c r="IQ686" s="1903" t="str">
        <f t="shared" si="230"/>
        <v/>
      </c>
      <c r="IR686" s="1903" t="str">
        <f t="shared" si="231"/>
        <v/>
      </c>
      <c r="IS686" s="1903" t="str">
        <f t="shared" si="232"/>
        <v/>
      </c>
      <c r="IT686" s="1903" t="str">
        <f t="shared" si="233"/>
        <v/>
      </c>
      <c r="IU686" s="1903" t="str">
        <f t="shared" si="234"/>
        <v/>
      </c>
      <c r="IV686" s="1903" t="str">
        <f t="shared" si="235"/>
        <v/>
      </c>
      <c r="IW686" s="1903" t="str">
        <f t="shared" si="236"/>
        <v/>
      </c>
      <c r="IX686" s="1903" t="str">
        <f t="shared" si="237"/>
        <v/>
      </c>
      <c r="IY686" s="1903" t="str">
        <f t="shared" si="238"/>
        <v/>
      </c>
      <c r="IZ686" s="1903" t="str">
        <f t="shared" si="239"/>
        <v/>
      </c>
      <c r="JA686" s="1903" t="str">
        <f t="shared" si="240"/>
        <v/>
      </c>
      <c r="JB686" s="1903" t="str">
        <f t="shared" si="241"/>
        <v/>
      </c>
      <c r="JC686" s="1903" t="str">
        <f t="shared" si="242"/>
        <v/>
      </c>
      <c r="JD686" s="1903" t="str">
        <f t="shared" si="243"/>
        <v/>
      </c>
      <c r="JE686" s="1903" t="str">
        <f t="shared" si="244"/>
        <v/>
      </c>
      <c r="JF686" s="1903" t="str">
        <f t="shared" si="245"/>
        <v/>
      </c>
      <c r="JG686" s="1903" t="str">
        <f t="shared" si="246"/>
        <v/>
      </c>
      <c r="JH686" s="1903" t="str">
        <f t="shared" si="247"/>
        <v/>
      </c>
      <c r="JI686" s="1903" t="str">
        <f t="shared" si="248"/>
        <v/>
      </c>
      <c r="JJ686" s="1903" t="str">
        <f t="shared" si="249"/>
        <v/>
      </c>
      <c r="JK686" s="1903" t="str">
        <f t="shared" si="250"/>
        <v/>
      </c>
      <c r="JL686" s="1903" t="str">
        <f t="shared" si="251"/>
        <v/>
      </c>
      <c r="JM686" s="1903" t="str">
        <f t="shared" si="252"/>
        <v/>
      </c>
      <c r="JN686" s="1903" t="str">
        <f t="shared" si="253"/>
        <v/>
      </c>
      <c r="JO686" s="1903" t="str">
        <f t="shared" si="254"/>
        <v/>
      </c>
      <c r="JP686" s="1903" t="str">
        <f t="shared" si="255"/>
        <v/>
      </c>
      <c r="JQ686" s="1903" t="str">
        <f t="shared" si="256"/>
        <v/>
      </c>
      <c r="JR686" s="1903" t="str">
        <f t="shared" si="257"/>
        <v/>
      </c>
      <c r="JS686" s="1903" t="str">
        <f t="shared" si="258"/>
        <v/>
      </c>
      <c r="JT686" s="1903" t="str">
        <f t="shared" si="259"/>
        <v/>
      </c>
      <c r="JU686" s="1903" t="str">
        <f t="shared" si="260"/>
        <v/>
      </c>
      <c r="JV686" s="1903" t="str">
        <f t="shared" si="261"/>
        <v/>
      </c>
      <c r="JW686" s="1903" t="str">
        <f t="shared" si="262"/>
        <v/>
      </c>
      <c r="JX686" s="1903" t="str">
        <f t="shared" si="263"/>
        <v/>
      </c>
      <c r="JY686" s="1903" t="str">
        <f t="shared" si="264"/>
        <v/>
      </c>
      <c r="JZ686" s="1903" t="str">
        <f t="shared" si="265"/>
        <v/>
      </c>
      <c r="KA686" s="1903" t="str">
        <f t="shared" si="266"/>
        <v/>
      </c>
      <c r="KB686" s="1903" t="str">
        <f t="shared" si="267"/>
        <v/>
      </c>
      <c r="KC686" s="1903" t="str">
        <f t="shared" si="268"/>
        <v/>
      </c>
      <c r="KD686" s="1903" t="str">
        <f t="shared" si="269"/>
        <v/>
      </c>
      <c r="KE686" s="1903" t="str">
        <f t="shared" si="270"/>
        <v/>
      </c>
      <c r="KF686" s="1903" t="str">
        <f t="shared" si="271"/>
        <v/>
      </c>
      <c r="KG686" s="1903" t="str">
        <f t="shared" si="272"/>
        <v/>
      </c>
      <c r="KH686" s="1903" t="str">
        <f t="shared" si="273"/>
        <v/>
      </c>
      <c r="KI686" s="1903" t="str">
        <f t="shared" si="274"/>
        <v/>
      </c>
      <c r="KJ686" s="1903" t="str">
        <f t="shared" si="275"/>
        <v/>
      </c>
      <c r="KK686" s="1903" t="str">
        <f t="shared" si="276"/>
        <v/>
      </c>
      <c r="KL686" s="1903" t="str">
        <f t="shared" si="277"/>
        <v/>
      </c>
      <c r="KM686" s="1903" t="str">
        <f t="shared" si="278"/>
        <v/>
      </c>
      <c r="KN686" s="1903" t="str">
        <f t="shared" si="279"/>
        <v/>
      </c>
      <c r="KO686" s="1903" t="str">
        <f t="shared" si="280"/>
        <v/>
      </c>
      <c r="KP686" s="1903" t="str">
        <f t="shared" si="281"/>
        <v/>
      </c>
      <c r="KQ686" s="1903" t="str">
        <f t="shared" si="282"/>
        <v/>
      </c>
      <c r="KR686" s="1903" t="str">
        <f t="shared" si="283"/>
        <v/>
      </c>
      <c r="KS686" s="1903" t="str">
        <f t="shared" si="284"/>
        <v/>
      </c>
      <c r="KT686" s="1903" t="str">
        <f t="shared" si="285"/>
        <v/>
      </c>
      <c r="KU686" s="1903" t="str">
        <f t="shared" si="286"/>
        <v/>
      </c>
      <c r="KV686" s="1903" t="str">
        <f t="shared" si="287"/>
        <v/>
      </c>
      <c r="KW686" s="1903" t="str">
        <f t="shared" si="288"/>
        <v/>
      </c>
      <c r="KX686" s="1903" t="str">
        <f t="shared" si="289"/>
        <v/>
      </c>
      <c r="KY686" s="1903" t="str">
        <f t="shared" si="290"/>
        <v/>
      </c>
      <c r="KZ686" s="1903" t="str">
        <f t="shared" si="291"/>
        <v/>
      </c>
      <c r="LA686" s="1903" t="str">
        <f t="shared" si="292"/>
        <v/>
      </c>
      <c r="LB686" s="1903" t="str">
        <f t="shared" si="293"/>
        <v/>
      </c>
      <c r="LC686" s="1903" t="str">
        <f t="shared" si="294"/>
        <v/>
      </c>
      <c r="LD686" s="1903" t="str">
        <f t="shared" si="295"/>
        <v/>
      </c>
      <c r="LE686" s="1903" t="str">
        <f t="shared" si="296"/>
        <v/>
      </c>
      <c r="LF686" s="1903" t="str">
        <f t="shared" si="297"/>
        <v/>
      </c>
      <c r="LG686" s="1750" t="str">
        <f t="shared" si="298"/>
        <v/>
      </c>
      <c r="LH686" s="1750" t="str">
        <f t="shared" si="299"/>
        <v/>
      </c>
      <c r="LI686" s="1750" t="str">
        <f t="shared" si="300"/>
        <v/>
      </c>
      <c r="LJ686" s="1750" t="str">
        <f t="shared" si="301"/>
        <v/>
      </c>
      <c r="LK686" s="1750" t="str">
        <f t="shared" si="302"/>
        <v/>
      </c>
      <c r="LL686" s="357" t="str">
        <f t="shared" si="303"/>
        <v/>
      </c>
      <c r="LM686" s="357" t="str">
        <f t="shared" si="304"/>
        <v/>
      </c>
      <c r="LN686" s="357" t="str">
        <f t="shared" si="305"/>
        <v/>
      </c>
      <c r="LO686" s="357" t="str">
        <f t="shared" si="306"/>
        <v/>
      </c>
      <c r="LP686" s="357" t="str">
        <f t="shared" si="307"/>
        <v/>
      </c>
      <c r="LQ686" s="357" t="str">
        <f t="shared" si="308"/>
        <v/>
      </c>
      <c r="LR686" s="357" t="str">
        <f t="shared" si="309"/>
        <v/>
      </c>
      <c r="LS686" s="357" t="str">
        <f t="shared" si="310"/>
        <v/>
      </c>
      <c r="LT686" s="357" t="str">
        <f t="shared" si="311"/>
        <v/>
      </c>
      <c r="LU686" s="357" t="str">
        <f t="shared" si="312"/>
        <v/>
      </c>
      <c r="LV686" s="357" t="str">
        <f t="shared" si="313"/>
        <v/>
      </c>
      <c r="LW686" s="357" t="str">
        <f t="shared" si="314"/>
        <v/>
      </c>
      <c r="LX686" s="357" t="str">
        <f t="shared" si="315"/>
        <v/>
      </c>
      <c r="LY686" s="357" t="str">
        <f t="shared" si="316"/>
        <v/>
      </c>
      <c r="LZ686" s="357" t="str">
        <f t="shared" si="317"/>
        <v/>
      </c>
      <c r="MA686" s="357" t="str">
        <f t="shared" si="318"/>
        <v/>
      </c>
      <c r="MB686" s="357" t="str">
        <f t="shared" si="319"/>
        <v/>
      </c>
      <c r="MC686" s="357" t="str">
        <f t="shared" si="320"/>
        <v/>
      </c>
      <c r="MD686" s="357" t="str">
        <f t="shared" si="321"/>
        <v/>
      </c>
      <c r="ME686" s="357" t="str">
        <f t="shared" si="322"/>
        <v/>
      </c>
      <c r="MF686" s="1750">
        <f t="shared" si="323"/>
        <v>0</v>
      </c>
      <c r="MG686" s="1750">
        <f t="shared" si="324"/>
        <v>0</v>
      </c>
      <c r="MH686" s="1750">
        <f t="shared" si="325"/>
        <v>0</v>
      </c>
      <c r="MI686" s="1750">
        <f t="shared" si="326"/>
        <v>0</v>
      </c>
      <c r="MJ686" s="1750">
        <f t="shared" si="327"/>
        <v>0</v>
      </c>
      <c r="MK686" s="1750">
        <f t="shared" si="333"/>
        <v>0</v>
      </c>
      <c r="ML686" s="1750">
        <f t="shared" si="334"/>
        <v>0</v>
      </c>
      <c r="MM686" s="1750">
        <f t="shared" si="335"/>
        <v>0</v>
      </c>
      <c r="MN686" s="1750">
        <f t="shared" si="336"/>
        <v>0</v>
      </c>
      <c r="MO686" s="1750">
        <f t="shared" si="337"/>
        <v>0</v>
      </c>
      <c r="MP686" s="1750">
        <f t="shared" si="328"/>
        <v>0</v>
      </c>
      <c r="MQ686" s="1750">
        <f t="shared" si="329"/>
        <v>0</v>
      </c>
      <c r="MR686" s="1750">
        <f t="shared" si="330"/>
        <v>0</v>
      </c>
      <c r="MS686" s="1750">
        <f t="shared" si="331"/>
        <v>0</v>
      </c>
      <c r="MT686" s="1750">
        <f t="shared" si="332"/>
        <v>0</v>
      </c>
      <c r="NP686" s="357" t="s">
        <v>6451</v>
      </c>
    </row>
    <row r="687" spans="1:380" ht="13.9" customHeight="1">
      <c r="A687" s="1901">
        <f>COUNT(A649,A650,A651,A652,A653,A654,A655,A656,A657,A658,A659,A660,A661,A662,A663,A664,A665,A666,A667,A668,A669,A670,A671,A672,A673,A674,A675,A676,A677,A678)</f>
        <v>0</v>
      </c>
      <c r="B687" s="362" t="s">
        <v>3772</v>
      </c>
      <c r="C687" s="362"/>
      <c r="D687" s="2239" t="s">
        <v>955</v>
      </c>
      <c r="E687" s="2240">
        <f>SUM(E649:E686)</f>
        <v>120</v>
      </c>
      <c r="F687" s="2241">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152130</v>
      </c>
      <c r="H687" s="2242" t="s">
        <v>3769</v>
      </c>
      <c r="I687" s="2243" t="s">
        <v>3770</v>
      </c>
      <c r="J687" s="2244" t="str">
        <f>IF(P705=0,"",IF(SUM(P696:P700)/P705&gt;=0.4,"Pass","Fail"))</f>
        <v>Pass</v>
      </c>
      <c r="K687" s="363"/>
      <c r="L687" s="2239" t="s">
        <v>1226</v>
      </c>
      <c r="M687" s="2245">
        <f>SUM(M649:M686)</f>
        <v>156391</v>
      </c>
      <c r="N687" s="359"/>
      <c r="O687" s="359"/>
      <c r="P687" s="359"/>
      <c r="Q687" s="359"/>
      <c r="R687" s="359"/>
      <c r="S687" s="359"/>
      <c r="T687" s="359"/>
      <c r="U687" s="359"/>
      <c r="V687" s="1902"/>
      <c r="W687" s="1903"/>
      <c r="X687" s="1903">
        <f t="shared" ref="X687:FA687" si="342">SUM(X649:X686)</f>
        <v>0</v>
      </c>
      <c r="Y687" s="1903">
        <f t="shared" si="342"/>
        <v>5</v>
      </c>
      <c r="Z687" s="1903">
        <f t="shared" si="342"/>
        <v>7</v>
      </c>
      <c r="AA687" s="1903">
        <f t="shared" si="342"/>
        <v>10</v>
      </c>
      <c r="AB687" s="1903">
        <f t="shared" si="342"/>
        <v>3</v>
      </c>
      <c r="AC687" s="1903">
        <f t="shared" si="342"/>
        <v>0</v>
      </c>
      <c r="AD687" s="1903">
        <f t="shared" si="342"/>
        <v>0</v>
      </c>
      <c r="AE687" s="1903">
        <f t="shared" si="342"/>
        <v>0</v>
      </c>
      <c r="AF687" s="1903">
        <f t="shared" si="342"/>
        <v>0</v>
      </c>
      <c r="AG687" s="1903">
        <f t="shared" si="342"/>
        <v>0</v>
      </c>
      <c r="AH687" s="1903">
        <f t="shared" si="342"/>
        <v>0</v>
      </c>
      <c r="AI687" s="1903">
        <f t="shared" si="342"/>
        <v>6</v>
      </c>
      <c r="AJ687" s="1903">
        <f t="shared" si="342"/>
        <v>17</v>
      </c>
      <c r="AK687" s="1903">
        <f t="shared" si="342"/>
        <v>23</v>
      </c>
      <c r="AL687" s="1903">
        <f t="shared" si="342"/>
        <v>12</v>
      </c>
      <c r="AM687" s="1903">
        <f>SUM(AM649:AM686)</f>
        <v>0</v>
      </c>
      <c r="AN687" s="1903">
        <f>SUM(AN649:AN686)</f>
        <v>0</v>
      </c>
      <c r="AO687" s="1903">
        <f>SUM(AO649:AO686)</f>
        <v>0</v>
      </c>
      <c r="AP687" s="1903">
        <f>SUM(AP649:AP686)</f>
        <v>0</v>
      </c>
      <c r="AQ687" s="1903">
        <f>SUM(AQ649:AQ686)</f>
        <v>0</v>
      </c>
      <c r="AR687" s="1903">
        <f t="shared" si="342"/>
        <v>0</v>
      </c>
      <c r="AS687" s="1903">
        <f t="shared" si="342"/>
        <v>0</v>
      </c>
      <c r="AT687" s="1903">
        <f t="shared" si="342"/>
        <v>0</v>
      </c>
      <c r="AU687" s="1903">
        <f t="shared" si="342"/>
        <v>0</v>
      </c>
      <c r="AV687" s="1903">
        <f t="shared" si="342"/>
        <v>0</v>
      </c>
      <c r="AW687" s="1903">
        <f t="shared" si="342"/>
        <v>0</v>
      </c>
      <c r="AX687" s="1903">
        <f t="shared" si="342"/>
        <v>4</v>
      </c>
      <c r="AY687" s="1903">
        <f t="shared" si="342"/>
        <v>15</v>
      </c>
      <c r="AZ687" s="1903">
        <f t="shared" si="342"/>
        <v>12</v>
      </c>
      <c r="BA687" s="1903">
        <f t="shared" si="342"/>
        <v>6</v>
      </c>
      <c r="BB687" s="1903">
        <f>SUM(BB649:BB686)</f>
        <v>0</v>
      </c>
      <c r="BC687" s="1903">
        <f>SUM(BC649:BC686)</f>
        <v>0</v>
      </c>
      <c r="BD687" s="1903">
        <f>SUM(BD649:BD686)</f>
        <v>0</v>
      </c>
      <c r="BE687" s="1903">
        <f>SUM(BE649:BE686)</f>
        <v>0</v>
      </c>
      <c r="BF687" s="1903">
        <f>SUM(BF649:BF686)</f>
        <v>0</v>
      </c>
      <c r="BG687" s="1903">
        <f t="shared" si="342"/>
        <v>0</v>
      </c>
      <c r="BH687" s="1903">
        <f t="shared" si="342"/>
        <v>0</v>
      </c>
      <c r="BI687" s="1903">
        <f t="shared" si="342"/>
        <v>0</v>
      </c>
      <c r="BJ687" s="1903">
        <f t="shared" si="342"/>
        <v>0</v>
      </c>
      <c r="BK687" s="1903">
        <f t="shared" si="342"/>
        <v>0</v>
      </c>
      <c r="BL687" s="1903">
        <f>SUM(BL649:BL686)</f>
        <v>0</v>
      </c>
      <c r="BM687" s="1903">
        <f>SUM(BM649:BM686)</f>
        <v>0</v>
      </c>
      <c r="BN687" s="1903">
        <f>SUM(BN649:BN686)</f>
        <v>0</v>
      </c>
      <c r="BO687" s="1903">
        <f>SUM(BO649:BO686)</f>
        <v>0</v>
      </c>
      <c r="BP687" s="1903">
        <f>SUM(BP649:BP686)</f>
        <v>0</v>
      </c>
      <c r="BQ687" s="1903">
        <f t="shared" si="342"/>
        <v>0</v>
      </c>
      <c r="BR687" s="1903">
        <f t="shared" si="342"/>
        <v>4</v>
      </c>
      <c r="BS687" s="1903">
        <f t="shared" si="342"/>
        <v>15</v>
      </c>
      <c r="BT687" s="1903">
        <f t="shared" si="342"/>
        <v>12</v>
      </c>
      <c r="BU687" s="1903">
        <f t="shared" si="342"/>
        <v>6</v>
      </c>
      <c r="BV687" s="1903">
        <f>SUM(BV649:BV686)</f>
        <v>0</v>
      </c>
      <c r="BW687" s="1903">
        <f>SUM(BW649:BW686)</f>
        <v>0</v>
      </c>
      <c r="BX687" s="1903">
        <f>SUM(BX649:BX686)</f>
        <v>0</v>
      </c>
      <c r="BY687" s="1903">
        <f>SUM(BY649:BY686)</f>
        <v>0</v>
      </c>
      <c r="BZ687" s="1903">
        <f>SUM(BZ649:BZ686)</f>
        <v>0</v>
      </c>
      <c r="CA687" s="1903">
        <f t="shared" si="342"/>
        <v>0</v>
      </c>
      <c r="CB687" s="1903">
        <f t="shared" si="342"/>
        <v>0</v>
      </c>
      <c r="CC687" s="1903">
        <f t="shared" si="342"/>
        <v>0</v>
      </c>
      <c r="CD687" s="1903">
        <f t="shared" si="342"/>
        <v>0</v>
      </c>
      <c r="CE687" s="1903">
        <f t="shared" si="342"/>
        <v>0</v>
      </c>
      <c r="CF687" s="1903">
        <f t="shared" si="342"/>
        <v>0</v>
      </c>
      <c r="CG687" s="1903">
        <f t="shared" si="342"/>
        <v>0</v>
      </c>
      <c r="CH687" s="1903">
        <f t="shared" si="342"/>
        <v>15</v>
      </c>
      <c r="CI687" s="1903">
        <f t="shared" si="342"/>
        <v>17</v>
      </c>
      <c r="CJ687" s="1903">
        <f t="shared" si="342"/>
        <v>10</v>
      </c>
      <c r="CK687" s="1903">
        <f>SUM(CK649:CK686)</f>
        <v>0</v>
      </c>
      <c r="CL687" s="1903">
        <f>SUM(CL649:CL686)</f>
        <v>0</v>
      </c>
      <c r="CM687" s="1903">
        <f>SUM(CM649:CM686)</f>
        <v>0</v>
      </c>
      <c r="CN687" s="1903">
        <f>SUM(CN649:CN686)</f>
        <v>0</v>
      </c>
      <c r="CO687" s="1903">
        <f>SUM(CO649:CO686)</f>
        <v>0</v>
      </c>
      <c r="CP687" s="1903">
        <f t="shared" ref="CP687:CY687" si="343">SUM(CP649:CP686)</f>
        <v>0</v>
      </c>
      <c r="CQ687" s="1903">
        <f t="shared" si="343"/>
        <v>5</v>
      </c>
      <c r="CR687" s="1903">
        <f t="shared" si="343"/>
        <v>7</v>
      </c>
      <c r="CS687" s="1903">
        <f t="shared" si="343"/>
        <v>10</v>
      </c>
      <c r="CT687" s="1903">
        <f t="shared" si="343"/>
        <v>3</v>
      </c>
      <c r="CU687" s="1903">
        <f t="shared" si="343"/>
        <v>0</v>
      </c>
      <c r="CV687" s="1903">
        <f t="shared" si="343"/>
        <v>0</v>
      </c>
      <c r="CW687" s="1903">
        <f t="shared" si="343"/>
        <v>0</v>
      </c>
      <c r="CX687" s="1903">
        <f t="shared" si="343"/>
        <v>0</v>
      </c>
      <c r="CY687" s="1903">
        <f t="shared" si="343"/>
        <v>0</v>
      </c>
      <c r="CZ687" s="1903">
        <f t="shared" si="342"/>
        <v>0</v>
      </c>
      <c r="DA687" s="1903">
        <f t="shared" si="342"/>
        <v>0</v>
      </c>
      <c r="DB687" s="1903">
        <f t="shared" si="342"/>
        <v>0</v>
      </c>
      <c r="DC687" s="1903">
        <f t="shared" si="342"/>
        <v>0</v>
      </c>
      <c r="DD687" s="1903">
        <f t="shared" si="342"/>
        <v>0</v>
      </c>
      <c r="DE687" s="1903">
        <f t="shared" si="342"/>
        <v>0</v>
      </c>
      <c r="DF687" s="1903">
        <f t="shared" si="342"/>
        <v>0</v>
      </c>
      <c r="DG687" s="1903">
        <f t="shared" si="342"/>
        <v>0</v>
      </c>
      <c r="DH687" s="1903">
        <f t="shared" si="342"/>
        <v>0</v>
      </c>
      <c r="DI687" s="1903">
        <f t="shared" si="342"/>
        <v>0</v>
      </c>
      <c r="DJ687" s="1903">
        <f t="shared" si="342"/>
        <v>0</v>
      </c>
      <c r="DK687" s="1903">
        <f t="shared" si="342"/>
        <v>0</v>
      </c>
      <c r="DL687" s="1903">
        <f t="shared" si="342"/>
        <v>0</v>
      </c>
      <c r="DM687" s="1903">
        <f t="shared" si="342"/>
        <v>0</v>
      </c>
      <c r="DN687" s="1903">
        <f t="shared" si="342"/>
        <v>0</v>
      </c>
      <c r="DO687" s="1903">
        <f t="shared" si="342"/>
        <v>0</v>
      </c>
      <c r="DP687" s="1903">
        <f t="shared" si="342"/>
        <v>0</v>
      </c>
      <c r="DQ687" s="1903">
        <f t="shared" si="342"/>
        <v>0</v>
      </c>
      <c r="DR687" s="1903">
        <f t="shared" si="342"/>
        <v>0</v>
      </c>
      <c r="DS687" s="1903">
        <f t="shared" si="342"/>
        <v>0</v>
      </c>
      <c r="DT687" s="1903">
        <f t="shared" si="342"/>
        <v>0</v>
      </c>
      <c r="DU687" s="1903">
        <f t="shared" si="342"/>
        <v>0</v>
      </c>
      <c r="DV687" s="1903">
        <f t="shared" si="342"/>
        <v>0</v>
      </c>
      <c r="DW687" s="1903">
        <f t="shared" si="342"/>
        <v>0</v>
      </c>
      <c r="DX687" s="1903">
        <f t="shared" si="342"/>
        <v>0</v>
      </c>
      <c r="DY687" s="1903">
        <f t="shared" si="342"/>
        <v>0</v>
      </c>
      <c r="DZ687" s="1903">
        <f t="shared" si="342"/>
        <v>0</v>
      </c>
      <c r="EA687" s="1903">
        <f t="shared" si="342"/>
        <v>0</v>
      </c>
      <c r="EB687" s="1903">
        <f t="shared" si="342"/>
        <v>0</v>
      </c>
      <c r="EC687" s="1903">
        <f t="shared" si="342"/>
        <v>0</v>
      </c>
      <c r="ED687" s="1903">
        <f t="shared" si="342"/>
        <v>0</v>
      </c>
      <c r="EE687" s="1903">
        <f t="shared" si="342"/>
        <v>0</v>
      </c>
      <c r="EF687" s="1903">
        <f t="shared" si="342"/>
        <v>0</v>
      </c>
      <c r="EG687" s="1903">
        <f t="shared" si="342"/>
        <v>0</v>
      </c>
      <c r="EH687" s="1903">
        <f t="shared" si="342"/>
        <v>0</v>
      </c>
      <c r="EI687" s="1903">
        <f t="shared" si="342"/>
        <v>0</v>
      </c>
      <c r="EJ687" s="1903">
        <f t="shared" si="342"/>
        <v>4225</v>
      </c>
      <c r="EK687" s="1903">
        <f t="shared" si="342"/>
        <v>8092</v>
      </c>
      <c r="EL687" s="1903">
        <f t="shared" si="342"/>
        <v>13640</v>
      </c>
      <c r="EM687" s="1903">
        <f t="shared" si="342"/>
        <v>4713</v>
      </c>
      <c r="EN687" s="1903">
        <f t="shared" si="342"/>
        <v>0</v>
      </c>
      <c r="EO687" s="1903">
        <f t="shared" si="342"/>
        <v>0</v>
      </c>
      <c r="EP687" s="1903">
        <f t="shared" si="342"/>
        <v>0</v>
      </c>
      <c r="EQ687" s="1903">
        <f t="shared" si="342"/>
        <v>0</v>
      </c>
      <c r="ER687" s="1903">
        <f t="shared" si="342"/>
        <v>0</v>
      </c>
      <c r="ES687" s="1903">
        <f t="shared" si="342"/>
        <v>0</v>
      </c>
      <c r="ET687" s="1903">
        <f t="shared" si="342"/>
        <v>5070</v>
      </c>
      <c r="EU687" s="1903">
        <f t="shared" si="342"/>
        <v>19652</v>
      </c>
      <c r="EV687" s="1903">
        <f t="shared" si="342"/>
        <v>31372</v>
      </c>
      <c r="EW687" s="1903">
        <f t="shared" si="342"/>
        <v>18852</v>
      </c>
      <c r="EX687" s="1903">
        <f t="shared" si="342"/>
        <v>0</v>
      </c>
      <c r="EY687" s="1903">
        <f t="shared" si="342"/>
        <v>0</v>
      </c>
      <c r="EZ687" s="1903">
        <f t="shared" si="342"/>
        <v>0</v>
      </c>
      <c r="FA687" s="1903">
        <f t="shared" si="342"/>
        <v>0</v>
      </c>
      <c r="FB687" s="1903">
        <f t="shared" ref="FB687:HW687" si="344">SUM(FB649:FB686)</f>
        <v>0</v>
      </c>
      <c r="FC687" s="1903">
        <f>SUM(FC649:FC686)</f>
        <v>0</v>
      </c>
      <c r="FD687" s="1903">
        <f>SUM(FD649:FD686)</f>
        <v>0</v>
      </c>
      <c r="FE687" s="1903">
        <f>SUM(FE649:FE686)</f>
        <v>0</v>
      </c>
      <c r="FF687" s="1903">
        <f>SUM(FF649:FF686)</f>
        <v>0</v>
      </c>
      <c r="FG687" s="1903">
        <f>SUM(FG649:FG686)</f>
        <v>0</v>
      </c>
      <c r="FH687" s="1903">
        <f t="shared" si="344"/>
        <v>0</v>
      </c>
      <c r="FI687" s="1903">
        <f t="shared" si="344"/>
        <v>3380</v>
      </c>
      <c r="FJ687" s="1903">
        <f t="shared" si="344"/>
        <v>17340</v>
      </c>
      <c r="FK687" s="1903">
        <f t="shared" si="344"/>
        <v>16368</v>
      </c>
      <c r="FL687" s="1903">
        <f t="shared" si="344"/>
        <v>9426</v>
      </c>
      <c r="FM687" s="1903">
        <f>SUM(FM649:FM686)</f>
        <v>0</v>
      </c>
      <c r="FN687" s="1903">
        <f>SUM(FN649:FN686)</f>
        <v>0</v>
      </c>
      <c r="FO687" s="1903">
        <f>SUM(FO649:FO686)</f>
        <v>0</v>
      </c>
      <c r="FP687" s="1903">
        <f>SUM(FP649:FP686)</f>
        <v>0</v>
      </c>
      <c r="FQ687" s="1903">
        <f>SUM(FQ649:FQ686)</f>
        <v>0</v>
      </c>
      <c r="FR687" s="1903">
        <f t="shared" si="344"/>
        <v>0</v>
      </c>
      <c r="FS687" s="1903">
        <f t="shared" si="344"/>
        <v>0</v>
      </c>
      <c r="FT687" s="1903">
        <f t="shared" si="344"/>
        <v>0</v>
      </c>
      <c r="FU687" s="1903">
        <f t="shared" si="344"/>
        <v>0</v>
      </c>
      <c r="FV687" s="1903">
        <f t="shared" si="344"/>
        <v>0</v>
      </c>
      <c r="FW687" s="1903">
        <f t="shared" si="344"/>
        <v>0</v>
      </c>
      <c r="FX687" s="1903">
        <f t="shared" si="344"/>
        <v>0</v>
      </c>
      <c r="FY687" s="1903">
        <f t="shared" si="344"/>
        <v>34680</v>
      </c>
      <c r="FZ687" s="1903">
        <f t="shared" si="344"/>
        <v>39556</v>
      </c>
      <c r="GA687" s="1903">
        <f t="shared" si="344"/>
        <v>25136</v>
      </c>
      <c r="GB687" s="1903">
        <f t="shared" si="344"/>
        <v>0</v>
      </c>
      <c r="GC687" s="1903">
        <f t="shared" si="344"/>
        <v>0</v>
      </c>
      <c r="GD687" s="1903">
        <f t="shared" si="344"/>
        <v>0</v>
      </c>
      <c r="GE687" s="1903">
        <f t="shared" si="344"/>
        <v>0</v>
      </c>
      <c r="GF687" s="1903">
        <f t="shared" si="344"/>
        <v>0</v>
      </c>
      <c r="GG687" s="1903">
        <f t="shared" si="344"/>
        <v>0</v>
      </c>
      <c r="GH687" s="1903">
        <f t="shared" si="344"/>
        <v>15</v>
      </c>
      <c r="GI687" s="1903">
        <f t="shared" si="344"/>
        <v>39</v>
      </c>
      <c r="GJ687" s="1903">
        <f t="shared" si="344"/>
        <v>45</v>
      </c>
      <c r="GK687" s="1903">
        <f t="shared" si="344"/>
        <v>21</v>
      </c>
      <c r="GL687" s="1903">
        <f t="shared" si="344"/>
        <v>0</v>
      </c>
      <c r="GM687" s="1903">
        <f t="shared" si="344"/>
        <v>0</v>
      </c>
      <c r="GN687" s="1903">
        <f t="shared" si="344"/>
        <v>0</v>
      </c>
      <c r="GO687" s="1903">
        <f t="shared" si="344"/>
        <v>0</v>
      </c>
      <c r="GP687" s="1903">
        <f t="shared" si="344"/>
        <v>0</v>
      </c>
      <c r="GQ687" s="1903">
        <f t="shared" si="344"/>
        <v>0</v>
      </c>
      <c r="GR687" s="1903">
        <f t="shared" si="344"/>
        <v>0</v>
      </c>
      <c r="GS687" s="1903">
        <f t="shared" si="344"/>
        <v>0</v>
      </c>
      <c r="GT687" s="1903">
        <f t="shared" si="344"/>
        <v>0</v>
      </c>
      <c r="GU687" s="1903">
        <f t="shared" si="344"/>
        <v>0</v>
      </c>
      <c r="GV687" s="1903">
        <f t="shared" si="344"/>
        <v>0</v>
      </c>
      <c r="GW687" s="1903">
        <f t="shared" si="344"/>
        <v>0</v>
      </c>
      <c r="GX687" s="1903">
        <f t="shared" si="344"/>
        <v>0</v>
      </c>
      <c r="GY687" s="1903">
        <f t="shared" si="344"/>
        <v>0</v>
      </c>
      <c r="GZ687" s="1903">
        <f t="shared" si="344"/>
        <v>0</v>
      </c>
      <c r="HA687" s="1903">
        <f t="shared" si="344"/>
        <v>0</v>
      </c>
      <c r="HB687" s="1903">
        <f t="shared" si="344"/>
        <v>0</v>
      </c>
      <c r="HC687" s="1903">
        <f t="shared" si="344"/>
        <v>0</v>
      </c>
      <c r="HD687" s="1903">
        <f t="shared" si="344"/>
        <v>0</v>
      </c>
      <c r="HE687" s="1903">
        <f t="shared" si="344"/>
        <v>0</v>
      </c>
      <c r="HF687" s="1903">
        <f t="shared" si="344"/>
        <v>0</v>
      </c>
      <c r="HG687" s="1903">
        <f t="shared" si="344"/>
        <v>0</v>
      </c>
      <c r="HH687" s="1903">
        <f t="shared" si="344"/>
        <v>0</v>
      </c>
      <c r="HI687" s="1903">
        <f t="shared" si="344"/>
        <v>0</v>
      </c>
      <c r="HJ687" s="1903">
        <f t="shared" si="344"/>
        <v>0</v>
      </c>
      <c r="HK687" s="1903">
        <f t="shared" si="344"/>
        <v>0</v>
      </c>
      <c r="HL687" s="1903">
        <f t="shared" si="344"/>
        <v>0</v>
      </c>
      <c r="HM687" s="1903">
        <f t="shared" si="344"/>
        <v>0</v>
      </c>
      <c r="HN687" s="1903">
        <f t="shared" si="344"/>
        <v>0</v>
      </c>
      <c r="HO687" s="1903">
        <f t="shared" si="344"/>
        <v>0</v>
      </c>
      <c r="HP687" s="1903">
        <f t="shared" si="344"/>
        <v>0</v>
      </c>
      <c r="HQ687" s="1903">
        <f t="shared" si="344"/>
        <v>0</v>
      </c>
      <c r="HR687" s="1903">
        <f t="shared" si="344"/>
        <v>0</v>
      </c>
      <c r="HS687" s="1903">
        <f t="shared" si="344"/>
        <v>0</v>
      </c>
      <c r="HT687" s="1903">
        <f t="shared" si="344"/>
        <v>0</v>
      </c>
      <c r="HU687" s="1903">
        <f t="shared" si="344"/>
        <v>0</v>
      </c>
      <c r="HV687" s="1903">
        <f t="shared" si="344"/>
        <v>0</v>
      </c>
      <c r="HW687" s="1903">
        <f t="shared" si="344"/>
        <v>0</v>
      </c>
      <c r="HX687" s="1903">
        <f t="shared" ref="HX687:KI687" si="345">SUM(HX649:HX686)</f>
        <v>0</v>
      </c>
      <c r="HY687" s="1903">
        <f t="shared" si="345"/>
        <v>0</v>
      </c>
      <c r="HZ687" s="1903">
        <f t="shared" si="345"/>
        <v>0</v>
      </c>
      <c r="IA687" s="1903">
        <f t="shared" si="345"/>
        <v>15</v>
      </c>
      <c r="IB687" s="1903">
        <f t="shared" si="345"/>
        <v>39</v>
      </c>
      <c r="IC687" s="1903">
        <f t="shared" si="345"/>
        <v>45</v>
      </c>
      <c r="ID687" s="1903">
        <f t="shared" si="345"/>
        <v>21</v>
      </c>
      <c r="IE687" s="1903">
        <f t="shared" si="345"/>
        <v>0</v>
      </c>
      <c r="IF687" s="1903">
        <f t="shared" si="345"/>
        <v>0</v>
      </c>
      <c r="IG687" s="1903">
        <f t="shared" si="345"/>
        <v>0</v>
      </c>
      <c r="IH687" s="1903">
        <f t="shared" si="345"/>
        <v>0</v>
      </c>
      <c r="II687" s="1903">
        <f t="shared" si="345"/>
        <v>0</v>
      </c>
      <c r="IJ687" s="1903">
        <f t="shared" si="345"/>
        <v>0</v>
      </c>
      <c r="IK687" s="1903">
        <f t="shared" si="345"/>
        <v>0</v>
      </c>
      <c r="IL687" s="1903">
        <f t="shared" si="345"/>
        <v>0</v>
      </c>
      <c r="IM687" s="1903">
        <f t="shared" si="345"/>
        <v>0</v>
      </c>
      <c r="IN687" s="1903">
        <f t="shared" si="345"/>
        <v>0</v>
      </c>
      <c r="IO687" s="1903">
        <f t="shared" si="345"/>
        <v>0</v>
      </c>
      <c r="IP687" s="1903">
        <f t="shared" si="345"/>
        <v>0</v>
      </c>
      <c r="IQ687" s="1903">
        <f t="shared" si="345"/>
        <v>0</v>
      </c>
      <c r="IR687" s="1903">
        <f t="shared" si="345"/>
        <v>0</v>
      </c>
      <c r="IS687" s="1903">
        <f t="shared" si="345"/>
        <v>0</v>
      </c>
      <c r="IT687" s="1903">
        <f t="shared" si="345"/>
        <v>0</v>
      </c>
      <c r="IU687" s="1903">
        <f t="shared" si="345"/>
        <v>0</v>
      </c>
      <c r="IV687" s="1903">
        <f t="shared" si="345"/>
        <v>0</v>
      </c>
      <c r="IW687" s="1903">
        <f t="shared" si="345"/>
        <v>0</v>
      </c>
      <c r="IX687" s="1903">
        <f t="shared" si="345"/>
        <v>0</v>
      </c>
      <c r="IY687" s="1903">
        <f t="shared" si="345"/>
        <v>0</v>
      </c>
      <c r="IZ687" s="1903">
        <f t="shared" si="345"/>
        <v>0</v>
      </c>
      <c r="JA687" s="1903">
        <f t="shared" si="345"/>
        <v>0</v>
      </c>
      <c r="JB687" s="1903">
        <f t="shared" si="345"/>
        <v>0</v>
      </c>
      <c r="JC687" s="1903">
        <f t="shared" si="345"/>
        <v>0</v>
      </c>
      <c r="JD687" s="1903">
        <f t="shared" si="345"/>
        <v>0</v>
      </c>
      <c r="JE687" s="1903">
        <f t="shared" si="345"/>
        <v>0</v>
      </c>
      <c r="JF687" s="1903">
        <f t="shared" si="345"/>
        <v>0</v>
      </c>
      <c r="JG687" s="1903">
        <f t="shared" si="345"/>
        <v>0</v>
      </c>
      <c r="JH687" s="1903">
        <f t="shared" si="345"/>
        <v>0</v>
      </c>
      <c r="JI687" s="1903">
        <f t="shared" si="345"/>
        <v>0</v>
      </c>
      <c r="JJ687" s="1903">
        <f t="shared" si="345"/>
        <v>0</v>
      </c>
      <c r="JK687" s="1903">
        <f t="shared" si="345"/>
        <v>0</v>
      </c>
      <c r="JL687" s="1903">
        <f t="shared" si="345"/>
        <v>0</v>
      </c>
      <c r="JM687" s="1903">
        <f t="shared" si="345"/>
        <v>0</v>
      </c>
      <c r="JN687" s="1903">
        <f t="shared" si="345"/>
        <v>0</v>
      </c>
      <c r="JO687" s="1903">
        <f t="shared" si="345"/>
        <v>0</v>
      </c>
      <c r="JP687" s="1903">
        <f t="shared" si="345"/>
        <v>0</v>
      </c>
      <c r="JQ687" s="1903">
        <f t="shared" si="345"/>
        <v>0</v>
      </c>
      <c r="JR687" s="1903">
        <f t="shared" si="345"/>
        <v>0</v>
      </c>
      <c r="JS687" s="1903">
        <f t="shared" si="345"/>
        <v>0</v>
      </c>
      <c r="JT687" s="1903">
        <f t="shared" si="345"/>
        <v>15</v>
      </c>
      <c r="JU687" s="1903">
        <f t="shared" si="345"/>
        <v>39</v>
      </c>
      <c r="JV687" s="1903">
        <f t="shared" si="345"/>
        <v>45</v>
      </c>
      <c r="JW687" s="1903">
        <f t="shared" si="345"/>
        <v>21</v>
      </c>
      <c r="JX687" s="1903">
        <f t="shared" si="345"/>
        <v>0</v>
      </c>
      <c r="JY687" s="1903">
        <f t="shared" si="345"/>
        <v>0</v>
      </c>
      <c r="JZ687" s="1903">
        <f t="shared" si="345"/>
        <v>0</v>
      </c>
      <c r="KA687" s="1903">
        <f t="shared" si="345"/>
        <v>0</v>
      </c>
      <c r="KB687" s="1903">
        <f t="shared" si="345"/>
        <v>0</v>
      </c>
      <c r="KC687" s="1903">
        <f t="shared" si="345"/>
        <v>0</v>
      </c>
      <c r="KD687" s="1903">
        <f t="shared" si="345"/>
        <v>0</v>
      </c>
      <c r="KE687" s="1903">
        <f t="shared" si="345"/>
        <v>0</v>
      </c>
      <c r="KF687" s="1903">
        <f t="shared" si="345"/>
        <v>0</v>
      </c>
      <c r="KG687" s="1903">
        <f t="shared" si="345"/>
        <v>0</v>
      </c>
      <c r="KH687" s="1903">
        <f t="shared" si="345"/>
        <v>0</v>
      </c>
      <c r="KI687" s="1903">
        <f t="shared" si="345"/>
        <v>0</v>
      </c>
      <c r="KJ687" s="1903">
        <f t="shared" ref="KJ687:MU687" si="346">SUM(KJ649:KJ686)</f>
        <v>0</v>
      </c>
      <c r="KK687" s="1903">
        <f t="shared" si="346"/>
        <v>0</v>
      </c>
      <c r="KL687" s="1903">
        <f t="shared" si="346"/>
        <v>0</v>
      </c>
      <c r="KM687" s="1903">
        <f t="shared" si="346"/>
        <v>0</v>
      </c>
      <c r="KN687" s="1903">
        <f t="shared" si="346"/>
        <v>0</v>
      </c>
      <c r="KO687" s="1903">
        <f t="shared" si="346"/>
        <v>0</v>
      </c>
      <c r="KP687" s="1903">
        <f t="shared" si="346"/>
        <v>0</v>
      </c>
      <c r="KQ687" s="1903">
        <f t="shared" si="346"/>
        <v>0</v>
      </c>
      <c r="KR687" s="1903">
        <f t="shared" si="346"/>
        <v>0</v>
      </c>
      <c r="KS687" s="1903">
        <f t="shared" si="346"/>
        <v>0</v>
      </c>
      <c r="KT687" s="1903">
        <f t="shared" si="346"/>
        <v>0</v>
      </c>
      <c r="KU687" s="1903">
        <f t="shared" si="346"/>
        <v>0</v>
      </c>
      <c r="KV687" s="1903">
        <f t="shared" si="346"/>
        <v>0</v>
      </c>
      <c r="KW687" s="1903">
        <f t="shared" si="346"/>
        <v>0</v>
      </c>
      <c r="KX687" s="1903">
        <f t="shared" si="346"/>
        <v>0</v>
      </c>
      <c r="KY687" s="1903">
        <f t="shared" si="346"/>
        <v>0</v>
      </c>
      <c r="KZ687" s="1903">
        <f t="shared" si="346"/>
        <v>0</v>
      </c>
      <c r="LA687" s="1903">
        <f t="shared" si="346"/>
        <v>0</v>
      </c>
      <c r="LB687" s="1903">
        <f t="shared" si="346"/>
        <v>0</v>
      </c>
      <c r="LC687" s="1903">
        <f t="shared" si="346"/>
        <v>0</v>
      </c>
      <c r="LD687" s="1903">
        <f t="shared" si="346"/>
        <v>0</v>
      </c>
      <c r="LE687" s="1903">
        <f t="shared" si="346"/>
        <v>0</v>
      </c>
      <c r="LF687" s="1903">
        <f t="shared" si="346"/>
        <v>0</v>
      </c>
      <c r="LG687" s="1903">
        <f t="shared" si="346"/>
        <v>0</v>
      </c>
      <c r="LH687" s="1903">
        <f t="shared" si="346"/>
        <v>0</v>
      </c>
      <c r="LI687" s="1903">
        <f t="shared" si="346"/>
        <v>0</v>
      </c>
      <c r="LJ687" s="1903">
        <f t="shared" si="346"/>
        <v>0</v>
      </c>
      <c r="LK687" s="1903">
        <f t="shared" si="346"/>
        <v>0</v>
      </c>
      <c r="LL687" s="1903">
        <f t="shared" si="346"/>
        <v>0</v>
      </c>
      <c r="LM687" s="1903">
        <f t="shared" si="346"/>
        <v>0</v>
      </c>
      <c r="LN687" s="1903">
        <f t="shared" si="346"/>
        <v>0</v>
      </c>
      <c r="LO687" s="1903">
        <f t="shared" si="346"/>
        <v>0</v>
      </c>
      <c r="LP687" s="1903">
        <f t="shared" si="346"/>
        <v>0</v>
      </c>
      <c r="LQ687" s="1903">
        <f t="shared" si="346"/>
        <v>0</v>
      </c>
      <c r="LR687" s="1903">
        <f t="shared" si="346"/>
        <v>0</v>
      </c>
      <c r="LS687" s="1903">
        <f t="shared" si="346"/>
        <v>0</v>
      </c>
      <c r="LT687" s="1903">
        <f t="shared" si="346"/>
        <v>0</v>
      </c>
      <c r="LU687" s="1903">
        <f t="shared" si="346"/>
        <v>0</v>
      </c>
      <c r="LV687" s="1903">
        <f t="shared" si="346"/>
        <v>0</v>
      </c>
      <c r="LW687" s="1903">
        <f t="shared" si="346"/>
        <v>0</v>
      </c>
      <c r="LX687" s="1903">
        <f t="shared" si="346"/>
        <v>0</v>
      </c>
      <c r="LY687" s="1903">
        <f t="shared" si="346"/>
        <v>0</v>
      </c>
      <c r="LZ687" s="1903">
        <f t="shared" si="346"/>
        <v>0</v>
      </c>
      <c r="MA687" s="1903">
        <f t="shared" si="346"/>
        <v>0</v>
      </c>
      <c r="MB687" s="1903">
        <f t="shared" si="346"/>
        <v>0</v>
      </c>
      <c r="MC687" s="1903">
        <f t="shared" si="346"/>
        <v>0</v>
      </c>
      <c r="MD687" s="1903">
        <f t="shared" si="346"/>
        <v>0</v>
      </c>
      <c r="ME687" s="1903">
        <f t="shared" si="346"/>
        <v>0</v>
      </c>
      <c r="MF687" s="1903">
        <f t="shared" si="346"/>
        <v>0</v>
      </c>
      <c r="MG687" s="1903">
        <f t="shared" si="346"/>
        <v>0</v>
      </c>
      <c r="MH687" s="1903">
        <f t="shared" si="346"/>
        <v>0</v>
      </c>
      <c r="MI687" s="1903">
        <f t="shared" si="346"/>
        <v>0</v>
      </c>
      <c r="MJ687" s="1903">
        <f t="shared" si="346"/>
        <v>0</v>
      </c>
      <c r="MK687" s="1903">
        <f t="shared" si="346"/>
        <v>0</v>
      </c>
      <c r="ML687" s="1903">
        <f t="shared" si="346"/>
        <v>15</v>
      </c>
      <c r="MM687" s="1903">
        <f t="shared" si="346"/>
        <v>39</v>
      </c>
      <c r="MN687" s="1903">
        <f t="shared" si="346"/>
        <v>45</v>
      </c>
      <c r="MO687" s="1903">
        <f t="shared" si="346"/>
        <v>21</v>
      </c>
      <c r="MP687" s="1903">
        <f t="shared" si="346"/>
        <v>0</v>
      </c>
      <c r="MQ687" s="1903">
        <f t="shared" si="346"/>
        <v>0</v>
      </c>
      <c r="MR687" s="1903">
        <f t="shared" si="346"/>
        <v>0</v>
      </c>
      <c r="MS687" s="1903">
        <f t="shared" si="346"/>
        <v>0</v>
      </c>
      <c r="MT687" s="1903">
        <f t="shared" si="346"/>
        <v>0</v>
      </c>
      <c r="MU687" s="1903">
        <f t="shared" si="346"/>
        <v>0</v>
      </c>
      <c r="NP687" s="357" t="s">
        <v>6452</v>
      </c>
    </row>
    <row r="688" spans="1:380" ht="13.9" customHeight="1">
      <c r="B688" s="2246">
        <f>IF(SUM(E656:E686)=0,"",(B656*E656+B657*E657+B658*E658+B659*E659+B660*E660+B661*E661+B662*E662+B663*E663+B664*E664+B665*E665+B666*E666+B667*E667+B668*E668+B669*E669+B670*E670+B671*E671+B672*E672+B673*E673+B674*E674+B675*E675+B676*E676+B677*E677+B678*E678+B679*E679+B680*E680+B681*E681+B682*E682+B683*E683+B684*E684+B685*E685+B686*E686)/SUM(E656:E686))</f>
        <v>54.916666666666664</v>
      </c>
      <c r="C688" s="2246"/>
      <c r="D688" s="1901" t="s">
        <v>3679</v>
      </c>
      <c r="E688" s="2240">
        <f>SUM(E656:E686)</f>
        <v>120</v>
      </c>
      <c r="F688" s="2241">
        <f>(E656*F656+E657*F657+E658*F658+E659*F659+E660*F660+E661*F661+E662*F662+E663*F663+E664*F664+E665*F665+E666*F666+E667*F667+E668*F668+E669*F669+E670*F670+E671*F671+E672*F672+E673*F673+E674*F674+E675*F675+E676*F676+E677*F677+E678*F678+E679*F679+E680*F680+E681*F681+E682*F682+E683*F683+E684*F684+E685*F685+E686*F686)</f>
        <v>152130</v>
      </c>
      <c r="H688" s="2242"/>
      <c r="I688" s="2243" t="s">
        <v>3771</v>
      </c>
      <c r="J688" s="2244" t="str">
        <f>IF(P705=0,"",IF(SUM(P697:P700)/P705&gt;=0.2,"Pass","Fail"))</f>
        <v>Pass</v>
      </c>
      <c r="K688" s="363"/>
      <c r="L688" s="2239" t="s">
        <v>757</v>
      </c>
      <c r="M688" s="2245">
        <f>M687*12</f>
        <v>1876692</v>
      </c>
      <c r="N688" s="359"/>
      <c r="O688" s="359"/>
      <c r="P688" s="359"/>
      <c r="Q688" s="359"/>
      <c r="R688" s="359"/>
      <c r="S688" s="359"/>
      <c r="T688" s="359"/>
      <c r="U688" s="359"/>
      <c r="V688" s="359"/>
      <c r="W688" s="1903"/>
      <c r="X688" s="1903"/>
      <c r="Y688" s="1903"/>
      <c r="Z688" s="1903"/>
      <c r="AA688" s="1903"/>
      <c r="AB688" s="1903"/>
      <c r="AC688" s="1903"/>
      <c r="AD688" s="1903"/>
      <c r="AE688" s="1903"/>
      <c r="AF688" s="1903"/>
      <c r="AG688" s="1903"/>
      <c r="AH688" s="1903"/>
      <c r="AI688" s="1903"/>
      <c r="AJ688" s="1903"/>
      <c r="AK688" s="1903"/>
      <c r="AL688" s="1903"/>
      <c r="AM688" s="1903"/>
      <c r="AN688" s="1903"/>
      <c r="AO688" s="1903"/>
      <c r="AP688" s="1903"/>
      <c r="AQ688" s="1903"/>
      <c r="AR688" s="1903"/>
      <c r="AS688" s="1903"/>
      <c r="AT688" s="1903"/>
      <c r="AU688" s="1903"/>
      <c r="AV688" s="1903"/>
      <c r="AW688" s="1903"/>
      <c r="AX688" s="1903"/>
      <c r="AY688" s="1903"/>
      <c r="AZ688" s="1903"/>
      <c r="BA688" s="1903"/>
      <c r="BB688" s="1903"/>
      <c r="BC688" s="1903"/>
      <c r="BD688" s="1903"/>
      <c r="BE688" s="1903"/>
      <c r="BF688" s="1903"/>
      <c r="BG688" s="1903"/>
      <c r="BH688" s="1903"/>
      <c r="BI688" s="1903"/>
      <c r="BJ688" s="1903"/>
      <c r="BK688" s="1903"/>
      <c r="BL688" s="1903"/>
      <c r="BM688" s="1903"/>
      <c r="BN688" s="1903"/>
      <c r="BO688" s="1903"/>
      <c r="BP688" s="1903"/>
      <c r="BQ688" s="1903"/>
      <c r="BR688" s="1903"/>
      <c r="BS688" s="1903"/>
      <c r="BT688" s="1903"/>
      <c r="BU688" s="1903"/>
      <c r="BV688" s="1903"/>
      <c r="BW688" s="1903"/>
      <c r="BX688" s="1903"/>
      <c r="BY688" s="1903"/>
      <c r="BZ688" s="1903"/>
      <c r="CA688" s="1903"/>
      <c r="CB688" s="1903"/>
      <c r="CC688" s="1903"/>
      <c r="CD688" s="1903"/>
      <c r="CE688" s="1903"/>
      <c r="CF688" s="1903"/>
      <c r="CG688" s="1903"/>
      <c r="CH688" s="1903"/>
      <c r="CI688" s="1903"/>
      <c r="CJ688" s="1903"/>
      <c r="CK688" s="1903"/>
      <c r="CL688" s="1903"/>
      <c r="CM688" s="1903"/>
      <c r="CN688" s="1903"/>
      <c r="CO688" s="1903"/>
      <c r="CP688" s="1903"/>
      <c r="CQ688" s="1903"/>
      <c r="CR688" s="1903"/>
      <c r="CS688" s="1903"/>
      <c r="CT688" s="1903"/>
      <c r="CU688" s="1903"/>
      <c r="CV688" s="1903"/>
      <c r="CW688" s="1903"/>
      <c r="CX688" s="1903"/>
      <c r="CY688" s="1903"/>
      <c r="CZ688" s="1903"/>
      <c r="DA688" s="1903"/>
      <c r="DB688" s="1903"/>
      <c r="DC688" s="1903"/>
      <c r="DD688" s="1903"/>
      <c r="DE688" s="1903"/>
      <c r="DF688" s="1903"/>
      <c r="DG688" s="1903"/>
      <c r="DH688" s="1903"/>
      <c r="DI688" s="1903"/>
      <c r="DJ688" s="1903"/>
      <c r="DK688" s="1903"/>
      <c r="DL688" s="1903"/>
      <c r="DM688" s="1903"/>
      <c r="DN688" s="1903"/>
      <c r="DO688" s="1903"/>
      <c r="DP688" s="1903"/>
      <c r="DQ688" s="1903"/>
      <c r="DR688" s="1903"/>
      <c r="DS688" s="1903"/>
      <c r="DT688" s="1903"/>
      <c r="DU688" s="1903"/>
      <c r="DV688" s="1903"/>
      <c r="DW688" s="1903"/>
      <c r="DX688" s="1903"/>
      <c r="DY688" s="1903"/>
      <c r="DZ688" s="1903"/>
      <c r="EA688" s="1903"/>
      <c r="EB688" s="1903"/>
      <c r="EC688" s="1903"/>
      <c r="ED688" s="1903"/>
      <c r="EE688" s="1903"/>
      <c r="EF688" s="1903"/>
      <c r="EG688" s="1903"/>
      <c r="EH688" s="1903"/>
      <c r="EI688" s="1903"/>
      <c r="EJ688" s="1903"/>
      <c r="EK688" s="1903"/>
      <c r="EL688" s="1903"/>
      <c r="EM688" s="1903"/>
      <c r="EN688" s="1903"/>
      <c r="EO688" s="1903"/>
      <c r="EP688" s="1903"/>
      <c r="EQ688" s="1903"/>
      <c r="ER688" s="1903"/>
      <c r="ES688" s="1903"/>
      <c r="ET688" s="1903"/>
      <c r="EU688" s="1903"/>
      <c r="EV688" s="1903"/>
      <c r="EW688" s="1903"/>
      <c r="EX688" s="1903"/>
      <c r="EY688" s="1903"/>
      <c r="EZ688" s="1903"/>
      <c r="FA688" s="1903"/>
      <c r="FB688" s="1903"/>
      <c r="FC688" s="1903"/>
      <c r="FD688" s="1903"/>
      <c r="FE688" s="1903"/>
      <c r="FF688" s="1903"/>
      <c r="FG688" s="1903"/>
      <c r="FH688" s="1903"/>
      <c r="FI688" s="1903"/>
      <c r="FJ688" s="1903"/>
      <c r="FK688" s="1903"/>
      <c r="FL688" s="1903"/>
      <c r="FM688" s="1903"/>
      <c r="FN688" s="1903"/>
      <c r="FO688" s="1903"/>
      <c r="FP688" s="1903"/>
      <c r="FQ688" s="1903"/>
      <c r="FR688" s="1903"/>
      <c r="FS688" s="1903"/>
      <c r="FT688" s="1903"/>
      <c r="FU688" s="1903"/>
      <c r="FV688" s="1903"/>
      <c r="FW688" s="1903"/>
      <c r="FX688" s="1903"/>
      <c r="FY688" s="1903"/>
      <c r="FZ688" s="1903"/>
      <c r="GA688" s="1903"/>
      <c r="GB688" s="1903"/>
      <c r="GC688" s="1903"/>
      <c r="GD688" s="1903"/>
      <c r="GE688" s="1903"/>
      <c r="GF688" s="1903"/>
      <c r="GG688" s="1903"/>
      <c r="GH688" s="1903"/>
      <c r="GI688" s="1903"/>
      <c r="GJ688" s="1903"/>
      <c r="GK688" s="1903"/>
      <c r="GL688" s="1903"/>
      <c r="GM688" s="1903"/>
      <c r="GN688" s="1903"/>
      <c r="GO688" s="1903"/>
      <c r="GP688" s="1903"/>
      <c r="GQ688" s="1903"/>
      <c r="GR688" s="1903"/>
      <c r="GS688" s="1903"/>
      <c r="GT688" s="1903"/>
      <c r="GU688" s="1903"/>
      <c r="GV688" s="1903"/>
      <c r="GW688" s="1903"/>
      <c r="GX688" s="1903"/>
      <c r="GY688" s="1903"/>
      <c r="GZ688" s="1903"/>
      <c r="HA688" s="1903"/>
      <c r="HB688" s="1903"/>
      <c r="HC688" s="1903"/>
      <c r="HD688" s="1903"/>
      <c r="HE688" s="1903"/>
      <c r="HF688" s="1903"/>
      <c r="HG688" s="1903"/>
      <c r="HH688" s="1903"/>
      <c r="HI688" s="1903"/>
      <c r="HJ688" s="1903"/>
      <c r="HK688" s="1903"/>
      <c r="HL688" s="1903"/>
      <c r="HM688" s="1903"/>
      <c r="HN688" s="1903"/>
      <c r="HO688" s="1903"/>
      <c r="HP688" s="1903"/>
      <c r="HQ688" s="1903"/>
      <c r="HR688" s="1903"/>
      <c r="HS688" s="1903"/>
      <c r="HT688" s="1903"/>
      <c r="HU688" s="1903"/>
      <c r="HV688" s="1903"/>
      <c r="HW688" s="1903"/>
      <c r="HX688" s="1903"/>
      <c r="HY688" s="1903"/>
      <c r="HZ688" s="1903"/>
      <c r="IA688" s="1903"/>
      <c r="IB688" s="1903"/>
      <c r="IC688" s="1903"/>
      <c r="ID688" s="1903"/>
      <c r="IE688" s="1903"/>
      <c r="IF688" s="1903"/>
      <c r="IG688" s="1903"/>
      <c r="IH688" s="1903"/>
      <c r="II688" s="1903"/>
      <c r="IJ688" s="1903"/>
      <c r="IK688" s="1903"/>
      <c r="IL688" s="1903"/>
      <c r="IM688" s="1903"/>
      <c r="IN688" s="1903"/>
      <c r="IO688" s="1903"/>
      <c r="IP688" s="1903"/>
      <c r="IQ688" s="1903"/>
      <c r="IR688" s="1903"/>
      <c r="IS688" s="1903"/>
      <c r="IT688" s="1903"/>
      <c r="IU688" s="1903"/>
      <c r="IV688" s="1903"/>
      <c r="IW688" s="1903"/>
      <c r="IX688" s="1903"/>
      <c r="IY688" s="1903"/>
      <c r="IZ688" s="1903"/>
      <c r="JA688" s="1903"/>
      <c r="JB688" s="1903"/>
      <c r="JC688" s="1903"/>
      <c r="JD688" s="1903"/>
      <c r="JE688" s="1903"/>
      <c r="JF688" s="1903"/>
      <c r="JG688" s="1903"/>
      <c r="JH688" s="1903"/>
      <c r="JI688" s="1903"/>
      <c r="JJ688" s="1903"/>
      <c r="JK688" s="1903"/>
      <c r="JL688" s="1903"/>
      <c r="JM688" s="1903"/>
      <c r="JN688" s="1903"/>
      <c r="JO688" s="1903"/>
      <c r="JP688" s="1903"/>
      <c r="JQ688" s="1903"/>
      <c r="JR688" s="1903"/>
      <c r="JS688" s="1903"/>
      <c r="JT688" s="1903"/>
      <c r="JU688" s="1903"/>
      <c r="JV688" s="1903"/>
      <c r="JW688" s="1903"/>
      <c r="JX688" s="1903"/>
      <c r="JY688" s="1903"/>
      <c r="JZ688" s="1903"/>
      <c r="KA688" s="1903"/>
      <c r="KB688" s="1903"/>
      <c r="KC688" s="1903"/>
      <c r="KD688" s="1903"/>
      <c r="KE688" s="1903"/>
      <c r="KF688" s="1903"/>
      <c r="KG688" s="1903"/>
      <c r="KH688" s="1903"/>
      <c r="KI688" s="1903"/>
      <c r="KJ688" s="1903"/>
      <c r="KK688" s="1903"/>
      <c r="KL688" s="1903"/>
      <c r="KM688" s="1903"/>
      <c r="KN688" s="1903"/>
      <c r="KO688" s="1903"/>
      <c r="KP688" s="1903"/>
      <c r="KQ688" s="1903"/>
      <c r="KR688" s="1903"/>
      <c r="KS688" s="1903"/>
      <c r="KT688" s="1903"/>
      <c r="KU688" s="1903"/>
      <c r="KV688" s="1903"/>
      <c r="KW688" s="1903"/>
      <c r="KX688" s="1903"/>
      <c r="KY688" s="1903"/>
      <c r="KZ688" s="1903"/>
      <c r="LA688" s="1903"/>
      <c r="LB688" s="1903"/>
      <c r="LC688" s="1903"/>
      <c r="LD688" s="1903"/>
      <c r="LE688" s="1903"/>
      <c r="LF688" s="1903"/>
      <c r="LG688" s="1903"/>
      <c r="LH688" s="1903"/>
      <c r="LI688" s="1903"/>
      <c r="LJ688" s="1903"/>
      <c r="LK688" s="1903"/>
      <c r="LL688" s="1903"/>
      <c r="LM688" s="1903"/>
      <c r="LN688" s="1903"/>
      <c r="LO688" s="1903"/>
      <c r="LP688" s="1903"/>
      <c r="LQ688" s="1903"/>
      <c r="LR688" s="1903"/>
      <c r="LS688" s="1903"/>
      <c r="LT688" s="1903"/>
      <c r="LU688" s="1903"/>
      <c r="LV688" s="1903"/>
      <c r="LW688" s="1903"/>
      <c r="LX688" s="1903"/>
      <c r="LY688" s="1903"/>
      <c r="LZ688" s="1903"/>
      <c r="MA688" s="1903"/>
      <c r="MB688" s="1903"/>
      <c r="MC688" s="1903"/>
      <c r="MD688" s="1903"/>
      <c r="ME688" s="1903"/>
      <c r="NP688" s="357" t="s">
        <v>6453</v>
      </c>
    </row>
    <row r="689" spans="1:343" ht="12" customHeight="1">
      <c r="A689" s="2039" t="s">
        <v>6849</v>
      </c>
      <c r="B689" s="2039"/>
      <c r="C689" s="2039"/>
      <c r="D689" s="2039"/>
      <c r="E689" s="2039"/>
      <c r="F689" s="2039"/>
      <c r="G689" s="2039"/>
      <c r="H689" s="2039"/>
      <c r="I689" s="2039"/>
      <c r="J689" s="2039"/>
      <c r="K689" s="2039"/>
      <c r="L689" s="2039"/>
      <c r="M689" s="2039"/>
      <c r="N689" s="2039"/>
      <c r="O689" s="2039"/>
      <c r="P689" s="2039"/>
      <c r="Q689" s="2039"/>
      <c r="R689" s="2247"/>
      <c r="S689" s="359"/>
      <c r="T689" s="359"/>
      <c r="U689" s="359"/>
      <c r="V689" s="359"/>
      <c r="W689" s="1903"/>
      <c r="X689" s="1903"/>
      <c r="Y689" s="1903"/>
      <c r="Z689" s="1903"/>
      <c r="AA689" s="1903"/>
      <c r="AB689" s="1903"/>
      <c r="AC689" s="1903"/>
      <c r="AD689" s="1903"/>
      <c r="AE689" s="1903"/>
      <c r="AF689" s="1903"/>
      <c r="AG689" s="1903"/>
      <c r="AH689" s="1903"/>
      <c r="AI689" s="1903"/>
      <c r="AJ689" s="1903"/>
      <c r="AK689" s="1903"/>
      <c r="AL689" s="1903"/>
      <c r="AM689" s="1903"/>
      <c r="AN689" s="1903"/>
      <c r="AO689" s="1903"/>
      <c r="AP689" s="1903"/>
      <c r="AQ689" s="1903"/>
      <c r="AR689" s="1903"/>
      <c r="AS689" s="1903"/>
      <c r="AT689" s="1903"/>
      <c r="AU689" s="1903"/>
      <c r="AV689" s="1903"/>
      <c r="AW689" s="1903"/>
      <c r="AX689" s="1903"/>
      <c r="AY689" s="1903"/>
      <c r="AZ689" s="1903"/>
      <c r="BA689" s="1903"/>
      <c r="BB689" s="1903"/>
      <c r="BC689" s="1903"/>
      <c r="BD689" s="1903"/>
      <c r="BE689" s="1903"/>
      <c r="BF689" s="1903"/>
      <c r="BG689" s="1903"/>
      <c r="BH689" s="1903"/>
      <c r="BI689" s="1903"/>
      <c r="BJ689" s="1903"/>
      <c r="BK689" s="1903"/>
      <c r="BL689" s="1903"/>
      <c r="BM689" s="1903"/>
      <c r="BN689" s="1903"/>
      <c r="BO689" s="1903"/>
      <c r="BP689" s="1903"/>
      <c r="BQ689" s="1903"/>
      <c r="BR689" s="1903"/>
      <c r="BS689" s="1903"/>
      <c r="BT689" s="1903"/>
      <c r="BU689" s="1903"/>
      <c r="BV689" s="1903"/>
      <c r="BW689" s="1903"/>
      <c r="BX689" s="1903"/>
      <c r="BY689" s="1903"/>
      <c r="BZ689" s="1903"/>
      <c r="CA689" s="1903"/>
      <c r="CB689" s="1903"/>
      <c r="CC689" s="1903"/>
      <c r="CD689" s="1903"/>
      <c r="CE689" s="1903"/>
      <c r="CF689" s="1903"/>
      <c r="CG689" s="1903"/>
      <c r="CH689" s="1903"/>
      <c r="CI689" s="1903"/>
      <c r="CJ689" s="1903"/>
      <c r="CK689" s="1903"/>
      <c r="CL689" s="1903"/>
      <c r="CM689" s="1903"/>
      <c r="CN689" s="1903"/>
      <c r="CO689" s="1903"/>
      <c r="CP689" s="1903"/>
      <c r="CQ689" s="1903"/>
      <c r="CR689" s="1903"/>
      <c r="CS689" s="1903"/>
      <c r="CT689" s="1903"/>
      <c r="CU689" s="1903"/>
      <c r="CV689" s="1903"/>
      <c r="CW689" s="1903"/>
      <c r="CX689" s="1903"/>
      <c r="CY689" s="1903"/>
      <c r="CZ689" s="1903"/>
      <c r="DA689" s="1903"/>
      <c r="DB689" s="1903"/>
      <c r="DC689" s="1903"/>
      <c r="DD689" s="1903"/>
      <c r="DE689" s="1903"/>
      <c r="DF689" s="1903"/>
      <c r="DG689" s="1903"/>
      <c r="DH689" s="1903"/>
      <c r="DI689" s="1903"/>
      <c r="DJ689" s="1903"/>
      <c r="DK689" s="1903"/>
      <c r="DL689" s="1903"/>
      <c r="DM689" s="1903"/>
      <c r="DN689" s="1903"/>
      <c r="DO689" s="1903"/>
      <c r="DP689" s="1903"/>
      <c r="DQ689" s="1903"/>
      <c r="DR689" s="1903"/>
      <c r="DS689" s="1903"/>
      <c r="DT689" s="1903"/>
      <c r="DU689" s="1903"/>
      <c r="DV689" s="1903"/>
      <c r="DW689" s="1903"/>
      <c r="DX689" s="1903"/>
      <c r="DY689" s="1903"/>
      <c r="DZ689" s="1903"/>
      <c r="EA689" s="1903"/>
      <c r="EB689" s="1903"/>
      <c r="EC689" s="1903"/>
      <c r="ED689" s="1903"/>
      <c r="EE689" s="1903"/>
      <c r="EF689" s="1903"/>
      <c r="EG689" s="1903"/>
      <c r="EH689" s="1903"/>
      <c r="EI689" s="1903"/>
      <c r="EJ689" s="1903"/>
      <c r="EK689" s="1903"/>
      <c r="EL689" s="1903"/>
      <c r="EM689" s="1903"/>
      <c r="EN689" s="1903"/>
      <c r="EO689" s="1903"/>
      <c r="EP689" s="1903"/>
      <c r="EQ689" s="1903"/>
      <c r="ER689" s="1903"/>
      <c r="ES689" s="1903"/>
      <c r="ET689" s="1903"/>
      <c r="EU689" s="1903"/>
      <c r="EV689" s="1903"/>
      <c r="EW689" s="1903"/>
      <c r="EX689" s="1903"/>
      <c r="EY689" s="1903"/>
      <c r="EZ689" s="1903"/>
      <c r="FA689" s="1903"/>
      <c r="FB689" s="1903"/>
      <c r="FC689" s="1903"/>
      <c r="FD689" s="1903"/>
      <c r="FE689" s="1903"/>
      <c r="FF689" s="1903"/>
      <c r="FG689" s="1903"/>
      <c r="FH689" s="1903"/>
      <c r="FI689" s="1903"/>
      <c r="FJ689" s="1903"/>
      <c r="FK689" s="1903"/>
      <c r="FL689" s="1903"/>
      <c r="FM689" s="1903"/>
      <c r="FN689" s="1903"/>
      <c r="FO689" s="1903"/>
      <c r="FP689" s="1903"/>
      <c r="FQ689" s="1903"/>
      <c r="FR689" s="1903"/>
      <c r="FS689" s="1903"/>
      <c r="FT689" s="1903"/>
      <c r="FU689" s="1903"/>
      <c r="FV689" s="1903"/>
      <c r="FW689" s="1903"/>
      <c r="FX689" s="1903"/>
      <c r="FY689" s="1903"/>
      <c r="FZ689" s="1903"/>
      <c r="GA689" s="1903"/>
      <c r="GB689" s="1903"/>
      <c r="GC689" s="1903"/>
      <c r="GD689" s="1903"/>
      <c r="GE689" s="1903"/>
      <c r="GF689" s="1903"/>
      <c r="GG689" s="1903"/>
      <c r="GH689" s="1903"/>
      <c r="GI689" s="1903"/>
      <c r="GJ689" s="1903"/>
      <c r="GK689" s="1903"/>
      <c r="GL689" s="1903"/>
      <c r="GM689" s="1903"/>
      <c r="GN689" s="1903"/>
      <c r="GO689" s="1903"/>
      <c r="GP689" s="1903"/>
      <c r="GQ689" s="1903"/>
      <c r="GR689" s="1903"/>
      <c r="GS689" s="1903"/>
      <c r="GT689" s="1903"/>
      <c r="GU689" s="1903"/>
      <c r="GV689" s="1903"/>
      <c r="GW689" s="1903"/>
      <c r="GX689" s="1903"/>
      <c r="GY689" s="1903"/>
      <c r="GZ689" s="1903"/>
      <c r="HA689" s="1903"/>
      <c r="HB689" s="1903"/>
      <c r="HC689" s="1903"/>
      <c r="HD689" s="1903"/>
      <c r="HE689" s="1903"/>
      <c r="HF689" s="1903"/>
      <c r="HG689" s="1903"/>
      <c r="HH689" s="1903"/>
      <c r="HI689" s="1903"/>
      <c r="HJ689" s="1903"/>
      <c r="HK689" s="1903"/>
      <c r="HL689" s="1903"/>
      <c r="HM689" s="1903"/>
      <c r="HN689" s="1903"/>
      <c r="HO689" s="1903"/>
      <c r="HP689" s="1903"/>
      <c r="HQ689" s="1903"/>
      <c r="HR689" s="1903"/>
      <c r="HS689" s="1903"/>
      <c r="HT689" s="1903"/>
      <c r="HU689" s="1903"/>
      <c r="HV689" s="1903"/>
      <c r="HW689" s="1903"/>
      <c r="HX689" s="1903"/>
      <c r="HY689" s="1903"/>
      <c r="HZ689" s="1903"/>
      <c r="IA689" s="1903"/>
      <c r="IB689" s="1903"/>
      <c r="IC689" s="1903"/>
      <c r="ID689" s="1903"/>
      <c r="IE689" s="1903"/>
      <c r="IF689" s="1903"/>
      <c r="IG689" s="1903"/>
      <c r="IH689" s="1903"/>
      <c r="II689" s="1903"/>
      <c r="IJ689" s="1903"/>
      <c r="IK689" s="1903"/>
      <c r="IL689" s="1903"/>
      <c r="IM689" s="1903"/>
      <c r="IN689" s="1903"/>
      <c r="IO689" s="1903"/>
      <c r="IP689" s="1903"/>
      <c r="IQ689" s="1903"/>
      <c r="IR689" s="1903"/>
      <c r="IS689" s="1903"/>
      <c r="IT689" s="1903"/>
      <c r="IU689" s="1903"/>
      <c r="IV689" s="1903"/>
      <c r="IW689" s="1903"/>
      <c r="IX689" s="1903"/>
      <c r="IY689" s="1903"/>
      <c r="IZ689" s="1903"/>
      <c r="JA689" s="1903"/>
      <c r="JB689" s="1903"/>
      <c r="JC689" s="1903"/>
      <c r="JD689" s="1903"/>
      <c r="JE689" s="1903"/>
      <c r="JF689" s="1903"/>
      <c r="JG689" s="1903"/>
      <c r="JH689" s="1903"/>
      <c r="JI689" s="1903"/>
      <c r="JJ689" s="1903"/>
      <c r="JK689" s="1903"/>
      <c r="JL689" s="1903"/>
      <c r="JM689" s="1903"/>
      <c r="JN689" s="1903"/>
      <c r="JO689" s="1903"/>
      <c r="JP689" s="1903"/>
      <c r="JQ689" s="1903"/>
      <c r="JR689" s="1903"/>
      <c r="JS689" s="1903"/>
      <c r="JT689" s="1903"/>
      <c r="JU689" s="1903"/>
      <c r="JV689" s="1903"/>
      <c r="JW689" s="1903"/>
      <c r="JX689" s="1903"/>
      <c r="JY689" s="1903"/>
      <c r="JZ689" s="1903"/>
      <c r="KA689" s="1903"/>
      <c r="KB689" s="1903"/>
      <c r="KC689" s="1903"/>
      <c r="KD689" s="1903"/>
      <c r="KE689" s="1903"/>
      <c r="KF689" s="1903"/>
      <c r="KG689" s="1903"/>
      <c r="KH689" s="1903"/>
      <c r="KI689" s="1903"/>
      <c r="KJ689" s="1903"/>
      <c r="KK689" s="1903"/>
      <c r="KL689" s="1903"/>
      <c r="KM689" s="1903"/>
      <c r="KN689" s="1903"/>
      <c r="KO689" s="1903"/>
      <c r="KP689" s="1903"/>
      <c r="KQ689" s="1903"/>
      <c r="KR689" s="1903"/>
      <c r="KS689" s="1903"/>
      <c r="KT689" s="1903"/>
      <c r="KU689" s="1903"/>
      <c r="KV689" s="1903"/>
      <c r="KW689" s="1903"/>
      <c r="KX689" s="1903"/>
      <c r="KY689" s="1903"/>
      <c r="KZ689" s="1903"/>
      <c r="LA689" s="1903"/>
      <c r="LB689" s="1903"/>
      <c r="LC689" s="1903"/>
      <c r="LD689" s="1903"/>
      <c r="LE689" s="1903"/>
      <c r="LF689" s="1903"/>
      <c r="LG689" s="1903"/>
      <c r="LH689" s="1903"/>
      <c r="LI689" s="1903"/>
      <c r="LJ689" s="1903"/>
      <c r="LK689" s="1903"/>
      <c r="LL689" s="1903"/>
      <c r="LM689" s="1903"/>
      <c r="LN689" s="1903"/>
      <c r="LO689" s="1903"/>
      <c r="LP689" s="1903"/>
      <c r="LQ689" s="1903"/>
      <c r="LR689" s="1903"/>
      <c r="LS689" s="1903"/>
      <c r="LT689" s="1903"/>
      <c r="LU689" s="1903"/>
      <c r="LV689" s="1903"/>
      <c r="LW689" s="1903"/>
      <c r="LX689" s="1903"/>
      <c r="LY689" s="1903"/>
      <c r="LZ689" s="1903"/>
      <c r="MA689" s="1903"/>
      <c r="MB689" s="1903"/>
      <c r="MC689" s="1903"/>
      <c r="MD689" s="1903"/>
      <c r="ME689" s="1903"/>
    </row>
    <row r="690" spans="1:343" ht="12" customHeight="1">
      <c r="A690" s="2039"/>
      <c r="B690" s="2039"/>
      <c r="C690" s="2039"/>
      <c r="D690" s="2039"/>
      <c r="E690" s="2039"/>
      <c r="F690" s="2039"/>
      <c r="G690" s="2039"/>
      <c r="H690" s="2039"/>
      <c r="I690" s="2039"/>
      <c r="J690" s="2039"/>
      <c r="K690" s="2039"/>
      <c r="L690" s="2039"/>
      <c r="M690" s="2039"/>
      <c r="N690" s="2039"/>
      <c r="O690" s="2039"/>
      <c r="P690" s="2039"/>
      <c r="Q690" s="2039"/>
      <c r="R690" s="2247"/>
      <c r="S690" s="359"/>
      <c r="T690" s="359"/>
      <c r="U690" s="359"/>
      <c r="V690" s="359"/>
      <c r="W690" s="1903"/>
      <c r="X690" s="1903"/>
      <c r="Y690" s="1903"/>
      <c r="Z690" s="1903"/>
      <c r="AA690" s="1903"/>
      <c r="AB690" s="1903"/>
      <c r="AC690" s="1903"/>
      <c r="AD690" s="1903"/>
      <c r="AE690" s="1903"/>
      <c r="AF690" s="1903"/>
      <c r="AG690" s="1903"/>
      <c r="AH690" s="1903"/>
      <c r="AI690" s="1903"/>
      <c r="AJ690" s="1903"/>
      <c r="AK690" s="1903"/>
      <c r="AL690" s="1903"/>
      <c r="AM690" s="1903"/>
      <c r="AN690" s="1903"/>
      <c r="AO690" s="1903"/>
      <c r="AP690" s="1903"/>
      <c r="AQ690" s="1903"/>
      <c r="AR690" s="1903"/>
      <c r="AS690" s="1903"/>
      <c r="AT690" s="1903"/>
      <c r="AU690" s="1903"/>
      <c r="AV690" s="1903"/>
      <c r="AW690" s="1903"/>
      <c r="AX690" s="1903"/>
      <c r="AY690" s="1903"/>
      <c r="AZ690" s="1903"/>
      <c r="BA690" s="1903"/>
      <c r="BB690" s="1903"/>
      <c r="BC690" s="1903"/>
      <c r="BD690" s="1903"/>
      <c r="BE690" s="1903"/>
      <c r="BF690" s="1903"/>
      <c r="BG690" s="1903"/>
      <c r="BH690" s="1903"/>
      <c r="BI690" s="1903"/>
      <c r="BJ690" s="1903"/>
      <c r="BK690" s="1903"/>
      <c r="BL690" s="1903"/>
      <c r="BM690" s="1903"/>
      <c r="BN690" s="1903"/>
      <c r="BO690" s="1903"/>
      <c r="BP690" s="1903"/>
      <c r="BQ690" s="1903"/>
      <c r="BR690" s="1903"/>
      <c r="BS690" s="1903"/>
      <c r="BT690" s="1903"/>
      <c r="BU690" s="1903"/>
      <c r="BV690" s="1903"/>
      <c r="BW690" s="1903"/>
      <c r="BX690" s="1903"/>
      <c r="BY690" s="1903"/>
      <c r="BZ690" s="1903"/>
      <c r="CA690" s="1903"/>
      <c r="CB690" s="1903"/>
      <c r="CC690" s="1903"/>
      <c r="CD690" s="1903"/>
      <c r="CE690" s="1903"/>
      <c r="CF690" s="1903"/>
      <c r="CG690" s="1903"/>
      <c r="CH690" s="1903"/>
      <c r="CI690" s="1903"/>
      <c r="CJ690" s="1903"/>
      <c r="CK690" s="1903"/>
      <c r="CL690" s="1903"/>
      <c r="CM690" s="1903"/>
      <c r="CN690" s="1903"/>
      <c r="CO690" s="1903"/>
      <c r="CP690" s="1903"/>
      <c r="CQ690" s="1903"/>
      <c r="CR690" s="1903"/>
      <c r="CS690" s="1903"/>
      <c r="CT690" s="1903"/>
      <c r="CU690" s="1903"/>
      <c r="CV690" s="1903"/>
      <c r="CW690" s="1903"/>
      <c r="CX690" s="1903"/>
      <c r="CY690" s="1903"/>
      <c r="CZ690" s="1903"/>
      <c r="DA690" s="1903"/>
      <c r="DB690" s="1903"/>
      <c r="DC690" s="1903"/>
      <c r="DD690" s="1903"/>
      <c r="DE690" s="1903"/>
      <c r="DF690" s="1903"/>
      <c r="DG690" s="1903"/>
      <c r="DH690" s="1903"/>
      <c r="DI690" s="1903"/>
      <c r="DJ690" s="1903"/>
      <c r="DK690" s="1903"/>
      <c r="DL690" s="1903"/>
      <c r="DM690" s="1903"/>
      <c r="DN690" s="1903"/>
      <c r="DO690" s="1903"/>
      <c r="DP690" s="1903"/>
      <c r="DQ690" s="1903"/>
      <c r="DR690" s="1903"/>
      <c r="DS690" s="1903"/>
      <c r="DT690" s="1903"/>
      <c r="DU690" s="1903"/>
      <c r="DV690" s="1903"/>
      <c r="DW690" s="1903"/>
      <c r="DX690" s="1903"/>
      <c r="DY690" s="1903"/>
      <c r="DZ690" s="1903"/>
      <c r="EA690" s="1903"/>
      <c r="EB690" s="1903"/>
      <c r="EC690" s="1903"/>
      <c r="ED690" s="1903"/>
      <c r="EE690" s="1903"/>
      <c r="EF690" s="1903"/>
      <c r="EG690" s="1903"/>
      <c r="EH690" s="1903"/>
      <c r="EI690" s="1903"/>
      <c r="EJ690" s="1903"/>
      <c r="EK690" s="1903"/>
      <c r="EL690" s="1903"/>
      <c r="EM690" s="1903"/>
      <c r="EN690" s="1903"/>
      <c r="EO690" s="1903"/>
      <c r="EP690" s="1903"/>
      <c r="EQ690" s="1903"/>
      <c r="ER690" s="1903"/>
      <c r="ES690" s="1903"/>
      <c r="ET690" s="1903"/>
      <c r="EU690" s="1903"/>
      <c r="EV690" s="1903"/>
      <c r="EW690" s="1903"/>
      <c r="EX690" s="1903"/>
      <c r="EY690" s="1903"/>
      <c r="EZ690" s="1903"/>
      <c r="FA690" s="1903"/>
      <c r="FB690" s="1903"/>
      <c r="FC690" s="1903"/>
      <c r="FD690" s="1903"/>
      <c r="FE690" s="1903"/>
      <c r="FF690" s="1903"/>
      <c r="FG690" s="1903"/>
      <c r="FH690" s="1903"/>
      <c r="FI690" s="1903"/>
      <c r="FJ690" s="1903"/>
      <c r="FK690" s="1903"/>
      <c r="FL690" s="1903"/>
      <c r="FM690" s="1903"/>
      <c r="FN690" s="1903"/>
      <c r="FO690" s="1903"/>
      <c r="FP690" s="1903"/>
      <c r="FQ690" s="1903"/>
      <c r="FR690" s="1903"/>
      <c r="FS690" s="1903"/>
      <c r="FT690" s="1903"/>
      <c r="FU690" s="1903"/>
      <c r="FV690" s="1903"/>
      <c r="FW690" s="1903"/>
      <c r="FX690" s="1903"/>
      <c r="FY690" s="1903"/>
      <c r="FZ690" s="1903"/>
      <c r="GA690" s="1903"/>
      <c r="GB690" s="1903"/>
      <c r="GC690" s="1903"/>
      <c r="GD690" s="1903"/>
      <c r="GE690" s="1903"/>
      <c r="GF690" s="1903"/>
      <c r="GG690" s="1903"/>
      <c r="GH690" s="1903"/>
      <c r="GI690" s="1903"/>
      <c r="GJ690" s="1903"/>
      <c r="GK690" s="1903"/>
      <c r="GL690" s="1903"/>
      <c r="GM690" s="1903"/>
      <c r="GN690" s="1903"/>
      <c r="GO690" s="1903"/>
      <c r="GP690" s="1903"/>
      <c r="GQ690" s="1903"/>
      <c r="GR690" s="1903"/>
      <c r="GS690" s="1903"/>
      <c r="GT690" s="1903"/>
      <c r="GU690" s="1903"/>
      <c r="GV690" s="1903"/>
      <c r="GW690" s="1903"/>
      <c r="GX690" s="1903"/>
      <c r="GY690" s="1903"/>
      <c r="GZ690" s="1903"/>
      <c r="HA690" s="1903"/>
      <c r="HB690" s="1903"/>
      <c r="HC690" s="1903"/>
      <c r="HD690" s="1903"/>
      <c r="HE690" s="1903"/>
      <c r="HF690" s="1903"/>
      <c r="HG690" s="1903"/>
      <c r="HH690" s="1903"/>
      <c r="HI690" s="1903"/>
      <c r="HJ690" s="1903"/>
      <c r="HK690" s="1903"/>
      <c r="HL690" s="1903"/>
      <c r="HM690" s="1903"/>
      <c r="HN690" s="1903"/>
      <c r="HO690" s="1903"/>
      <c r="HP690" s="1903"/>
      <c r="HQ690" s="1903"/>
      <c r="HR690" s="1903"/>
      <c r="HS690" s="1903"/>
      <c r="HT690" s="1903"/>
      <c r="HU690" s="1903"/>
      <c r="HV690" s="1903"/>
      <c r="HW690" s="1903"/>
      <c r="HX690" s="1903"/>
      <c r="HY690" s="1903"/>
      <c r="HZ690" s="1903"/>
      <c r="IA690" s="1903"/>
      <c r="IB690" s="1903"/>
      <c r="IC690" s="1903"/>
      <c r="ID690" s="1903"/>
      <c r="IE690" s="1903"/>
      <c r="IF690" s="1903"/>
      <c r="IG690" s="1903"/>
      <c r="IH690" s="1903"/>
      <c r="II690" s="1903"/>
      <c r="IJ690" s="1903"/>
      <c r="IK690" s="1903"/>
      <c r="IL690" s="1903"/>
      <c r="IM690" s="1903"/>
      <c r="IN690" s="1903"/>
      <c r="IO690" s="1903"/>
      <c r="IP690" s="1903"/>
      <c r="IQ690" s="1903"/>
      <c r="IR690" s="1903"/>
      <c r="IS690" s="1903"/>
      <c r="IT690" s="1903"/>
      <c r="IU690" s="1903"/>
      <c r="IV690" s="1903"/>
      <c r="IW690" s="1903"/>
      <c r="IX690" s="1903"/>
      <c r="IY690" s="1903"/>
      <c r="IZ690" s="1903"/>
      <c r="JA690" s="1903"/>
      <c r="JB690" s="1903"/>
      <c r="JC690" s="1903"/>
      <c r="JD690" s="1903"/>
      <c r="JE690" s="1903"/>
      <c r="JF690" s="1903"/>
      <c r="JG690" s="1903"/>
      <c r="JH690" s="1903"/>
      <c r="JI690" s="1903"/>
      <c r="JJ690" s="1903"/>
      <c r="JK690" s="1903"/>
      <c r="JL690" s="1903"/>
      <c r="JM690" s="1903"/>
      <c r="JN690" s="1903"/>
      <c r="JO690" s="1903"/>
      <c r="JP690" s="1903"/>
      <c r="JQ690" s="1903"/>
      <c r="JR690" s="1903"/>
      <c r="JS690" s="1903"/>
      <c r="JT690" s="1903"/>
      <c r="JU690" s="1903"/>
      <c r="JV690" s="1903"/>
      <c r="JW690" s="1903"/>
      <c r="JX690" s="1903"/>
      <c r="JY690" s="1903"/>
      <c r="JZ690" s="1903"/>
      <c r="KA690" s="1903"/>
      <c r="KB690" s="1903"/>
      <c r="KC690" s="1903"/>
      <c r="KD690" s="1903"/>
      <c r="KE690" s="1903"/>
      <c r="KF690" s="1903"/>
      <c r="KG690" s="1903"/>
      <c r="KH690" s="1903"/>
      <c r="KI690" s="1903"/>
      <c r="KJ690" s="1903"/>
      <c r="KK690" s="1903"/>
      <c r="KL690" s="1903"/>
      <c r="KM690" s="1903"/>
      <c r="KN690" s="1903"/>
      <c r="KO690" s="1903"/>
      <c r="KP690" s="1903"/>
      <c r="KQ690" s="1903"/>
      <c r="KR690" s="1903"/>
      <c r="KS690" s="1903"/>
      <c r="KT690" s="1903"/>
      <c r="KU690" s="1903"/>
      <c r="KV690" s="1903"/>
      <c r="KW690" s="1903"/>
      <c r="KX690" s="1903"/>
      <c r="KY690" s="1903"/>
      <c r="KZ690" s="1903"/>
      <c r="LA690" s="1903"/>
      <c r="LB690" s="1903"/>
      <c r="LC690" s="1903"/>
      <c r="LD690" s="1903"/>
      <c r="LE690" s="1903"/>
      <c r="LF690" s="1903"/>
      <c r="LG690" s="1903"/>
      <c r="LH690" s="1903"/>
      <c r="LI690" s="1903"/>
      <c r="LJ690" s="1903"/>
      <c r="LK690" s="1903"/>
      <c r="LL690" s="1903"/>
      <c r="LM690" s="1903"/>
      <c r="LN690" s="1903"/>
      <c r="LO690" s="1903"/>
      <c r="LP690" s="1903"/>
      <c r="LQ690" s="1903"/>
      <c r="LR690" s="1903"/>
      <c r="LS690" s="1903"/>
      <c r="LT690" s="1903"/>
      <c r="LU690" s="1903"/>
      <c r="LV690" s="1903"/>
      <c r="LW690" s="1903"/>
      <c r="LX690" s="1903"/>
      <c r="LY690" s="1903"/>
      <c r="LZ690" s="1903"/>
      <c r="MA690" s="1903"/>
      <c r="MB690" s="1903"/>
      <c r="MC690" s="1903"/>
      <c r="MD690" s="1903"/>
      <c r="ME690" s="1903"/>
    </row>
    <row r="691" spans="1:343" ht="14.45" customHeight="1">
      <c r="A691" s="357" t="s">
        <v>689</v>
      </c>
      <c r="B691" s="357" t="s">
        <v>499</v>
      </c>
      <c r="K691" s="2248" t="s">
        <v>6653</v>
      </c>
      <c r="O691" s="2026" t="str">
        <f>'Part V-Revenues &amp; Expenses'!O53</f>
        <v>Income Averaging</v>
      </c>
      <c r="P691" s="2026"/>
      <c r="S691" s="359" t="str">
        <f>B691</f>
        <v>UNIT SUMMARY</v>
      </c>
      <c r="T691" s="359"/>
      <c r="U691" s="359"/>
      <c r="V691" s="359"/>
      <c r="AY691" s="359"/>
      <c r="BD691" s="359"/>
      <c r="JW691" s="1750"/>
      <c r="KB691" s="1750"/>
      <c r="KG691" s="1750"/>
      <c r="KL691" s="1750"/>
      <c r="KM691" s="1750"/>
      <c r="KN691" s="1750"/>
      <c r="KO691" s="1750"/>
      <c r="KP691" s="1750"/>
      <c r="KQ691" s="1750"/>
      <c r="KR691" s="1750"/>
      <c r="KS691" s="1750"/>
      <c r="KT691" s="1750"/>
      <c r="KU691" s="1750"/>
      <c r="KV691" s="1750"/>
      <c r="KW691" s="1750"/>
      <c r="KX691" s="1750"/>
      <c r="KY691" s="1750"/>
      <c r="KZ691" s="1750"/>
      <c r="LA691" s="1750"/>
      <c r="LB691" s="1750"/>
      <c r="LC691" s="1750"/>
      <c r="LD691" s="1750"/>
      <c r="LE691" s="1750"/>
      <c r="LF691" s="1750"/>
      <c r="LG691" s="1750"/>
    </row>
    <row r="692" spans="1:343" ht="14.25" customHeight="1">
      <c r="K692" s="1821" t="s">
        <v>6655</v>
      </c>
      <c r="O692" s="2026" t="str">
        <f>'Part V-Revenues &amp; Expenses'!O54</f>
        <v>N/a</v>
      </c>
      <c r="P692" s="2026"/>
      <c r="U692" s="2224"/>
      <c r="AY692" s="359"/>
      <c r="BD692" s="359"/>
      <c r="JW692" s="1750"/>
      <c r="KB692" s="1750"/>
      <c r="KG692" s="1750"/>
      <c r="KL692" s="1750"/>
      <c r="KM692" s="1750"/>
      <c r="KN692" s="1750"/>
      <c r="KO692" s="1750"/>
      <c r="KP692" s="1750"/>
      <c r="KQ692" s="1750"/>
      <c r="KR692" s="1750"/>
      <c r="KS692" s="1750"/>
      <c r="KT692" s="1750"/>
      <c r="KU692" s="1750"/>
      <c r="KV692" s="1750"/>
      <c r="KW692" s="1750"/>
      <c r="KX692" s="1750"/>
      <c r="KY692" s="1750"/>
      <c r="KZ692" s="1750"/>
      <c r="LA692" s="1750"/>
      <c r="LB692" s="1750"/>
      <c r="LC692" s="1750"/>
      <c r="LD692" s="1750"/>
      <c r="LE692" s="1750"/>
      <c r="LF692" s="1750"/>
      <c r="LG692" s="1750"/>
    </row>
    <row r="693" spans="1:343" ht="14.45" customHeight="1">
      <c r="B693" s="357" t="s">
        <v>6501</v>
      </c>
      <c r="H693" s="357" t="s">
        <v>976</v>
      </c>
      <c r="K693" s="2249" t="s">
        <v>526</v>
      </c>
      <c r="L693" s="2250" t="s">
        <v>500</v>
      </c>
      <c r="M693" s="2250" t="s">
        <v>501</v>
      </c>
      <c r="N693" s="2250" t="s">
        <v>502</v>
      </c>
      <c r="O693" s="2250" t="s">
        <v>503</v>
      </c>
      <c r="P693" s="2250" t="s">
        <v>504</v>
      </c>
      <c r="S693" s="357" t="s">
        <v>1711</v>
      </c>
      <c r="U693" s="2224"/>
      <c r="AR693" s="2250"/>
      <c r="AS693" s="2250"/>
      <c r="AT693" s="2250"/>
      <c r="AU693" s="2250"/>
      <c r="AV693" s="2250"/>
      <c r="AW693" s="2250"/>
      <c r="AY693" s="359"/>
      <c r="BB693" s="2250"/>
      <c r="BD693" s="359"/>
      <c r="JW693" s="1750"/>
      <c r="KB693" s="1750"/>
      <c r="KG693" s="1750"/>
      <c r="KL693" s="1750"/>
      <c r="KM693" s="1750"/>
      <c r="KN693" s="1750"/>
      <c r="KO693" s="1750"/>
      <c r="KP693" s="1750"/>
      <c r="KQ693" s="1750"/>
      <c r="KR693" s="1750"/>
      <c r="KS693" s="1750"/>
      <c r="KT693" s="1750"/>
      <c r="KU693" s="1750"/>
      <c r="KV693" s="1750"/>
      <c r="KW693" s="1750"/>
      <c r="KX693" s="1750"/>
      <c r="KY693" s="1750"/>
      <c r="KZ693" s="1750"/>
      <c r="LA693" s="1750"/>
      <c r="LB693" s="1750"/>
      <c r="LC693" s="1750"/>
      <c r="LD693" s="1750"/>
      <c r="LE693" s="1750"/>
      <c r="LF693" s="1750"/>
      <c r="LG693" s="1750"/>
    </row>
    <row r="694" spans="1:343" ht="15" customHeight="1">
      <c r="A694" s="1891" t="s">
        <v>4081</v>
      </c>
      <c r="B694" s="1891"/>
      <c r="C694" s="359" t="s">
        <v>1070</v>
      </c>
      <c r="D694" s="359"/>
      <c r="E694" s="359"/>
      <c r="F694" s="359"/>
      <c r="H694" s="1505" t="s">
        <v>3680</v>
      </c>
      <c r="I694" s="362"/>
      <c r="K694" s="2251">
        <f>X687</f>
        <v>0</v>
      </c>
      <c r="L694" s="2251">
        <f>Y687</f>
        <v>5</v>
      </c>
      <c r="M694" s="2251">
        <f>Z687</f>
        <v>7</v>
      </c>
      <c r="N694" s="2251">
        <f>AA687</f>
        <v>10</v>
      </c>
      <c r="O694" s="2251">
        <f>AB687</f>
        <v>3</v>
      </c>
      <c r="P694" s="2251">
        <f t="shared" ref="P694:P705" si="347">SUM(K694:O694)</f>
        <v>25</v>
      </c>
      <c r="Q694" s="2039" t="s">
        <v>3188</v>
      </c>
      <c r="R694" s="2252"/>
      <c r="S694" s="2160"/>
      <c r="T694" s="2160"/>
      <c r="U694" s="2160"/>
      <c r="V694" s="2160"/>
      <c r="W694" s="2160"/>
      <c r="X694" s="359"/>
      <c r="AA694" s="359"/>
      <c r="AB694" s="362"/>
      <c r="AC694" s="359"/>
      <c r="AF694" s="359"/>
      <c r="AG694" s="362"/>
      <c r="AH694" s="359"/>
      <c r="AK694" s="359"/>
      <c r="AL694" s="362"/>
      <c r="AM694" s="359"/>
      <c r="AP694" s="359"/>
      <c r="AQ694" s="362"/>
      <c r="AR694" s="363"/>
      <c r="AS694" s="363"/>
      <c r="AT694" s="363"/>
      <c r="AU694" s="363"/>
      <c r="AV694" s="363"/>
      <c r="AW694" s="363"/>
      <c r="AX694" s="362"/>
      <c r="AY694" s="359"/>
      <c r="BB694" s="363"/>
      <c r="BC694" s="362"/>
      <c r="BD694" s="359"/>
      <c r="JW694" s="1750"/>
      <c r="KB694" s="1750"/>
      <c r="KG694" s="1750"/>
      <c r="KL694" s="1750"/>
      <c r="KM694" s="1750"/>
      <c r="KN694" s="1750"/>
      <c r="KO694" s="1750"/>
      <c r="KP694" s="1750"/>
      <c r="KQ694" s="1750"/>
      <c r="KR694" s="1750"/>
      <c r="KS694" s="1750"/>
      <c r="KT694" s="1750"/>
      <c r="KU694" s="1750"/>
      <c r="KV694" s="1750"/>
      <c r="KW694" s="1750"/>
      <c r="KX694" s="1750"/>
      <c r="KY694" s="1750"/>
      <c r="KZ694" s="1750"/>
      <c r="LA694" s="1750"/>
      <c r="LB694" s="1750"/>
      <c r="LC694" s="1750"/>
      <c r="LD694" s="1750"/>
      <c r="LE694" s="1750"/>
      <c r="LF694" s="1750"/>
      <c r="LG694" s="1750"/>
    </row>
    <row r="695" spans="1:343" ht="15" customHeight="1">
      <c r="A695" s="1891"/>
      <c r="B695" s="1891"/>
      <c r="C695" s="359"/>
      <c r="D695" s="359"/>
      <c r="E695" s="359"/>
      <c r="F695" s="359"/>
      <c r="H695" s="1505" t="s">
        <v>3681</v>
      </c>
      <c r="I695" s="362"/>
      <c r="K695" s="2251">
        <f>AC687</f>
        <v>0</v>
      </c>
      <c r="L695" s="2251">
        <f>AD687</f>
        <v>0</v>
      </c>
      <c r="M695" s="2251">
        <f>AE687</f>
        <v>0</v>
      </c>
      <c r="N695" s="2251">
        <f>AF687</f>
        <v>0</v>
      </c>
      <c r="O695" s="2251">
        <f>AG687</f>
        <v>0</v>
      </c>
      <c r="P695" s="2251">
        <f t="shared" si="347"/>
        <v>0</v>
      </c>
      <c r="Q695" s="2039"/>
      <c r="R695" s="2252"/>
      <c r="S695" s="2160"/>
      <c r="T695" s="2160"/>
      <c r="U695" s="2160"/>
      <c r="V695" s="2160"/>
      <c r="W695" s="2160"/>
      <c r="X695" s="359"/>
      <c r="AA695" s="359"/>
      <c r="AB695" s="362"/>
      <c r="AC695" s="359"/>
      <c r="AF695" s="359"/>
      <c r="AG695" s="362"/>
      <c r="AH695" s="359"/>
      <c r="AK695" s="359"/>
      <c r="AL695" s="362"/>
      <c r="AM695" s="359"/>
      <c r="AP695" s="359"/>
      <c r="AQ695" s="362"/>
      <c r="AR695" s="363"/>
      <c r="AS695" s="363"/>
      <c r="AT695" s="363"/>
      <c r="AU695" s="363"/>
      <c r="AV695" s="363"/>
      <c r="AW695" s="363"/>
      <c r="AX695" s="362"/>
      <c r="AY695" s="359"/>
      <c r="BB695" s="363"/>
      <c r="BC695" s="362"/>
      <c r="BD695" s="359"/>
      <c r="JW695" s="1750"/>
      <c r="KB695" s="1750"/>
      <c r="KG695" s="1750"/>
      <c r="KL695" s="1750"/>
      <c r="KM695" s="1750"/>
      <c r="KN695" s="1750"/>
      <c r="KO695" s="1750"/>
      <c r="KP695" s="1750"/>
      <c r="KQ695" s="1750"/>
      <c r="KR695" s="1750"/>
      <c r="KS695" s="1750"/>
      <c r="KT695" s="1750"/>
      <c r="KU695" s="1750"/>
      <c r="KV695" s="1750"/>
      <c r="KW695" s="1750"/>
      <c r="KX695" s="1750"/>
      <c r="KY695" s="1750"/>
      <c r="KZ695" s="1750"/>
      <c r="LA695" s="1750"/>
      <c r="LB695" s="1750"/>
      <c r="LC695" s="1750"/>
      <c r="LD695" s="1750"/>
      <c r="LE695" s="1750"/>
      <c r="LF695" s="1750"/>
      <c r="LG695" s="1750"/>
    </row>
    <row r="696" spans="1:343" ht="15" customHeight="1">
      <c r="A696" s="1891"/>
      <c r="B696" s="1891"/>
      <c r="C696" s="359"/>
      <c r="D696" s="359"/>
      <c r="E696" s="359"/>
      <c r="F696" s="359"/>
      <c r="H696" s="1505" t="s">
        <v>1082</v>
      </c>
      <c r="I696" s="362"/>
      <c r="K696" s="2251">
        <f>AH687</f>
        <v>0</v>
      </c>
      <c r="L696" s="2251">
        <f>AI687</f>
        <v>6</v>
      </c>
      <c r="M696" s="2251">
        <f>AJ687</f>
        <v>17</v>
      </c>
      <c r="N696" s="2251">
        <f>AK687</f>
        <v>23</v>
      </c>
      <c r="O696" s="2251">
        <f>AL687</f>
        <v>12</v>
      </c>
      <c r="P696" s="2251">
        <f t="shared" si="347"/>
        <v>58</v>
      </c>
      <c r="Q696" s="2039"/>
      <c r="R696" s="2252"/>
      <c r="S696" s="2160"/>
      <c r="T696" s="2160"/>
      <c r="U696" s="2160"/>
      <c r="V696" s="2160"/>
      <c r="W696" s="2160"/>
      <c r="X696" s="359"/>
      <c r="AA696" s="359"/>
      <c r="AB696" s="362"/>
      <c r="AC696" s="359"/>
      <c r="AF696" s="359"/>
      <c r="AG696" s="362"/>
      <c r="AH696" s="359"/>
      <c r="AK696" s="359"/>
      <c r="AL696" s="362"/>
      <c r="AM696" s="359"/>
      <c r="AP696" s="359"/>
      <c r="AQ696" s="362"/>
      <c r="AR696" s="363"/>
      <c r="AS696" s="363"/>
      <c r="AT696" s="363"/>
      <c r="AU696" s="363"/>
      <c r="AV696" s="363"/>
      <c r="AW696" s="363"/>
      <c r="AX696" s="362"/>
      <c r="AY696" s="359"/>
      <c r="BB696" s="363"/>
      <c r="BC696" s="362"/>
      <c r="BD696" s="359"/>
      <c r="JW696" s="1750"/>
      <c r="KB696" s="1750"/>
      <c r="KG696" s="1750"/>
      <c r="KL696" s="1750"/>
      <c r="KM696" s="1750"/>
      <c r="KN696" s="1750"/>
      <c r="KO696" s="1750"/>
      <c r="KP696" s="1750"/>
      <c r="KQ696" s="1750"/>
      <c r="KR696" s="1750"/>
      <c r="KS696" s="1750"/>
      <c r="KT696" s="1750"/>
      <c r="KU696" s="1750"/>
      <c r="KV696" s="1750"/>
      <c r="KW696" s="1750"/>
      <c r="KX696" s="1750"/>
      <c r="KY696" s="1750"/>
      <c r="KZ696" s="1750"/>
      <c r="LA696" s="1750"/>
      <c r="LB696" s="1750"/>
      <c r="LC696" s="1750"/>
      <c r="LD696" s="1750"/>
      <c r="LE696" s="1750"/>
      <c r="LF696" s="1750"/>
      <c r="LG696" s="1750"/>
    </row>
    <row r="697" spans="1:343" ht="15" customHeight="1">
      <c r="A697" s="1891"/>
      <c r="B697" s="1891"/>
      <c r="C697" s="359"/>
      <c r="D697" s="359"/>
      <c r="E697" s="359"/>
      <c r="F697" s="359"/>
      <c r="H697" s="1505" t="s">
        <v>112</v>
      </c>
      <c r="I697" s="362"/>
      <c r="K697" s="2251">
        <f>AM687</f>
        <v>0</v>
      </c>
      <c r="L697" s="2251">
        <f>AN687</f>
        <v>0</v>
      </c>
      <c r="M697" s="2251">
        <f>AO687</f>
        <v>0</v>
      </c>
      <c r="N697" s="2251">
        <f>AP687</f>
        <v>0</v>
      </c>
      <c r="O697" s="2251">
        <f>AQ687</f>
        <v>0</v>
      </c>
      <c r="P697" s="2251">
        <f t="shared" si="347"/>
        <v>0</v>
      </c>
      <c r="Q697" s="2039"/>
      <c r="R697" s="2252"/>
      <c r="S697" s="2160"/>
      <c r="T697" s="2160"/>
      <c r="U697" s="2160"/>
      <c r="V697" s="2160"/>
      <c r="W697" s="2160"/>
      <c r="X697" s="359"/>
      <c r="AA697" s="359"/>
      <c r="AB697" s="362"/>
      <c r="AC697" s="359"/>
      <c r="AF697" s="359"/>
      <c r="AG697" s="362"/>
      <c r="AH697" s="359"/>
      <c r="AK697" s="359"/>
      <c r="AL697" s="362"/>
      <c r="AM697" s="359"/>
      <c r="AP697" s="359"/>
      <c r="AQ697" s="362"/>
      <c r="AR697" s="363"/>
      <c r="AS697" s="363"/>
      <c r="AT697" s="363"/>
      <c r="AU697" s="363"/>
      <c r="AV697" s="363"/>
      <c r="AW697" s="363"/>
      <c r="AX697" s="362"/>
      <c r="AY697" s="359"/>
      <c r="BB697" s="363"/>
      <c r="BC697" s="362"/>
      <c r="BD697" s="359"/>
      <c r="JW697" s="1750"/>
      <c r="KB697" s="1750"/>
      <c r="KG697" s="1750"/>
      <c r="KL697" s="1750"/>
      <c r="KM697" s="1750"/>
      <c r="KN697" s="1750"/>
      <c r="KO697" s="1750"/>
      <c r="KP697" s="1750"/>
      <c r="KQ697" s="1750"/>
      <c r="KR697" s="1750"/>
      <c r="KS697" s="1750"/>
      <c r="KT697" s="1750"/>
      <c r="KU697" s="1750"/>
      <c r="KV697" s="1750"/>
      <c r="KW697" s="1750"/>
      <c r="KX697" s="1750"/>
      <c r="KY697" s="1750"/>
      <c r="KZ697" s="1750"/>
      <c r="LA697" s="1750"/>
      <c r="LB697" s="1750"/>
      <c r="LC697" s="1750"/>
      <c r="LD697" s="1750"/>
      <c r="LE697" s="1750"/>
      <c r="LF697" s="1750"/>
      <c r="LG697" s="1750"/>
    </row>
    <row r="698" spans="1:343" ht="15" customHeight="1">
      <c r="A698" s="1891"/>
      <c r="B698" s="1891"/>
      <c r="C698" s="359"/>
      <c r="D698" s="359"/>
      <c r="E698" s="359"/>
      <c r="F698" s="359"/>
      <c r="H698" s="1505" t="s">
        <v>3682</v>
      </c>
      <c r="I698" s="362"/>
      <c r="K698" s="2251">
        <f>AR687</f>
        <v>0</v>
      </c>
      <c r="L698" s="2251">
        <f>AS687</f>
        <v>0</v>
      </c>
      <c r="M698" s="2251">
        <f>AT687</f>
        <v>0</v>
      </c>
      <c r="N698" s="2251">
        <f>AU687</f>
        <v>0</v>
      </c>
      <c r="O698" s="2251">
        <f>AV687</f>
        <v>0</v>
      </c>
      <c r="P698" s="2251">
        <f t="shared" si="347"/>
        <v>0</v>
      </c>
      <c r="Q698" s="2039"/>
      <c r="R698" s="2252"/>
      <c r="S698" s="2160"/>
      <c r="T698" s="2160"/>
      <c r="U698" s="2160"/>
      <c r="V698" s="2160"/>
      <c r="W698" s="2160"/>
      <c r="X698" s="359"/>
      <c r="AA698" s="359"/>
      <c r="AB698" s="362"/>
      <c r="AC698" s="359"/>
      <c r="AF698" s="359"/>
      <c r="AG698" s="362"/>
      <c r="AH698" s="359"/>
      <c r="AK698" s="359"/>
      <c r="AL698" s="362"/>
      <c r="AM698" s="359"/>
      <c r="AP698" s="359"/>
      <c r="AQ698" s="362"/>
      <c r="AR698" s="363"/>
      <c r="AS698" s="363"/>
      <c r="AT698" s="363"/>
      <c r="AU698" s="363"/>
      <c r="AV698" s="363"/>
      <c r="AW698" s="363"/>
      <c r="AX698" s="362"/>
      <c r="AY698" s="359"/>
      <c r="BB698" s="363"/>
      <c r="BC698" s="362"/>
      <c r="BD698" s="359"/>
      <c r="JW698" s="1750"/>
      <c r="KB698" s="1750"/>
      <c r="KG698" s="1750"/>
      <c r="KL698" s="1750"/>
      <c r="KM698" s="1750"/>
      <c r="KN698" s="1750"/>
      <c r="KO698" s="1750"/>
      <c r="KP698" s="1750"/>
      <c r="KQ698" s="1750"/>
      <c r="KR698" s="1750"/>
      <c r="KS698" s="1750"/>
      <c r="KT698" s="1750"/>
      <c r="KU698" s="1750"/>
      <c r="KV698" s="1750"/>
      <c r="KW698" s="1750"/>
      <c r="KX698" s="1750"/>
      <c r="KY698" s="1750"/>
      <c r="KZ698" s="1750"/>
      <c r="LA698" s="1750"/>
      <c r="LB698" s="1750"/>
      <c r="LC698" s="1750"/>
      <c r="LD698" s="1750"/>
      <c r="LE698" s="1750"/>
      <c r="LF698" s="1750"/>
      <c r="LG698" s="1750"/>
    </row>
    <row r="699" spans="1:343" ht="15" customHeight="1">
      <c r="A699" s="1891"/>
      <c r="B699" s="1891"/>
      <c r="C699" s="359"/>
      <c r="D699" s="359"/>
      <c r="E699" s="359"/>
      <c r="F699" s="359"/>
      <c r="H699" s="1505" t="s">
        <v>3683</v>
      </c>
      <c r="I699" s="362"/>
      <c r="K699" s="2251">
        <f>AW687</f>
        <v>0</v>
      </c>
      <c r="L699" s="2251">
        <f>AX687</f>
        <v>4</v>
      </c>
      <c r="M699" s="2251">
        <f>AY687</f>
        <v>15</v>
      </c>
      <c r="N699" s="2251">
        <f>AZ687</f>
        <v>12</v>
      </c>
      <c r="O699" s="2251">
        <f>BA687</f>
        <v>6</v>
      </c>
      <c r="P699" s="2251">
        <f t="shared" si="347"/>
        <v>37</v>
      </c>
      <c r="Q699" s="2039"/>
      <c r="R699" s="2252"/>
      <c r="S699" s="2160"/>
      <c r="T699" s="2160"/>
      <c r="U699" s="2160"/>
      <c r="V699" s="2160"/>
      <c r="W699" s="2160"/>
      <c r="X699" s="359"/>
      <c r="AA699" s="359"/>
      <c r="AB699" s="362"/>
      <c r="AC699" s="359"/>
      <c r="AF699" s="359"/>
      <c r="AG699" s="362"/>
      <c r="AH699" s="359"/>
      <c r="AK699" s="359"/>
      <c r="AL699" s="362"/>
      <c r="AM699" s="359"/>
      <c r="AP699" s="359"/>
      <c r="AQ699" s="362"/>
      <c r="AR699" s="363"/>
      <c r="AS699" s="363"/>
      <c r="AT699" s="363"/>
      <c r="AU699" s="363"/>
      <c r="AV699" s="363"/>
      <c r="AW699" s="363"/>
      <c r="AX699" s="362"/>
      <c r="AY699" s="359"/>
      <c r="BB699" s="363"/>
      <c r="BC699" s="362"/>
      <c r="BD699" s="359"/>
      <c r="JW699" s="1750"/>
      <c r="KB699" s="1750"/>
      <c r="KG699" s="1750"/>
      <c r="KL699" s="1750"/>
      <c r="KM699" s="1750"/>
      <c r="KN699" s="1750"/>
      <c r="KO699" s="1750"/>
      <c r="KP699" s="1750"/>
      <c r="KQ699" s="1750"/>
      <c r="KR699" s="1750"/>
      <c r="KS699" s="1750"/>
      <c r="KT699" s="1750"/>
      <c r="KU699" s="1750"/>
      <c r="KV699" s="1750"/>
      <c r="KW699" s="1750"/>
      <c r="KX699" s="1750"/>
      <c r="KY699" s="1750"/>
      <c r="KZ699" s="1750"/>
      <c r="LA699" s="1750"/>
      <c r="LB699" s="1750"/>
      <c r="LC699" s="1750"/>
      <c r="LD699" s="1750"/>
      <c r="LE699" s="1750"/>
      <c r="LF699" s="1750"/>
      <c r="LG699" s="1750"/>
    </row>
    <row r="700" spans="1:343" ht="15" customHeight="1">
      <c r="A700" s="1891"/>
      <c r="B700" s="1891"/>
      <c r="C700" s="359"/>
      <c r="D700" s="359"/>
      <c r="E700" s="359"/>
      <c r="F700" s="359"/>
      <c r="H700" s="1505" t="s">
        <v>3684</v>
      </c>
      <c r="I700" s="362"/>
      <c r="K700" s="2251">
        <f>BB687</f>
        <v>0</v>
      </c>
      <c r="L700" s="2251">
        <f>BC687</f>
        <v>0</v>
      </c>
      <c r="M700" s="2251">
        <f>BD687</f>
        <v>0</v>
      </c>
      <c r="N700" s="2251">
        <f>BE687</f>
        <v>0</v>
      </c>
      <c r="O700" s="2251">
        <f>BF687</f>
        <v>0</v>
      </c>
      <c r="P700" s="2251">
        <f t="shared" si="347"/>
        <v>0</v>
      </c>
      <c r="Q700" s="2039"/>
      <c r="R700" s="2252"/>
      <c r="S700" s="2160"/>
      <c r="T700" s="2160"/>
      <c r="U700" s="2160"/>
      <c r="V700" s="2160"/>
      <c r="W700" s="2160"/>
      <c r="X700" s="359"/>
      <c r="AA700" s="359"/>
      <c r="AB700" s="362"/>
      <c r="AC700" s="359"/>
      <c r="AF700" s="359"/>
      <c r="AG700" s="362"/>
      <c r="AH700" s="359"/>
      <c r="AK700" s="359"/>
      <c r="AL700" s="362"/>
      <c r="AM700" s="359"/>
      <c r="AP700" s="359"/>
      <c r="AQ700" s="362"/>
      <c r="AR700" s="363"/>
      <c r="AS700" s="363"/>
      <c r="AT700" s="363"/>
      <c r="AU700" s="363"/>
      <c r="AV700" s="363"/>
      <c r="AW700" s="363"/>
      <c r="AX700" s="362"/>
      <c r="AY700" s="359"/>
      <c r="BB700" s="363"/>
      <c r="BC700" s="362"/>
      <c r="BD700" s="359"/>
      <c r="JW700" s="1750"/>
      <c r="KB700" s="1750"/>
      <c r="KG700" s="1750"/>
      <c r="KL700" s="1750"/>
      <c r="KM700" s="1750"/>
      <c r="KN700" s="1750"/>
      <c r="KO700" s="1750"/>
      <c r="KP700" s="1750"/>
      <c r="KQ700" s="1750"/>
      <c r="KR700" s="1750"/>
      <c r="KS700" s="1750"/>
      <c r="KT700" s="1750"/>
      <c r="KU700" s="1750"/>
      <c r="KV700" s="1750"/>
      <c r="KW700" s="1750"/>
      <c r="KX700" s="1750"/>
      <c r="KY700" s="1750"/>
      <c r="KZ700" s="1750"/>
      <c r="LA700" s="1750"/>
      <c r="LB700" s="1750"/>
      <c r="LC700" s="1750"/>
      <c r="LD700" s="1750"/>
      <c r="LE700" s="1750"/>
      <c r="LF700" s="1750"/>
      <c r="LG700" s="1750"/>
    </row>
    <row r="701" spans="1:343" ht="15" customHeight="1">
      <c r="A701" s="1891"/>
      <c r="B701" s="1891"/>
      <c r="C701" s="1505" t="s">
        <v>3766</v>
      </c>
      <c r="D701" s="359"/>
      <c r="E701" s="359"/>
      <c r="F701" s="359"/>
      <c r="H701" s="360"/>
      <c r="I701" s="807"/>
      <c r="K701" s="2251">
        <f>SUM(K694:K700)</f>
        <v>0</v>
      </c>
      <c r="L701" s="2251">
        <f>SUM(L694:L700)</f>
        <v>15</v>
      </c>
      <c r="M701" s="2251">
        <f>SUM(M694:M700)</f>
        <v>39</v>
      </c>
      <c r="N701" s="2251">
        <f>SUM(N694:N700)</f>
        <v>45</v>
      </c>
      <c r="O701" s="2251">
        <f>SUM(O694:O700)</f>
        <v>21</v>
      </c>
      <c r="P701" s="2251">
        <f t="shared" si="347"/>
        <v>120</v>
      </c>
      <c r="Q701" s="2039"/>
      <c r="S701" s="2160"/>
      <c r="T701" s="2160"/>
      <c r="U701" s="2160"/>
      <c r="V701" s="2160"/>
      <c r="W701" s="2160"/>
      <c r="X701" s="359"/>
      <c r="AA701" s="359"/>
      <c r="AB701" s="362"/>
      <c r="AC701" s="359"/>
      <c r="AF701" s="359"/>
      <c r="AG701" s="362"/>
      <c r="AH701" s="359"/>
      <c r="AK701" s="359"/>
      <c r="AL701" s="362"/>
      <c r="AM701" s="359"/>
      <c r="AP701" s="359"/>
      <c r="AQ701" s="362"/>
      <c r="AR701" s="363"/>
      <c r="AS701" s="363"/>
      <c r="AT701" s="363"/>
      <c r="AU701" s="363"/>
      <c r="AV701" s="363"/>
      <c r="AW701" s="363"/>
      <c r="AX701" s="362"/>
      <c r="AY701" s="359"/>
      <c r="BB701" s="363"/>
      <c r="BC701" s="362"/>
      <c r="BD701" s="359"/>
      <c r="JW701" s="1750"/>
      <c r="KB701" s="1750"/>
      <c r="KG701" s="1750"/>
      <c r="KL701" s="1750"/>
      <c r="KM701" s="1750"/>
      <c r="KN701" s="1750"/>
      <c r="KO701" s="1750"/>
      <c r="KP701" s="1750"/>
      <c r="KQ701" s="1750"/>
      <c r="KR701" s="1750"/>
      <c r="KS701" s="1750"/>
      <c r="KT701" s="1750"/>
      <c r="KU701" s="1750"/>
      <c r="KV701" s="1750"/>
      <c r="KW701" s="1750"/>
      <c r="KX701" s="1750"/>
      <c r="KY701" s="1750"/>
      <c r="KZ701" s="1750"/>
      <c r="LA701" s="1750"/>
      <c r="LB701" s="1750"/>
      <c r="LC701" s="1750"/>
      <c r="LD701" s="1750"/>
      <c r="LE701" s="1750"/>
      <c r="LF701" s="1750"/>
      <c r="LG701" s="1750"/>
    </row>
    <row r="702" spans="1:343" ht="15" customHeight="1">
      <c r="A702" s="1891"/>
      <c r="B702" s="1891"/>
      <c r="D702" s="359"/>
      <c r="E702" s="359"/>
      <c r="F702" s="359"/>
      <c r="H702" s="1505" t="s">
        <v>290</v>
      </c>
      <c r="I702" s="362"/>
      <c r="K702" s="2251">
        <f>BG687</f>
        <v>0</v>
      </c>
      <c r="L702" s="2251">
        <f>BH687</f>
        <v>0</v>
      </c>
      <c r="M702" s="2251">
        <f>BI687</f>
        <v>0</v>
      </c>
      <c r="N702" s="2251">
        <f>BJ687</f>
        <v>0</v>
      </c>
      <c r="O702" s="2251">
        <f>BK687</f>
        <v>0</v>
      </c>
      <c r="P702" s="2251">
        <f t="shared" si="347"/>
        <v>0</v>
      </c>
      <c r="S702" s="2160"/>
      <c r="T702" s="2160"/>
      <c r="U702" s="2160"/>
      <c r="V702" s="2160"/>
      <c r="W702" s="2160"/>
      <c r="X702" s="359"/>
      <c r="AA702" s="359"/>
      <c r="AB702" s="362"/>
      <c r="AC702" s="359"/>
      <c r="AF702" s="359"/>
      <c r="AG702" s="362"/>
      <c r="AH702" s="359"/>
      <c r="AK702" s="359"/>
      <c r="AL702" s="362"/>
      <c r="AM702" s="359"/>
      <c r="AP702" s="359"/>
      <c r="AQ702" s="362"/>
      <c r="AR702" s="363"/>
      <c r="AS702" s="363"/>
      <c r="AT702" s="363"/>
      <c r="AU702" s="363"/>
      <c r="AV702" s="363"/>
      <c r="AW702" s="363"/>
      <c r="AX702" s="807"/>
      <c r="AY702" s="359"/>
      <c r="BB702" s="363"/>
      <c r="BC702" s="807"/>
      <c r="BD702" s="359"/>
      <c r="JW702" s="1750"/>
      <c r="KB702" s="1750"/>
      <c r="KG702" s="1750"/>
      <c r="KL702" s="1750"/>
      <c r="KM702" s="1750"/>
      <c r="KN702" s="1750"/>
      <c r="KO702" s="1750"/>
      <c r="KP702" s="1750"/>
      <c r="KQ702" s="1750"/>
      <c r="KR702" s="1750"/>
      <c r="KS702" s="1750"/>
      <c r="KT702" s="1750"/>
      <c r="KU702" s="1750"/>
      <c r="KV702" s="1750"/>
      <c r="KW702" s="1750"/>
      <c r="KX702" s="1750"/>
      <c r="KY702" s="1750"/>
      <c r="KZ702" s="1750"/>
      <c r="LA702" s="1750"/>
      <c r="LB702" s="1750"/>
      <c r="LC702" s="1750"/>
      <c r="LD702" s="1750"/>
      <c r="LE702" s="1750"/>
      <c r="LF702" s="1750"/>
      <c r="LG702" s="1750"/>
    </row>
    <row r="703" spans="1:343" ht="15" customHeight="1">
      <c r="A703" s="1891"/>
      <c r="B703" s="1891"/>
      <c r="C703" s="2253" t="s">
        <v>1071</v>
      </c>
      <c r="D703" s="2253"/>
      <c r="E703" s="2253"/>
      <c r="F703" s="2253"/>
      <c r="G703" s="2254"/>
      <c r="H703" s="2255"/>
      <c r="I703" s="2256"/>
      <c r="J703" s="2254"/>
      <c r="K703" s="2257">
        <f>SUM(K701:K702)</f>
        <v>0</v>
      </c>
      <c r="L703" s="2257">
        <f>SUM(L701:L702)</f>
        <v>15</v>
      </c>
      <c r="M703" s="2257">
        <f>SUM(M701:M702)</f>
        <v>39</v>
      </c>
      <c r="N703" s="2257">
        <f>SUM(N701:N702)</f>
        <v>45</v>
      </c>
      <c r="O703" s="2257">
        <f>SUM(O701:O702)</f>
        <v>21</v>
      </c>
      <c r="P703" s="2257">
        <f t="shared" si="347"/>
        <v>120</v>
      </c>
      <c r="S703" s="2160"/>
      <c r="T703" s="2160"/>
      <c r="U703" s="2160"/>
      <c r="V703" s="2160"/>
      <c r="W703" s="2160"/>
      <c r="X703" s="359"/>
      <c r="AA703" s="359"/>
      <c r="AB703" s="362"/>
      <c r="AC703" s="359"/>
      <c r="AF703" s="359"/>
      <c r="AG703" s="362"/>
      <c r="AH703" s="359"/>
      <c r="AK703" s="359"/>
      <c r="AL703" s="362"/>
      <c r="AM703" s="359"/>
      <c r="AP703" s="359"/>
      <c r="AQ703" s="362"/>
      <c r="AR703" s="363"/>
      <c r="AS703" s="363"/>
      <c r="AT703" s="363"/>
      <c r="AU703" s="363"/>
      <c r="AV703" s="363"/>
      <c r="AW703" s="363"/>
      <c r="AX703" s="807"/>
      <c r="AY703" s="359"/>
      <c r="BB703" s="363"/>
      <c r="BC703" s="807"/>
      <c r="BD703" s="359"/>
      <c r="JW703" s="1750"/>
      <c r="KB703" s="1750"/>
      <c r="KG703" s="1750"/>
      <c r="KL703" s="1750"/>
      <c r="KM703" s="1750"/>
      <c r="KN703" s="1750"/>
      <c r="KO703" s="1750"/>
      <c r="KP703" s="1750"/>
      <c r="KQ703" s="1750"/>
      <c r="KR703" s="1750"/>
      <c r="KS703" s="1750"/>
      <c r="KT703" s="1750"/>
      <c r="KU703" s="1750"/>
      <c r="KV703" s="1750"/>
      <c r="KW703" s="1750"/>
      <c r="KX703" s="1750"/>
      <c r="KY703" s="1750"/>
      <c r="KZ703" s="1750"/>
      <c r="LA703" s="1750"/>
      <c r="LB703" s="1750"/>
      <c r="LC703" s="1750"/>
      <c r="LD703" s="1750"/>
      <c r="LE703" s="1750"/>
      <c r="LF703" s="1750"/>
      <c r="LG703" s="1750"/>
    </row>
    <row r="704" spans="1:343" ht="15" customHeight="1">
      <c r="A704" s="1891"/>
      <c r="B704" s="1891"/>
      <c r="D704" s="359"/>
      <c r="E704" s="359"/>
      <c r="F704" s="359"/>
      <c r="H704" s="1505" t="s">
        <v>2310</v>
      </c>
      <c r="I704" s="362"/>
      <c r="K704" s="2251">
        <f>ED687</f>
        <v>0</v>
      </c>
      <c r="L704" s="2251">
        <f>EE687</f>
        <v>0</v>
      </c>
      <c r="M704" s="2251">
        <f>EF687</f>
        <v>0</v>
      </c>
      <c r="N704" s="2251">
        <f>EG687</f>
        <v>0</v>
      </c>
      <c r="O704" s="2251">
        <f>EH687</f>
        <v>0</v>
      </c>
      <c r="P704" s="2251">
        <f t="shared" si="347"/>
        <v>0</v>
      </c>
      <c r="Q704" s="2029" t="s">
        <v>3189</v>
      </c>
      <c r="S704" s="2160"/>
      <c r="T704" s="2160"/>
      <c r="U704" s="2160"/>
      <c r="V704" s="2160"/>
      <c r="W704" s="2160"/>
      <c r="X704" s="359"/>
      <c r="AA704" s="359"/>
      <c r="AB704" s="362"/>
      <c r="AC704" s="359"/>
      <c r="AF704" s="359"/>
      <c r="AG704" s="362"/>
      <c r="AH704" s="359"/>
      <c r="AK704" s="359"/>
      <c r="AL704" s="362"/>
      <c r="AM704" s="359"/>
      <c r="AP704" s="359"/>
      <c r="AQ704" s="362"/>
      <c r="AR704" s="363"/>
      <c r="AS704" s="363"/>
      <c r="AT704" s="363"/>
      <c r="AU704" s="363"/>
      <c r="AV704" s="363"/>
      <c r="AW704" s="363"/>
      <c r="AX704" s="362"/>
      <c r="AY704" s="359"/>
      <c r="BB704" s="363"/>
      <c r="BC704" s="362"/>
      <c r="BD704" s="359"/>
      <c r="JW704" s="1750"/>
      <c r="KB704" s="1750"/>
      <c r="KG704" s="1750"/>
      <c r="KL704" s="1750"/>
      <c r="KM704" s="1750"/>
      <c r="KN704" s="1750"/>
      <c r="KO704" s="1750"/>
      <c r="KP704" s="1750"/>
      <c r="KQ704" s="1750"/>
      <c r="KR704" s="1750"/>
      <c r="KS704" s="1750"/>
      <c r="KT704" s="1750"/>
      <c r="KU704" s="1750"/>
      <c r="KV704" s="1750"/>
      <c r="KW704" s="1750"/>
      <c r="KX704" s="1750"/>
      <c r="KY704" s="1750"/>
      <c r="KZ704" s="1750"/>
      <c r="LA704" s="1750"/>
      <c r="LB704" s="1750"/>
      <c r="LC704" s="1750"/>
      <c r="LD704" s="1750"/>
      <c r="LE704" s="1750"/>
      <c r="LF704" s="1750"/>
      <c r="LG704" s="1750"/>
    </row>
    <row r="705" spans="1:319" ht="15" customHeight="1">
      <c r="A705" s="1891"/>
      <c r="B705" s="1891"/>
      <c r="C705" s="359" t="s">
        <v>1668</v>
      </c>
      <c r="D705" s="359"/>
      <c r="E705" s="359"/>
      <c r="F705" s="359"/>
      <c r="H705" s="1505"/>
      <c r="I705" s="362"/>
      <c r="K705" s="2251">
        <f>SUM(K703:K704)</f>
        <v>0</v>
      </c>
      <c r="L705" s="2251">
        <f>SUM(L703:L704)</f>
        <v>15</v>
      </c>
      <c r="M705" s="2251">
        <f>SUM(M703:M704)</f>
        <v>39</v>
      </c>
      <c r="N705" s="2251">
        <f>SUM(N703:N704)</f>
        <v>45</v>
      </c>
      <c r="O705" s="2251">
        <f>SUM(O703:O704)</f>
        <v>21</v>
      </c>
      <c r="P705" s="2251">
        <f t="shared" si="347"/>
        <v>120</v>
      </c>
      <c r="S705" s="2160"/>
      <c r="T705" s="2160"/>
      <c r="U705" s="2160"/>
      <c r="V705" s="2160"/>
      <c r="W705" s="2160"/>
      <c r="X705" s="359"/>
      <c r="AA705" s="359"/>
      <c r="AB705" s="362"/>
      <c r="AC705" s="359"/>
      <c r="AF705" s="359"/>
      <c r="AG705" s="362"/>
      <c r="AH705" s="359"/>
      <c r="AK705" s="359"/>
      <c r="AL705" s="362"/>
      <c r="AM705" s="359"/>
      <c r="AP705" s="359"/>
      <c r="AQ705" s="362"/>
      <c r="AR705" s="363"/>
      <c r="AS705" s="363"/>
      <c r="AT705" s="363"/>
      <c r="AU705" s="363"/>
      <c r="AV705" s="363"/>
      <c r="AW705" s="363"/>
      <c r="AY705" s="359"/>
      <c r="BB705" s="363"/>
      <c r="BD705" s="359"/>
      <c r="JW705" s="1750"/>
      <c r="KB705" s="1750"/>
      <c r="KG705" s="1750"/>
      <c r="KL705" s="1750"/>
      <c r="KM705" s="1750"/>
      <c r="KN705" s="1750"/>
      <c r="KO705" s="1750"/>
      <c r="KP705" s="1750"/>
      <c r="KQ705" s="1750"/>
      <c r="KR705" s="1750"/>
      <c r="KS705" s="1750"/>
      <c r="KT705" s="1750"/>
      <c r="KU705" s="1750"/>
      <c r="KV705" s="1750"/>
      <c r="KW705" s="1750"/>
      <c r="KX705" s="1750"/>
      <c r="KY705" s="1750"/>
      <c r="KZ705" s="1750"/>
      <c r="LA705" s="1750"/>
      <c r="LB705" s="1750"/>
      <c r="LC705" s="1750"/>
      <c r="LD705" s="1750"/>
      <c r="LE705" s="1750"/>
      <c r="LF705" s="1750"/>
      <c r="LG705" s="1750"/>
    </row>
    <row r="706" spans="1:319" ht="16.149999999999999" customHeight="1">
      <c r="A706" s="1891"/>
      <c r="B706" s="1891"/>
      <c r="C706" s="2258"/>
      <c r="D706" s="2258"/>
      <c r="E706" s="2258"/>
      <c r="F706" s="2258"/>
      <c r="G706" s="2258"/>
      <c r="H706" s="1891"/>
      <c r="I706" s="2258"/>
      <c r="J706" s="2258"/>
      <c r="K706" s="2258"/>
      <c r="L706" s="2258"/>
      <c r="M706" s="2258"/>
      <c r="N706" s="2258"/>
      <c r="O706" s="2258"/>
      <c r="P706" s="2258"/>
      <c r="X706" s="359"/>
      <c r="AA706" s="359"/>
      <c r="AB706" s="362"/>
      <c r="AC706" s="359"/>
      <c r="AF706" s="359"/>
      <c r="AG706" s="362"/>
      <c r="AH706" s="359"/>
      <c r="AK706" s="359"/>
      <c r="AL706" s="362"/>
      <c r="AM706" s="359"/>
      <c r="AP706" s="359"/>
      <c r="AQ706" s="362"/>
      <c r="AR706" s="359"/>
      <c r="AS706" s="359"/>
      <c r="AT706" s="359"/>
      <c r="AU706" s="359"/>
      <c r="AV706" s="359"/>
      <c r="AW706" s="359"/>
      <c r="AY706" s="359"/>
      <c r="BB706" s="359"/>
      <c r="BD706" s="359"/>
      <c r="JW706" s="1750"/>
      <c r="KB706" s="1750"/>
      <c r="KG706" s="1750"/>
      <c r="KL706" s="1750"/>
      <c r="KM706" s="1750"/>
      <c r="KN706" s="1750"/>
      <c r="KO706" s="1750"/>
      <c r="KP706" s="1750"/>
      <c r="KQ706" s="1750"/>
      <c r="KR706" s="1750"/>
      <c r="KS706" s="1750"/>
      <c r="KT706" s="1750"/>
      <c r="KU706" s="1750"/>
      <c r="KV706" s="1750"/>
      <c r="KW706" s="1750"/>
      <c r="KX706" s="1750"/>
      <c r="KY706" s="1750"/>
      <c r="KZ706" s="1750"/>
      <c r="LA706" s="1750"/>
      <c r="LB706" s="1750"/>
      <c r="LC706" s="1750"/>
      <c r="LD706" s="1750"/>
      <c r="LE706" s="1750"/>
      <c r="LF706" s="1750"/>
      <c r="LG706" s="1750"/>
    </row>
    <row r="707" spans="1:319" ht="12" customHeight="1">
      <c r="A707" s="1891"/>
      <c r="B707" s="1891"/>
      <c r="C707" s="2258" t="s">
        <v>3775</v>
      </c>
      <c r="D707" s="2258"/>
      <c r="E707" s="2258"/>
      <c r="F707" s="2258"/>
      <c r="G707" s="2258"/>
      <c r="H707" s="1891"/>
      <c r="I707" s="2258"/>
      <c r="J707" s="2258"/>
      <c r="K707" s="2258"/>
      <c r="L707" s="2258"/>
      <c r="M707" s="2258"/>
      <c r="N707" s="2258"/>
      <c r="O707" s="2258"/>
      <c r="P707" s="2258"/>
      <c r="S707" s="2046" t="str">
        <f>C707</f>
        <v xml:space="preserve">Income Limit Distribution among Bedroom Sizes </v>
      </c>
      <c r="U707" s="1883"/>
      <c r="X707" s="359"/>
      <c r="AA707" s="359"/>
      <c r="AB707" s="362"/>
      <c r="AC707" s="359"/>
      <c r="AF707" s="359"/>
      <c r="AG707" s="362"/>
      <c r="AH707" s="359"/>
      <c r="AK707" s="359"/>
      <c r="AL707" s="362"/>
      <c r="AM707" s="359"/>
      <c r="AP707" s="359"/>
      <c r="AQ707" s="362"/>
      <c r="AR707" s="359"/>
      <c r="AS707" s="359"/>
      <c r="AT707" s="359"/>
      <c r="AU707" s="359"/>
      <c r="AV707" s="359"/>
      <c r="AW707" s="359"/>
      <c r="AY707" s="359"/>
      <c r="BB707" s="359"/>
      <c r="BD707" s="359"/>
      <c r="JW707" s="1750"/>
      <c r="KB707" s="1750"/>
      <c r="KG707" s="1750"/>
      <c r="KL707" s="1750"/>
      <c r="KM707" s="1750"/>
      <c r="KN707" s="1750"/>
      <c r="KO707" s="1750"/>
      <c r="KP707" s="1750"/>
      <c r="KQ707" s="1750"/>
      <c r="KR707" s="1750"/>
      <c r="KS707" s="1750"/>
      <c r="KT707" s="1750"/>
      <c r="KU707" s="1750"/>
      <c r="KV707" s="1750"/>
      <c r="KW707" s="1750"/>
      <c r="KX707" s="1750"/>
      <c r="KY707" s="1750"/>
      <c r="KZ707" s="1750"/>
      <c r="LA707" s="1750"/>
      <c r="LB707" s="1750"/>
      <c r="LC707" s="1750"/>
      <c r="LD707" s="1750"/>
      <c r="LE707" s="1750"/>
      <c r="LF707" s="1750"/>
      <c r="LG707" s="1750"/>
    </row>
    <row r="708" spans="1:319" ht="13.15" customHeight="1">
      <c r="A708" s="1891"/>
      <c r="B708" s="1891"/>
      <c r="C708" s="2258"/>
      <c r="D708" s="2258"/>
      <c r="E708" s="2258"/>
      <c r="F708" s="2258"/>
      <c r="H708" s="1505" t="s">
        <v>3680</v>
      </c>
      <c r="I708" s="362"/>
      <c r="J708" s="2259"/>
      <c r="K708" s="2260" t="str">
        <f t="shared" ref="K708:P708" si="348">IF(OR(K694=0,K705=0),"",K694/K705)</f>
        <v/>
      </c>
      <c r="L708" s="2260">
        <f t="shared" si="348"/>
        <v>0.33333333333333331</v>
      </c>
      <c r="M708" s="2260">
        <f t="shared" si="348"/>
        <v>0.17948717948717949</v>
      </c>
      <c r="N708" s="2260">
        <f t="shared" si="348"/>
        <v>0.22222222222222221</v>
      </c>
      <c r="O708" s="2260">
        <f t="shared" si="348"/>
        <v>0.14285714285714285</v>
      </c>
      <c r="P708" s="2260">
        <f t="shared" si="348"/>
        <v>0.20833333333333334</v>
      </c>
      <c r="Q708" s="1875" t="s">
        <v>4075</v>
      </c>
      <c r="S708" s="2160"/>
      <c r="T708" s="2160"/>
      <c r="U708" s="2160"/>
      <c r="V708" s="2160"/>
      <c r="W708" s="2160"/>
    </row>
    <row r="709" spans="1:319">
      <c r="A709" s="1891"/>
      <c r="B709" s="1891"/>
      <c r="C709" s="2025"/>
      <c r="H709" s="1505" t="s">
        <v>6850</v>
      </c>
      <c r="I709" s="362"/>
      <c r="J709" s="359"/>
      <c r="K709" s="2261" t="str">
        <f>IF(OR(K694=0,P708="",K705=0),"",P708*K705)</f>
        <v/>
      </c>
      <c r="L709" s="2261">
        <f>IF(OR(L694=0,P708="",L705=0),"",P708*L705)</f>
        <v>3.125</v>
      </c>
      <c r="M709" s="2261">
        <f>IF(OR(M694=0,P708="",M705=0),"",P708*M705)</f>
        <v>8.125</v>
      </c>
      <c r="N709" s="2261">
        <f>IF(OR(N694=0,P708="",N705=0),"",P708*N705)</f>
        <v>9.375</v>
      </c>
      <c r="O709" s="2261">
        <f>IF(OR(O694=0,P708="",O705=0),"",P708*O705)</f>
        <v>4.375</v>
      </c>
      <c r="P709" s="2261">
        <f>IF(OR(P708="",P705=0),"",P708*P705)</f>
        <v>25</v>
      </c>
      <c r="S709" s="2160"/>
      <c r="T709" s="2160"/>
      <c r="U709" s="2160"/>
      <c r="V709" s="2160"/>
      <c r="W709" s="2160"/>
    </row>
    <row r="710" spans="1:319">
      <c r="A710" s="1891"/>
      <c r="B710" s="1891"/>
      <c r="C710" s="2025"/>
      <c r="G710" s="2243"/>
      <c r="H710" s="1505" t="s">
        <v>6851</v>
      </c>
      <c r="I710" s="362"/>
      <c r="J710" s="359"/>
      <c r="K710" s="2261" t="str">
        <f t="shared" ref="K710:P710" si="349">IF(OR(K709="",K694=0),"", K694-K709)</f>
        <v/>
      </c>
      <c r="L710" s="2261">
        <f t="shared" si="349"/>
        <v>1.875</v>
      </c>
      <c r="M710" s="2261">
        <f t="shared" si="349"/>
        <v>-1.125</v>
      </c>
      <c r="N710" s="2261">
        <f t="shared" si="349"/>
        <v>0.625</v>
      </c>
      <c r="O710" s="2261">
        <f t="shared" si="349"/>
        <v>-1.375</v>
      </c>
      <c r="P710" s="2261">
        <f t="shared" si="349"/>
        <v>0</v>
      </c>
      <c r="S710" s="2160"/>
      <c r="T710" s="2160"/>
      <c r="U710" s="2160"/>
      <c r="V710" s="2160"/>
      <c r="W710" s="2160"/>
    </row>
    <row r="711" spans="1:319" ht="12.75" customHeight="1">
      <c r="A711" s="1891"/>
      <c r="B711" s="1891"/>
      <c r="C711" s="2025"/>
      <c r="D711" s="2025" t="s">
        <v>6852</v>
      </c>
      <c r="E711" s="2025"/>
      <c r="F711" s="2025"/>
      <c r="H711" s="1505" t="s">
        <v>3681</v>
      </c>
      <c r="I711" s="362"/>
      <c r="J711" s="359"/>
      <c r="K711" s="2260" t="str">
        <f t="shared" ref="K711:P711" si="350">IF(OR(K695=0,K705=0),"",K695/K705)</f>
        <v/>
      </c>
      <c r="L711" s="2260" t="str">
        <f t="shared" si="350"/>
        <v/>
      </c>
      <c r="M711" s="2260" t="str">
        <f t="shared" si="350"/>
        <v/>
      </c>
      <c r="N711" s="2260" t="str">
        <f t="shared" si="350"/>
        <v/>
      </c>
      <c r="O711" s="2260" t="str">
        <f t="shared" si="350"/>
        <v/>
      </c>
      <c r="P711" s="2260" t="str">
        <f t="shared" si="350"/>
        <v/>
      </c>
      <c r="S711" s="2160"/>
      <c r="T711" s="2160"/>
      <c r="U711" s="2160"/>
      <c r="V711" s="2160"/>
      <c r="W711" s="2160"/>
    </row>
    <row r="712" spans="1:319">
      <c r="C712" s="2025"/>
      <c r="D712" s="2025"/>
      <c r="E712" s="2025"/>
      <c r="F712" s="2025"/>
      <c r="H712" s="1505" t="s">
        <v>6850</v>
      </c>
      <c r="I712" s="362"/>
      <c r="J712" s="359"/>
      <c r="K712" s="2261" t="str">
        <f>IF(OR(K695=0,P711="",K705=0),"",P711*K705)</f>
        <v/>
      </c>
      <c r="L712" s="2261" t="str">
        <f>IF(OR(L695=0,P711="",L705=0),"",P711*L705)</f>
        <v/>
      </c>
      <c r="M712" s="2261" t="str">
        <f>IF(OR(M695=0,P711="",M705=0),"",P711*M705)</f>
        <v/>
      </c>
      <c r="N712" s="2261" t="str">
        <f>IF(OR(N695=0,P711="",N705=0),"",P711*N705)</f>
        <v/>
      </c>
      <c r="O712" s="2261" t="str">
        <f>IF(OR(O695=0,P711="",O705=0),"",P711*O705)</f>
        <v/>
      </c>
      <c r="P712" s="2261" t="str">
        <f>IF(OR(P711="",P705=0),"",P711*P705)</f>
        <v/>
      </c>
      <c r="S712" s="2160"/>
      <c r="T712" s="2160"/>
      <c r="U712" s="2160"/>
      <c r="V712" s="2160"/>
      <c r="W712" s="2160"/>
    </row>
    <row r="713" spans="1:319">
      <c r="C713" s="2025"/>
      <c r="D713" s="2025"/>
      <c r="E713" s="2025"/>
      <c r="F713" s="2025"/>
      <c r="G713" s="2243"/>
      <c r="H713" s="1505" t="s">
        <v>6851</v>
      </c>
      <c r="I713" s="362"/>
      <c r="J713" s="359"/>
      <c r="K713" s="2261" t="str">
        <f t="shared" ref="K713:P713" si="351">IF(OR(K712="",K695=0),"", K695-K712)</f>
        <v/>
      </c>
      <c r="L713" s="2261" t="str">
        <f t="shared" si="351"/>
        <v/>
      </c>
      <c r="M713" s="2261" t="str">
        <f t="shared" si="351"/>
        <v/>
      </c>
      <c r="N713" s="2261" t="str">
        <f t="shared" si="351"/>
        <v/>
      </c>
      <c r="O713" s="2261" t="str">
        <f t="shared" si="351"/>
        <v/>
      </c>
      <c r="P713" s="2261" t="str">
        <f t="shared" si="351"/>
        <v/>
      </c>
      <c r="S713" s="2160"/>
      <c r="T713" s="2160"/>
      <c r="U713" s="2160"/>
      <c r="V713" s="2160"/>
      <c r="W713" s="2160"/>
    </row>
    <row r="714" spans="1:319">
      <c r="C714" s="2262" t="s">
        <v>4073</v>
      </c>
      <c r="D714" s="2025"/>
      <c r="E714" s="2025"/>
      <c r="F714" s="2025"/>
      <c r="H714" s="1505" t="s">
        <v>1082</v>
      </c>
      <c r="I714" s="362"/>
      <c r="J714" s="359"/>
      <c r="K714" s="2260" t="str">
        <f t="shared" ref="K714:P714" si="352">IF(OR(K696=0,K705=0),"",K696/K705)</f>
        <v/>
      </c>
      <c r="L714" s="2260">
        <f t="shared" si="352"/>
        <v>0.4</v>
      </c>
      <c r="M714" s="2260">
        <f t="shared" si="352"/>
        <v>0.4358974358974359</v>
      </c>
      <c r="N714" s="2260">
        <f t="shared" si="352"/>
        <v>0.51111111111111107</v>
      </c>
      <c r="O714" s="2260">
        <f t="shared" si="352"/>
        <v>0.5714285714285714</v>
      </c>
      <c r="P714" s="2260">
        <f t="shared" si="352"/>
        <v>0.48333333333333334</v>
      </c>
      <c r="S714" s="2160"/>
      <c r="T714" s="2160"/>
      <c r="U714" s="2160"/>
      <c r="V714" s="2160"/>
      <c r="W714" s="2160"/>
    </row>
    <row r="715" spans="1:319" ht="15.75" customHeight="1">
      <c r="C715" s="2262"/>
      <c r="D715" s="2025"/>
      <c r="E715" s="2025"/>
      <c r="F715" s="2025"/>
      <c r="H715" s="1505" t="s">
        <v>6850</v>
      </c>
      <c r="I715" s="362"/>
      <c r="J715" s="359"/>
      <c r="K715" s="2261" t="str">
        <f>IF(OR(K696=0,P714="",K705=0),"",P714*K705)</f>
        <v/>
      </c>
      <c r="L715" s="2261">
        <f>IF(OR(L696=0,P714="",L705=0),"",P714*L705)</f>
        <v>7.25</v>
      </c>
      <c r="M715" s="2261">
        <f>IF(OR(M696=0,P714="",M705=0),"",P714*M705)</f>
        <v>18.850000000000001</v>
      </c>
      <c r="N715" s="2261">
        <f>IF(OR(N696=0,P714="",N705=0),"",P714*N705)</f>
        <v>21.75</v>
      </c>
      <c r="O715" s="2261">
        <f>IF(OR(O696=0,P714="",O705=0),"",P714*O705)</f>
        <v>10.15</v>
      </c>
      <c r="P715" s="2261">
        <f>IF(OR(P714="",P705=0),"",P714*P705)</f>
        <v>58</v>
      </c>
      <c r="S715" s="2160"/>
      <c r="T715" s="2160"/>
      <c r="U715" s="2160"/>
      <c r="V715" s="2160"/>
      <c r="W715" s="2160"/>
    </row>
    <row r="716" spans="1:319" ht="15.75" customHeight="1">
      <c r="C716" s="2262"/>
      <c r="D716" s="2025"/>
      <c r="E716" s="2025"/>
      <c r="F716" s="2025"/>
      <c r="G716" s="2243"/>
      <c r="H716" s="1505" t="s">
        <v>6851</v>
      </c>
      <c r="I716" s="362"/>
      <c r="J716" s="359"/>
      <c r="K716" s="2261" t="str">
        <f t="shared" ref="K716:P716" si="353">IF(OR(K715="",K696=0),"", K696-K715)</f>
        <v/>
      </c>
      <c r="L716" s="2261">
        <f t="shared" si="353"/>
        <v>-1.25</v>
      </c>
      <c r="M716" s="2261">
        <f t="shared" si="353"/>
        <v>-1.8500000000000014</v>
      </c>
      <c r="N716" s="2261">
        <f t="shared" si="353"/>
        <v>1.25</v>
      </c>
      <c r="O716" s="2261">
        <f t="shared" si="353"/>
        <v>1.8499999999999996</v>
      </c>
      <c r="P716" s="2261">
        <f t="shared" si="353"/>
        <v>0</v>
      </c>
    </row>
    <row r="717" spans="1:319">
      <c r="C717" s="2262" t="s">
        <v>4073</v>
      </c>
      <c r="D717" s="2262"/>
      <c r="E717" s="2262"/>
      <c r="H717" s="1505" t="s">
        <v>112</v>
      </c>
      <c r="I717" s="362"/>
      <c r="J717" s="359"/>
      <c r="K717" s="2260" t="str">
        <f t="shared" ref="K717:P717" si="354">IF(OR(K697=0,K705=0),"",K697/K705)</f>
        <v/>
      </c>
      <c r="L717" s="2260" t="str">
        <f t="shared" si="354"/>
        <v/>
      </c>
      <c r="M717" s="2260" t="str">
        <f t="shared" si="354"/>
        <v/>
      </c>
      <c r="N717" s="2260" t="str">
        <f t="shared" si="354"/>
        <v/>
      </c>
      <c r="O717" s="2260" t="str">
        <f t="shared" si="354"/>
        <v/>
      </c>
      <c r="P717" s="2260" t="str">
        <f t="shared" si="354"/>
        <v/>
      </c>
    </row>
    <row r="718" spans="1:319">
      <c r="C718" s="2262"/>
      <c r="D718" s="2262"/>
      <c r="E718" s="2262"/>
      <c r="H718" s="1505" t="s">
        <v>6850</v>
      </c>
      <c r="I718" s="362"/>
      <c r="J718" s="359"/>
      <c r="K718" s="2261" t="str">
        <f>IF(OR(K697=0,P717="",K705=0),"",P717*K705)</f>
        <v/>
      </c>
      <c r="L718" s="2261" t="str">
        <f>IF(OR(L697=0,P717="",L705=0),"",P717*L705)</f>
        <v/>
      </c>
      <c r="M718" s="2261" t="str">
        <f>IF(OR(M697=0,P717="",M705=0),"",P717*M705)</f>
        <v/>
      </c>
      <c r="N718" s="2261" t="str">
        <f>IF(OR(N697=0,P717="",N705=0),"",P717*N705)</f>
        <v/>
      </c>
      <c r="O718" s="2261" t="str">
        <f>IF(OR(O697=0,P717="",O705=0),"",P717*O705)</f>
        <v/>
      </c>
      <c r="P718" s="2261" t="str">
        <f>IF(OR(P717="",P705=0),"",P717*P705)</f>
        <v/>
      </c>
    </row>
    <row r="719" spans="1:319">
      <c r="C719" s="2262"/>
      <c r="D719" s="2262"/>
      <c r="E719" s="2262"/>
      <c r="G719" s="2243"/>
      <c r="H719" s="1505" t="s">
        <v>6851</v>
      </c>
      <c r="I719" s="362"/>
      <c r="J719" s="359"/>
      <c r="K719" s="2261" t="str">
        <f t="shared" ref="K719:P719" si="355">IF(OR(K718="",K697=0),"", K697-K718)</f>
        <v/>
      </c>
      <c r="L719" s="2261" t="str">
        <f t="shared" si="355"/>
        <v/>
      </c>
      <c r="M719" s="2261" t="str">
        <f t="shared" si="355"/>
        <v/>
      </c>
      <c r="N719" s="2261" t="str">
        <f t="shared" si="355"/>
        <v/>
      </c>
      <c r="O719" s="2261" t="str">
        <f t="shared" si="355"/>
        <v/>
      </c>
      <c r="P719" s="2261" t="str">
        <f t="shared" si="355"/>
        <v/>
      </c>
    </row>
    <row r="720" spans="1:319">
      <c r="C720" s="2262" t="s">
        <v>4073</v>
      </c>
      <c r="D720" s="2262"/>
      <c r="E720" s="2262"/>
      <c r="H720" s="1505" t="s">
        <v>3682</v>
      </c>
      <c r="I720" s="362"/>
      <c r="J720" s="359"/>
      <c r="K720" s="2260" t="str">
        <f t="shared" ref="K720:P720" si="356">IF(OR(K698=0,K705=0),"",K698/K705)</f>
        <v/>
      </c>
      <c r="L720" s="2260" t="str">
        <f t="shared" si="356"/>
        <v/>
      </c>
      <c r="M720" s="2260" t="str">
        <f t="shared" si="356"/>
        <v/>
      </c>
      <c r="N720" s="2260" t="str">
        <f t="shared" si="356"/>
        <v/>
      </c>
      <c r="O720" s="2260" t="str">
        <f t="shared" si="356"/>
        <v/>
      </c>
      <c r="P720" s="2260" t="str">
        <f t="shared" si="356"/>
        <v/>
      </c>
    </row>
    <row r="721" spans="1:319">
      <c r="C721" s="2262"/>
      <c r="H721" s="1505" t="s">
        <v>6850</v>
      </c>
      <c r="I721" s="362"/>
      <c r="J721" s="359"/>
      <c r="K721" s="2261" t="str">
        <f>IF(OR(K698=0,P720="",K705=0),"",P720*K705)</f>
        <v/>
      </c>
      <c r="L721" s="2261" t="str">
        <f>IF(OR(L698=0,P720="",L705=0),"",P720*L705)</f>
        <v/>
      </c>
      <c r="M721" s="2261" t="str">
        <f>IF(OR(M698=0,P720="",M705=0),"",P720*M705)</f>
        <v/>
      </c>
      <c r="N721" s="2261" t="str">
        <f>IF(OR(N698=0,P720="",N705=0),"",P720*N705)</f>
        <v/>
      </c>
      <c r="O721" s="2261" t="str">
        <f>IF(OR(O698=0,P720="",O705=0),"",P720*O705)</f>
        <v/>
      </c>
      <c r="P721" s="2261" t="str">
        <f>IF(OR(P720="",P705=0),"",P720*P705)</f>
        <v/>
      </c>
    </row>
    <row r="722" spans="1:319">
      <c r="C722" s="2262"/>
      <c r="G722" s="2243"/>
      <c r="H722" s="1505" t="s">
        <v>6851</v>
      </c>
      <c r="I722" s="362"/>
      <c r="J722" s="359"/>
      <c r="K722" s="2261" t="str">
        <f t="shared" ref="K722:P722" si="357">IF(OR(K721="",K698=0),"", K698-K721)</f>
        <v/>
      </c>
      <c r="L722" s="2261" t="str">
        <f t="shared" si="357"/>
        <v/>
      </c>
      <c r="M722" s="2261" t="str">
        <f t="shared" si="357"/>
        <v/>
      </c>
      <c r="N722" s="2261" t="str">
        <f t="shared" si="357"/>
        <v/>
      </c>
      <c r="O722" s="2261" t="str">
        <f t="shared" si="357"/>
        <v/>
      </c>
      <c r="P722" s="2261" t="str">
        <f t="shared" si="357"/>
        <v/>
      </c>
    </row>
    <row r="723" spans="1:319">
      <c r="C723" s="2262" t="s">
        <v>4073</v>
      </c>
      <c r="H723" s="1505" t="s">
        <v>3683</v>
      </c>
      <c r="I723" s="362"/>
      <c r="J723" s="359"/>
      <c r="K723" s="2260" t="str">
        <f t="shared" ref="K723:P723" si="358">IF(OR(K699=0,K705=0),"",K699/K705)</f>
        <v/>
      </c>
      <c r="L723" s="2260">
        <f t="shared" si="358"/>
        <v>0.26666666666666666</v>
      </c>
      <c r="M723" s="2260">
        <f t="shared" si="358"/>
        <v>0.38461538461538464</v>
      </c>
      <c r="N723" s="2260">
        <f t="shared" si="358"/>
        <v>0.26666666666666666</v>
      </c>
      <c r="O723" s="2260">
        <f t="shared" si="358"/>
        <v>0.2857142857142857</v>
      </c>
      <c r="P723" s="2260">
        <f t="shared" si="358"/>
        <v>0.30833333333333335</v>
      </c>
    </row>
    <row r="724" spans="1:319">
      <c r="C724" s="2262"/>
      <c r="H724" s="1505" t="s">
        <v>6850</v>
      </c>
      <c r="I724" s="362"/>
      <c r="J724" s="359"/>
      <c r="K724" s="2261" t="str">
        <f>IF(OR(K699=0,P723="",K705=0),"",P723*K705)</f>
        <v/>
      </c>
      <c r="L724" s="2261">
        <f>IF(OR(L699=0,P723="",L705=0),"",P723*L705)</f>
        <v>4.625</v>
      </c>
      <c r="M724" s="2261">
        <f>IF(OR(M699=0,P723="",M705=0),"",P723*M705)</f>
        <v>12.025</v>
      </c>
      <c r="N724" s="2261">
        <f>IF(OR(N699=0,P723="",N705=0),"",P723*N705)</f>
        <v>13.875</v>
      </c>
      <c r="O724" s="2261">
        <f>IF(OR(O699=0,P723="",O705=0),"",P723*O705)</f>
        <v>6.4750000000000005</v>
      </c>
      <c r="P724" s="2261">
        <f>IF(OR(P723="",P705=0),"",P723*P705)</f>
        <v>37</v>
      </c>
    </row>
    <row r="725" spans="1:319">
      <c r="C725" s="2262"/>
      <c r="G725" s="2243"/>
      <c r="H725" s="1505" t="s">
        <v>6851</v>
      </c>
      <c r="I725" s="362"/>
      <c r="J725" s="359"/>
      <c r="K725" s="2261" t="str">
        <f t="shared" ref="K725:P725" si="359">IF(OR(K724="",K699=0),"", K699-K724)</f>
        <v/>
      </c>
      <c r="L725" s="2261">
        <f t="shared" si="359"/>
        <v>-0.625</v>
      </c>
      <c r="M725" s="2261">
        <f t="shared" si="359"/>
        <v>2.9749999999999996</v>
      </c>
      <c r="N725" s="2261">
        <f t="shared" si="359"/>
        <v>-1.875</v>
      </c>
      <c r="O725" s="2261">
        <f t="shared" si="359"/>
        <v>-0.47500000000000053</v>
      </c>
      <c r="P725" s="2261">
        <f t="shared" si="359"/>
        <v>0</v>
      </c>
    </row>
    <row r="726" spans="1:319">
      <c r="C726" s="2262" t="s">
        <v>4073</v>
      </c>
      <c r="H726" s="1505" t="s">
        <v>3684</v>
      </c>
      <c r="I726" s="362"/>
      <c r="J726" s="359"/>
      <c r="K726" s="2260" t="str">
        <f t="shared" ref="K726:P726" si="360">IF(OR(K700=0,K705=0),"",K700/K705)</f>
        <v/>
      </c>
      <c r="L726" s="2260" t="str">
        <f t="shared" si="360"/>
        <v/>
      </c>
      <c r="M726" s="2260" t="str">
        <f t="shared" si="360"/>
        <v/>
      </c>
      <c r="N726" s="2260" t="str">
        <f t="shared" si="360"/>
        <v/>
      </c>
      <c r="O726" s="2260" t="str">
        <f t="shared" si="360"/>
        <v/>
      </c>
      <c r="P726" s="2260" t="str">
        <f t="shared" si="360"/>
        <v/>
      </c>
    </row>
    <row r="727" spans="1:319">
      <c r="C727" s="2262"/>
      <c r="D727" s="2262"/>
      <c r="E727" s="2262"/>
      <c r="H727" s="1505" t="s">
        <v>6850</v>
      </c>
      <c r="I727" s="362"/>
      <c r="J727" s="359"/>
      <c r="K727" s="2261" t="str">
        <f>IF(OR(K700=0,P726="",K705=0),"",P726*K705)</f>
        <v/>
      </c>
      <c r="L727" s="2261" t="str">
        <f>IF(OR(L700=0,P726="",L705=0),"",P726*L705)</f>
        <v/>
      </c>
      <c r="M727" s="2261" t="str">
        <f>IF(OR(M700=0,P726="",M705=0),"",P726*M705)</f>
        <v/>
      </c>
      <c r="N727" s="2261" t="str">
        <f>IF(OR(N700=0,P726="",N705=0),"",P726*N705)</f>
        <v/>
      </c>
      <c r="O727" s="2261" t="str">
        <f>IF(OR(O700=0,P726="",O705=0),"",P726*O705)</f>
        <v/>
      </c>
      <c r="P727" s="2261" t="str">
        <f>IF(OR(P726="",P705=0),"",P726*P705)</f>
        <v/>
      </c>
    </row>
    <row r="728" spans="1:319">
      <c r="C728" s="2262"/>
      <c r="D728" s="2262"/>
      <c r="E728" s="2262"/>
      <c r="G728" s="2243"/>
      <c r="H728" s="1505" t="s">
        <v>6851</v>
      </c>
      <c r="I728" s="362"/>
      <c r="J728" s="359"/>
      <c r="K728" s="2261" t="str">
        <f t="shared" ref="K728:P728" si="361">IF(OR(K727="",K700=0),"", K700-K727)</f>
        <v/>
      </c>
      <c r="L728" s="2261" t="str">
        <f t="shared" si="361"/>
        <v/>
      </c>
      <c r="M728" s="2261" t="str">
        <f t="shared" si="361"/>
        <v/>
      </c>
      <c r="N728" s="2261" t="str">
        <f t="shared" si="361"/>
        <v/>
      </c>
      <c r="O728" s="2261" t="str">
        <f t="shared" si="361"/>
        <v/>
      </c>
      <c r="P728" s="2261" t="str">
        <f t="shared" si="361"/>
        <v/>
      </c>
    </row>
    <row r="729" spans="1:319" ht="12" customHeight="1">
      <c r="A729" s="1891"/>
      <c r="B729" s="1891"/>
      <c r="C729" s="359"/>
      <c r="D729" s="359"/>
      <c r="E729" s="359"/>
      <c r="F729" s="359"/>
      <c r="H729" s="1505"/>
      <c r="I729" s="362"/>
      <c r="K729" s="2263"/>
      <c r="L729" s="2263"/>
      <c r="M729" s="2263"/>
      <c r="N729" s="2263"/>
      <c r="O729" s="2263"/>
      <c r="P729" s="2263"/>
      <c r="U729" s="1883"/>
      <c r="X729" s="359"/>
      <c r="AA729" s="359"/>
      <c r="AB729" s="362"/>
      <c r="AC729" s="359"/>
      <c r="AF729" s="359"/>
      <c r="AG729" s="362"/>
      <c r="AH729" s="359"/>
      <c r="AK729" s="359"/>
      <c r="AL729" s="362"/>
      <c r="AM729" s="359"/>
      <c r="AP729" s="359"/>
      <c r="AQ729" s="362"/>
      <c r="AR729" s="359"/>
      <c r="AS729" s="359"/>
      <c r="AT729" s="359"/>
      <c r="AU729" s="359"/>
      <c r="AV729" s="359"/>
      <c r="AW729" s="359"/>
      <c r="AY729" s="359"/>
      <c r="BB729" s="359"/>
      <c r="BD729" s="359"/>
      <c r="JW729" s="1750"/>
      <c r="KB729" s="1750"/>
      <c r="KG729" s="1750"/>
      <c r="KL729" s="1750"/>
      <c r="KM729" s="1750"/>
      <c r="KN729" s="1750"/>
      <c r="KO729" s="1750"/>
      <c r="KP729" s="1750"/>
      <c r="KQ729" s="1750"/>
      <c r="KR729" s="1750"/>
      <c r="KS729" s="1750"/>
      <c r="KT729" s="1750"/>
      <c r="KU729" s="1750"/>
      <c r="KV729" s="1750"/>
      <c r="KW729" s="1750"/>
      <c r="KX729" s="1750"/>
      <c r="KY729" s="1750"/>
      <c r="KZ729" s="1750"/>
      <c r="LA729" s="1750"/>
      <c r="LB729" s="1750"/>
      <c r="LC729" s="1750"/>
      <c r="LD729" s="1750"/>
      <c r="LE729" s="1750"/>
      <c r="LF729" s="1750"/>
      <c r="LG729" s="1750"/>
    </row>
    <row r="730" spans="1:319" ht="9" customHeight="1">
      <c r="A730" s="1891"/>
      <c r="B730" s="1891"/>
      <c r="C730" s="359"/>
      <c r="D730" s="359"/>
      <c r="E730" s="359"/>
      <c r="F730" s="359"/>
      <c r="H730" s="1505"/>
      <c r="I730" s="362"/>
      <c r="K730" s="2263"/>
      <c r="L730" s="2263"/>
      <c r="M730" s="2263"/>
      <c r="N730" s="2263"/>
      <c r="O730" s="2263"/>
      <c r="P730" s="2263"/>
      <c r="S730" s="2046" t="str">
        <f>C731</f>
        <v>PBRA-Assisted</v>
      </c>
      <c r="U730" s="1883"/>
      <c r="X730" s="359"/>
      <c r="AA730" s="359"/>
      <c r="AB730" s="362"/>
      <c r="AC730" s="359"/>
      <c r="AF730" s="359"/>
      <c r="AG730" s="362"/>
      <c r="AH730" s="359"/>
      <c r="AK730" s="359"/>
      <c r="AL730" s="362"/>
      <c r="AM730" s="359"/>
      <c r="AP730" s="359"/>
      <c r="AQ730" s="362"/>
      <c r="AR730" s="359"/>
      <c r="AS730" s="359"/>
      <c r="AT730" s="359"/>
      <c r="AU730" s="359"/>
      <c r="AV730" s="359"/>
      <c r="AW730" s="359"/>
      <c r="AY730" s="359"/>
      <c r="BB730" s="359"/>
      <c r="BD730" s="359"/>
      <c r="JW730" s="1750"/>
      <c r="KB730" s="1750"/>
      <c r="KG730" s="1750"/>
      <c r="KL730" s="1750"/>
      <c r="KM730" s="1750"/>
      <c r="KN730" s="1750"/>
      <c r="KO730" s="1750"/>
      <c r="KP730" s="1750"/>
      <c r="KQ730" s="1750"/>
      <c r="KR730" s="1750"/>
      <c r="KS730" s="1750"/>
      <c r="KT730" s="1750"/>
      <c r="KU730" s="1750"/>
      <c r="KV730" s="1750"/>
      <c r="KW730" s="1750"/>
      <c r="KX730" s="1750"/>
      <c r="KY730" s="1750"/>
      <c r="KZ730" s="1750"/>
      <c r="LA730" s="1750"/>
      <c r="LB730" s="1750"/>
      <c r="LC730" s="1750"/>
      <c r="LD730" s="1750"/>
      <c r="LE730" s="1750"/>
      <c r="LF730" s="1750"/>
      <c r="LG730" s="1750"/>
    </row>
    <row r="731" spans="1:319" ht="15" customHeight="1">
      <c r="A731" s="1891"/>
      <c r="B731" s="1891"/>
      <c r="C731" s="359" t="s">
        <v>875</v>
      </c>
      <c r="D731" s="359"/>
      <c r="E731" s="1505"/>
      <c r="F731" s="359"/>
      <c r="H731" s="1505" t="s">
        <v>3680</v>
      </c>
      <c r="I731" s="362"/>
      <c r="K731" s="2264">
        <f>CP687</f>
        <v>0</v>
      </c>
      <c r="L731" s="2264">
        <f>CQ687</f>
        <v>5</v>
      </c>
      <c r="M731" s="2264">
        <f>CR687</f>
        <v>7</v>
      </c>
      <c r="N731" s="2264">
        <f>CS687</f>
        <v>10</v>
      </c>
      <c r="O731" s="2264">
        <f>CT687</f>
        <v>3</v>
      </c>
      <c r="P731" s="2251">
        <f t="shared" ref="P731:P738" si="362">SUM(K731:O731)</f>
        <v>25</v>
      </c>
      <c r="S731" s="2160"/>
      <c r="T731" s="2160"/>
      <c r="U731" s="2160"/>
      <c r="V731" s="2160"/>
      <c r="W731" s="2160"/>
      <c r="X731" s="359"/>
      <c r="AA731" s="359"/>
      <c r="AB731" s="362"/>
      <c r="AC731" s="359"/>
      <c r="AF731" s="359"/>
      <c r="AG731" s="362"/>
      <c r="AH731" s="359"/>
      <c r="AK731" s="359"/>
      <c r="AL731" s="362"/>
      <c r="AM731" s="359"/>
      <c r="AP731" s="359"/>
      <c r="AQ731" s="362"/>
      <c r="AR731" s="363"/>
      <c r="AS731" s="363"/>
      <c r="AT731" s="363"/>
      <c r="AU731" s="363"/>
      <c r="AV731" s="363"/>
      <c r="AW731" s="363"/>
      <c r="AX731" s="362"/>
      <c r="AY731" s="359"/>
      <c r="BB731" s="363"/>
      <c r="BC731" s="362"/>
      <c r="BD731" s="359"/>
      <c r="JW731" s="1750"/>
      <c r="KB731" s="1750"/>
      <c r="KG731" s="1750"/>
      <c r="KL731" s="1750"/>
      <c r="KM731" s="1750"/>
      <c r="KN731" s="1750"/>
      <c r="KO731" s="1750"/>
      <c r="KP731" s="1750"/>
      <c r="KQ731" s="1750"/>
      <c r="KR731" s="1750"/>
      <c r="KS731" s="1750"/>
      <c r="KT731" s="1750"/>
      <c r="KU731" s="1750"/>
      <c r="KV731" s="1750"/>
      <c r="KW731" s="1750"/>
      <c r="KX731" s="1750"/>
      <c r="KY731" s="1750"/>
      <c r="KZ731" s="1750"/>
      <c r="LA731" s="1750"/>
      <c r="LB731" s="1750"/>
      <c r="LC731" s="1750"/>
      <c r="LD731" s="1750"/>
      <c r="LE731" s="1750"/>
      <c r="LF731" s="1750"/>
      <c r="LG731" s="1750"/>
    </row>
    <row r="732" spans="1:319" ht="15" customHeight="1">
      <c r="A732" s="1891"/>
      <c r="B732" s="1891"/>
      <c r="C732" s="362" t="s">
        <v>2311</v>
      </c>
      <c r="D732" s="359"/>
      <c r="E732" s="1505"/>
      <c r="F732" s="359"/>
      <c r="H732" s="1505" t="s">
        <v>3681</v>
      </c>
      <c r="I732" s="362"/>
      <c r="K732" s="2251">
        <f>CK687</f>
        <v>0</v>
      </c>
      <c r="L732" s="2251">
        <f>CL687</f>
        <v>0</v>
      </c>
      <c r="M732" s="2251">
        <f>CM687</f>
        <v>0</v>
      </c>
      <c r="N732" s="2251">
        <f>CN687</f>
        <v>0</v>
      </c>
      <c r="O732" s="2251">
        <f>CO687</f>
        <v>0</v>
      </c>
      <c r="P732" s="2251">
        <f t="shared" si="362"/>
        <v>0</v>
      </c>
      <c r="S732" s="2160"/>
      <c r="T732" s="2160"/>
      <c r="U732" s="2160"/>
      <c r="V732" s="2160"/>
      <c r="W732" s="2160"/>
      <c r="X732" s="359"/>
      <c r="AA732" s="359"/>
      <c r="AB732" s="362"/>
      <c r="AC732" s="359"/>
      <c r="AF732" s="359"/>
      <c r="AG732" s="362"/>
      <c r="AH732" s="359"/>
      <c r="AK732" s="359"/>
      <c r="AL732" s="362"/>
      <c r="AM732" s="359"/>
      <c r="AP732" s="359"/>
      <c r="AQ732" s="362"/>
      <c r="AR732" s="363"/>
      <c r="AS732" s="363"/>
      <c r="AT732" s="363"/>
      <c r="AU732" s="363"/>
      <c r="AV732" s="363"/>
      <c r="AW732" s="363"/>
      <c r="AX732" s="362"/>
      <c r="AY732" s="359"/>
      <c r="BB732" s="363"/>
      <c r="BC732" s="362"/>
      <c r="BD732" s="359"/>
      <c r="JW732" s="1750"/>
      <c r="KB732" s="1750"/>
      <c r="KG732" s="1750"/>
      <c r="KL732" s="1750"/>
      <c r="KM732" s="1750"/>
      <c r="KN732" s="1750"/>
      <c r="KO732" s="1750"/>
      <c r="KP732" s="1750"/>
      <c r="KQ732" s="1750"/>
      <c r="KR732" s="1750"/>
      <c r="KS732" s="1750"/>
      <c r="KT732" s="1750"/>
      <c r="KU732" s="1750"/>
      <c r="KV732" s="1750"/>
      <c r="KW732" s="1750"/>
      <c r="KX732" s="1750"/>
      <c r="KY732" s="1750"/>
      <c r="KZ732" s="1750"/>
      <c r="LA732" s="1750"/>
      <c r="LB732" s="1750"/>
      <c r="LC732" s="1750"/>
      <c r="LD732" s="1750"/>
      <c r="LE732" s="1750"/>
      <c r="LF732" s="1750"/>
      <c r="LG732" s="1750"/>
    </row>
    <row r="733" spans="1:319" ht="15" customHeight="1">
      <c r="A733" s="1891"/>
      <c r="B733" s="1891"/>
      <c r="C733" s="359"/>
      <c r="D733" s="359"/>
      <c r="E733" s="1505"/>
      <c r="F733" s="359"/>
      <c r="H733" s="1505" t="s">
        <v>1082</v>
      </c>
      <c r="I733" s="362"/>
      <c r="K733" s="2251">
        <f>CF687</f>
        <v>0</v>
      </c>
      <c r="L733" s="2251">
        <f>CG687</f>
        <v>0</v>
      </c>
      <c r="M733" s="2251">
        <f>CH687</f>
        <v>15</v>
      </c>
      <c r="N733" s="2251">
        <f>CI687</f>
        <v>17</v>
      </c>
      <c r="O733" s="2251">
        <f>CJ687</f>
        <v>10</v>
      </c>
      <c r="P733" s="2251">
        <f t="shared" si="362"/>
        <v>42</v>
      </c>
      <c r="S733" s="2160"/>
      <c r="T733" s="2160"/>
      <c r="U733" s="2160"/>
      <c r="V733" s="2160"/>
      <c r="W733" s="2160"/>
      <c r="X733" s="359"/>
      <c r="AA733" s="359"/>
      <c r="AB733" s="362"/>
      <c r="AC733" s="359"/>
      <c r="AF733" s="359"/>
      <c r="AG733" s="362"/>
      <c r="AH733" s="359"/>
      <c r="AK733" s="359"/>
      <c r="AL733" s="362"/>
      <c r="AM733" s="359"/>
      <c r="AP733" s="359"/>
      <c r="AQ733" s="362"/>
      <c r="AR733" s="363"/>
      <c r="AS733" s="363"/>
      <c r="AT733" s="363"/>
      <c r="AU733" s="363"/>
      <c r="AV733" s="363"/>
      <c r="AW733" s="363"/>
      <c r="AX733" s="362"/>
      <c r="AY733" s="359"/>
      <c r="BB733" s="363"/>
      <c r="BC733" s="362"/>
      <c r="BD733" s="359"/>
      <c r="JW733" s="1750"/>
      <c r="KB733" s="1750"/>
      <c r="KG733" s="1750"/>
      <c r="KL733" s="1750"/>
      <c r="KM733" s="1750"/>
      <c r="KN733" s="1750"/>
      <c r="KO733" s="1750"/>
      <c r="KP733" s="1750"/>
      <c r="KQ733" s="1750"/>
      <c r="KR733" s="1750"/>
      <c r="KS733" s="1750"/>
      <c r="KT733" s="1750"/>
      <c r="KU733" s="1750"/>
      <c r="KV733" s="1750"/>
      <c r="KW733" s="1750"/>
      <c r="KX733" s="1750"/>
      <c r="KY733" s="1750"/>
      <c r="KZ733" s="1750"/>
      <c r="LA733" s="1750"/>
      <c r="LB733" s="1750"/>
      <c r="LC733" s="1750"/>
      <c r="LD733" s="1750"/>
      <c r="LE733" s="1750"/>
      <c r="LF733" s="1750"/>
      <c r="LG733" s="1750"/>
    </row>
    <row r="734" spans="1:319" ht="15" customHeight="1">
      <c r="A734" s="1891"/>
      <c r="B734" s="1891"/>
      <c r="C734" s="359"/>
      <c r="D734" s="359"/>
      <c r="E734" s="1505"/>
      <c r="F734" s="359"/>
      <c r="H734" s="1505" t="s">
        <v>112</v>
      </c>
      <c r="I734" s="362"/>
      <c r="K734" s="2251">
        <f>CA687</f>
        <v>0</v>
      </c>
      <c r="L734" s="2251">
        <f>CB687</f>
        <v>0</v>
      </c>
      <c r="M734" s="2251">
        <f>CC687</f>
        <v>0</v>
      </c>
      <c r="N734" s="2251">
        <f>CD687</f>
        <v>0</v>
      </c>
      <c r="O734" s="2251">
        <f>CE687</f>
        <v>0</v>
      </c>
      <c r="P734" s="2251">
        <f t="shared" si="362"/>
        <v>0</v>
      </c>
      <c r="S734" s="2160"/>
      <c r="T734" s="2160"/>
      <c r="U734" s="2160"/>
      <c r="V734" s="2160"/>
      <c r="W734" s="2160"/>
      <c r="X734" s="359"/>
      <c r="AA734" s="359"/>
      <c r="AB734" s="362"/>
      <c r="AC734" s="359"/>
      <c r="AF734" s="359"/>
      <c r="AG734" s="362"/>
      <c r="AH734" s="359"/>
      <c r="AK734" s="359"/>
      <c r="AL734" s="362"/>
      <c r="AM734" s="359"/>
      <c r="AP734" s="359"/>
      <c r="AQ734" s="362"/>
      <c r="AR734" s="363"/>
      <c r="AS734" s="363"/>
      <c r="AT734" s="363"/>
      <c r="AU734" s="363"/>
      <c r="AV734" s="363"/>
      <c r="AW734" s="363"/>
      <c r="AX734" s="362"/>
      <c r="AY734" s="359"/>
      <c r="BB734" s="363"/>
      <c r="BC734" s="362"/>
      <c r="BD734" s="359"/>
      <c r="JW734" s="1750"/>
      <c r="KB734" s="1750"/>
      <c r="KG734" s="1750"/>
      <c r="KL734" s="1750"/>
      <c r="KM734" s="1750"/>
      <c r="KN734" s="1750"/>
      <c r="KO734" s="1750"/>
      <c r="KP734" s="1750"/>
      <c r="KQ734" s="1750"/>
      <c r="KR734" s="1750"/>
      <c r="KS734" s="1750"/>
      <c r="KT734" s="1750"/>
      <c r="KU734" s="1750"/>
      <c r="KV734" s="1750"/>
      <c r="KW734" s="1750"/>
      <c r="KX734" s="1750"/>
      <c r="KY734" s="1750"/>
      <c r="KZ734" s="1750"/>
      <c r="LA734" s="1750"/>
      <c r="LB734" s="1750"/>
      <c r="LC734" s="1750"/>
      <c r="LD734" s="1750"/>
      <c r="LE734" s="1750"/>
      <c r="LF734" s="1750"/>
      <c r="LG734" s="1750"/>
    </row>
    <row r="735" spans="1:319" ht="15" customHeight="1">
      <c r="A735" s="1891"/>
      <c r="B735" s="1891"/>
      <c r="C735" s="359"/>
      <c r="D735" s="359"/>
      <c r="E735" s="1505"/>
      <c r="F735" s="359"/>
      <c r="H735" s="1505" t="s">
        <v>3682</v>
      </c>
      <c r="I735" s="362"/>
      <c r="K735" s="2251">
        <f>BV687</f>
        <v>0</v>
      </c>
      <c r="L735" s="2251">
        <f>BW687</f>
        <v>0</v>
      </c>
      <c r="M735" s="2251">
        <f>BX687</f>
        <v>0</v>
      </c>
      <c r="N735" s="2251">
        <f>BY687</f>
        <v>0</v>
      </c>
      <c r="O735" s="2251">
        <f>BZ687</f>
        <v>0</v>
      </c>
      <c r="P735" s="2251">
        <f t="shared" si="362"/>
        <v>0</v>
      </c>
      <c r="S735" s="2160"/>
      <c r="T735" s="2160"/>
      <c r="U735" s="2160"/>
      <c r="V735" s="2160"/>
      <c r="W735" s="2160"/>
      <c r="X735" s="359"/>
      <c r="AA735" s="359"/>
      <c r="AB735" s="362"/>
      <c r="AC735" s="359"/>
      <c r="AF735" s="359"/>
      <c r="AG735" s="362"/>
      <c r="AH735" s="359"/>
      <c r="AK735" s="359"/>
      <c r="AL735" s="362"/>
      <c r="AM735" s="359"/>
      <c r="AP735" s="359"/>
      <c r="AQ735" s="362"/>
      <c r="AR735" s="363"/>
      <c r="AS735" s="363"/>
      <c r="AT735" s="363"/>
      <c r="AU735" s="363"/>
      <c r="AV735" s="363"/>
      <c r="AW735" s="363"/>
      <c r="AX735" s="362"/>
      <c r="AY735" s="359"/>
      <c r="BB735" s="363"/>
      <c r="BC735" s="362"/>
      <c r="BD735" s="359"/>
      <c r="JW735" s="1750"/>
      <c r="KB735" s="1750"/>
      <c r="KG735" s="1750"/>
      <c r="KL735" s="1750"/>
      <c r="KM735" s="1750"/>
      <c r="KN735" s="1750"/>
      <c r="KO735" s="1750"/>
      <c r="KP735" s="1750"/>
      <c r="KQ735" s="1750"/>
      <c r="KR735" s="1750"/>
      <c r="KS735" s="1750"/>
      <c r="KT735" s="1750"/>
      <c r="KU735" s="1750"/>
      <c r="KV735" s="1750"/>
      <c r="KW735" s="1750"/>
      <c r="KX735" s="1750"/>
      <c r="KY735" s="1750"/>
      <c r="KZ735" s="1750"/>
      <c r="LA735" s="1750"/>
      <c r="LB735" s="1750"/>
      <c r="LC735" s="1750"/>
      <c r="LD735" s="1750"/>
      <c r="LE735" s="1750"/>
      <c r="LF735" s="1750"/>
      <c r="LG735" s="1750"/>
    </row>
    <row r="736" spans="1:319" ht="15" customHeight="1">
      <c r="A736" s="2218"/>
      <c r="B736" s="2218"/>
      <c r="C736" s="359"/>
      <c r="D736" s="359"/>
      <c r="E736" s="1505"/>
      <c r="F736" s="359"/>
      <c r="H736" s="1505" t="s">
        <v>3683</v>
      </c>
      <c r="I736" s="362"/>
      <c r="K736" s="2251">
        <f>BQ687</f>
        <v>0</v>
      </c>
      <c r="L736" s="2251">
        <f>BR687</f>
        <v>4</v>
      </c>
      <c r="M736" s="2251">
        <f>BS687</f>
        <v>15</v>
      </c>
      <c r="N736" s="2251">
        <f>BT687</f>
        <v>12</v>
      </c>
      <c r="O736" s="2251">
        <f>BU687</f>
        <v>6</v>
      </c>
      <c r="P736" s="2251">
        <f t="shared" si="362"/>
        <v>37</v>
      </c>
      <c r="S736" s="2160"/>
      <c r="T736" s="2160"/>
      <c r="U736" s="2160"/>
      <c r="V736" s="2160"/>
      <c r="W736" s="2160"/>
      <c r="X736" s="359"/>
      <c r="AA736" s="359"/>
      <c r="AB736" s="362"/>
      <c r="AC736" s="359"/>
      <c r="AF736" s="359"/>
      <c r="AG736" s="362"/>
      <c r="AH736" s="359"/>
      <c r="AK736" s="359"/>
      <c r="AL736" s="362"/>
      <c r="AM736" s="359"/>
      <c r="AP736" s="359"/>
      <c r="AQ736" s="362"/>
      <c r="AR736" s="363"/>
      <c r="AS736" s="363"/>
      <c r="AT736" s="363"/>
      <c r="AU736" s="363"/>
      <c r="AV736" s="363"/>
      <c r="AW736" s="363"/>
      <c r="AX736" s="362"/>
      <c r="AY736" s="359"/>
      <c r="BB736" s="363"/>
      <c r="BC736" s="362"/>
      <c r="BD736" s="359"/>
      <c r="JW736" s="1750"/>
      <c r="KB736" s="1750"/>
      <c r="KG736" s="1750"/>
      <c r="KL736" s="1750"/>
      <c r="KM736" s="1750"/>
      <c r="KN736" s="1750"/>
      <c r="KO736" s="1750"/>
      <c r="KP736" s="1750"/>
      <c r="KQ736" s="1750"/>
      <c r="KR736" s="1750"/>
      <c r="KS736" s="1750"/>
      <c r="KT736" s="1750"/>
      <c r="KU736" s="1750"/>
      <c r="KV736" s="1750"/>
      <c r="KW736" s="1750"/>
      <c r="KX736" s="1750"/>
      <c r="KY736" s="1750"/>
      <c r="KZ736" s="1750"/>
      <c r="LA736" s="1750"/>
      <c r="LB736" s="1750"/>
      <c r="LC736" s="1750"/>
      <c r="LD736" s="1750"/>
      <c r="LE736" s="1750"/>
      <c r="LF736" s="1750"/>
      <c r="LG736" s="1750"/>
    </row>
    <row r="737" spans="1:319" ht="15" customHeight="1">
      <c r="A737" s="2218"/>
      <c r="B737" s="2218"/>
      <c r="D737" s="359"/>
      <c r="E737" s="1505"/>
      <c r="F737" s="359"/>
      <c r="H737" s="1505" t="s">
        <v>3684</v>
      </c>
      <c r="I737" s="362"/>
      <c r="K737" s="2264">
        <f>BL687</f>
        <v>0</v>
      </c>
      <c r="L737" s="2264">
        <f>BM687</f>
        <v>0</v>
      </c>
      <c r="M737" s="2264">
        <f>BN687</f>
        <v>0</v>
      </c>
      <c r="N737" s="2264">
        <f>BO687</f>
        <v>0</v>
      </c>
      <c r="O737" s="2264">
        <f>BP687</f>
        <v>0</v>
      </c>
      <c r="P737" s="2251">
        <f t="shared" si="362"/>
        <v>0</v>
      </c>
      <c r="S737" s="2160"/>
      <c r="T737" s="2160"/>
      <c r="U737" s="2160"/>
      <c r="V737" s="2160"/>
      <c r="W737" s="2160"/>
      <c r="X737" s="362"/>
      <c r="AA737" s="359"/>
      <c r="AB737" s="362"/>
      <c r="AC737" s="362"/>
      <c r="AF737" s="359"/>
      <c r="AG737" s="362"/>
      <c r="AH737" s="362"/>
      <c r="AK737" s="359"/>
      <c r="AL737" s="362"/>
      <c r="AM737" s="362"/>
      <c r="AP737" s="359"/>
      <c r="AQ737" s="362"/>
      <c r="AR737" s="363"/>
      <c r="AS737" s="363"/>
      <c r="AT737" s="363"/>
      <c r="AU737" s="363"/>
      <c r="AV737" s="363"/>
      <c r="AW737" s="363"/>
      <c r="AX737" s="362"/>
      <c r="AY737" s="359"/>
      <c r="BB737" s="363"/>
      <c r="BC737" s="362"/>
      <c r="BD737" s="359"/>
      <c r="JW737" s="1750"/>
      <c r="KB737" s="1750"/>
      <c r="KG737" s="1750"/>
      <c r="KL737" s="1750"/>
      <c r="KM737" s="1750"/>
      <c r="KN737" s="1750"/>
      <c r="KO737" s="1750"/>
      <c r="KP737" s="1750"/>
      <c r="KQ737" s="1750"/>
      <c r="KR737" s="1750"/>
      <c r="KS737" s="1750"/>
      <c r="KT737" s="1750"/>
      <c r="KU737" s="1750"/>
      <c r="KV737" s="1750"/>
      <c r="KW737" s="1750"/>
      <c r="KX737" s="1750"/>
      <c r="KY737" s="1750"/>
      <c r="KZ737" s="1750"/>
      <c r="LA737" s="1750"/>
      <c r="LB737" s="1750"/>
      <c r="LC737" s="1750"/>
      <c r="LD737" s="1750"/>
      <c r="LE737" s="1750"/>
      <c r="LF737" s="1750"/>
      <c r="LG737" s="1750"/>
    </row>
    <row r="738" spans="1:319" ht="15" customHeight="1">
      <c r="A738" s="2218"/>
      <c r="B738" s="2218"/>
      <c r="C738" s="359"/>
      <c r="D738" s="359"/>
      <c r="E738" s="1505"/>
      <c r="F738" s="359"/>
      <c r="H738" s="1505" t="s">
        <v>504</v>
      </c>
      <c r="I738" s="362"/>
      <c r="K738" s="2251">
        <f>SUM(K731:K737)</f>
        <v>0</v>
      </c>
      <c r="L738" s="2251">
        <f>SUM(L731:L737)</f>
        <v>9</v>
      </c>
      <c r="M738" s="2251">
        <f>SUM(M731:M737)</f>
        <v>37</v>
      </c>
      <c r="N738" s="2251">
        <f>SUM(N731:N737)</f>
        <v>39</v>
      </c>
      <c r="O738" s="2251">
        <f>SUM(O731:O737)</f>
        <v>19</v>
      </c>
      <c r="P738" s="2251">
        <f t="shared" si="362"/>
        <v>104</v>
      </c>
      <c r="S738" s="2160"/>
      <c r="T738" s="2160"/>
      <c r="U738" s="2160"/>
      <c r="V738" s="2160"/>
      <c r="W738" s="2160"/>
      <c r="X738" s="359"/>
      <c r="AA738" s="359"/>
      <c r="AB738" s="362"/>
      <c r="AC738" s="359"/>
      <c r="AF738" s="359"/>
      <c r="AG738" s="362"/>
      <c r="AH738" s="359"/>
      <c r="AK738" s="359"/>
      <c r="AL738" s="362"/>
      <c r="AM738" s="359"/>
      <c r="AP738" s="359"/>
      <c r="AQ738" s="362"/>
      <c r="AR738" s="363"/>
      <c r="AS738" s="363"/>
      <c r="AT738" s="363"/>
      <c r="AU738" s="363"/>
      <c r="AV738" s="363"/>
      <c r="AW738" s="363"/>
      <c r="AX738" s="362"/>
      <c r="AY738" s="359"/>
      <c r="BB738" s="363"/>
      <c r="BC738" s="362"/>
      <c r="BD738" s="359"/>
      <c r="JW738" s="1750"/>
      <c r="KB738" s="1750"/>
      <c r="KG738" s="1750"/>
      <c r="KL738" s="1750"/>
      <c r="KM738" s="1750"/>
      <c r="KN738" s="1750"/>
      <c r="KO738" s="1750"/>
      <c r="KP738" s="1750"/>
      <c r="KQ738" s="1750"/>
      <c r="KR738" s="1750"/>
      <c r="KS738" s="1750"/>
      <c r="KT738" s="1750"/>
      <c r="KU738" s="1750"/>
      <c r="KV738" s="1750"/>
      <c r="KW738" s="1750"/>
      <c r="KX738" s="1750"/>
      <c r="KY738" s="1750"/>
      <c r="KZ738" s="1750"/>
      <c r="LA738" s="1750"/>
      <c r="LB738" s="1750"/>
      <c r="LC738" s="1750"/>
      <c r="LD738" s="1750"/>
      <c r="LE738" s="1750"/>
      <c r="LF738" s="1750"/>
      <c r="LG738" s="1750"/>
    </row>
    <row r="739" spans="1:319" ht="9" customHeight="1">
      <c r="A739" s="2218"/>
      <c r="B739" s="2218"/>
      <c r="C739" s="359"/>
      <c r="D739" s="359"/>
      <c r="E739" s="359"/>
      <c r="F739" s="359"/>
      <c r="H739" s="1505"/>
      <c r="I739" s="362"/>
      <c r="K739" s="2263"/>
      <c r="L739" s="2263"/>
      <c r="M739" s="2263"/>
      <c r="N739" s="2263"/>
      <c r="O739" s="2263"/>
      <c r="P739" s="2263"/>
      <c r="U739" s="1883"/>
      <c r="X739" s="359"/>
      <c r="AA739" s="359"/>
      <c r="AB739" s="362"/>
      <c r="AC739" s="359"/>
      <c r="AF739" s="359"/>
      <c r="AG739" s="362"/>
      <c r="AH739" s="359"/>
      <c r="AK739" s="359"/>
      <c r="AL739" s="362"/>
      <c r="AM739" s="359"/>
      <c r="AP739" s="359"/>
      <c r="AQ739" s="362"/>
      <c r="AR739" s="359"/>
      <c r="AS739" s="359"/>
      <c r="AT739" s="359"/>
      <c r="AU739" s="359"/>
      <c r="AV739" s="359"/>
      <c r="AW739" s="359"/>
      <c r="AY739" s="359"/>
      <c r="BB739" s="359"/>
      <c r="BD739" s="359"/>
      <c r="JW739" s="1750"/>
      <c r="KB739" s="1750"/>
      <c r="KG739" s="1750"/>
      <c r="KL739" s="1750"/>
      <c r="KM739" s="1750"/>
      <c r="KN739" s="1750"/>
      <c r="KO739" s="1750"/>
      <c r="KP739" s="1750"/>
      <c r="KQ739" s="1750"/>
      <c r="KR739" s="1750"/>
      <c r="KS739" s="1750"/>
      <c r="KT739" s="1750"/>
      <c r="KU739" s="1750"/>
      <c r="KV739" s="1750"/>
      <c r="KW739" s="1750"/>
      <c r="KX739" s="1750"/>
      <c r="KY739" s="1750"/>
      <c r="KZ739" s="1750"/>
      <c r="LA739" s="1750"/>
      <c r="LB739" s="1750"/>
      <c r="LC739" s="1750"/>
      <c r="LD739" s="1750"/>
      <c r="LE739" s="1750"/>
      <c r="LF739" s="1750"/>
      <c r="LG739" s="1750"/>
    </row>
    <row r="740" spans="1:319" ht="14.45" customHeight="1">
      <c r="A740" s="357" t="s">
        <v>689</v>
      </c>
      <c r="B740" s="357" t="s">
        <v>6853</v>
      </c>
      <c r="H740" s="360"/>
      <c r="L740" s="2149">
        <f>$O$53</f>
        <v>0</v>
      </c>
      <c r="M740" s="2149"/>
      <c r="N740" s="2149"/>
      <c r="O740" s="2149"/>
      <c r="S740" s="359" t="str">
        <f>B740</f>
        <v>UNIT SUMMARY (Continued)</v>
      </c>
      <c r="T740" s="359"/>
      <c r="U740" s="359"/>
      <c r="V740" s="359"/>
      <c r="AY740" s="359"/>
      <c r="BD740" s="359"/>
      <c r="JW740" s="1750"/>
      <c r="KB740" s="1750"/>
      <c r="KG740" s="1750"/>
      <c r="KL740" s="1750"/>
      <c r="KM740" s="1750"/>
      <c r="KN740" s="1750"/>
      <c r="KO740" s="1750"/>
      <c r="KP740" s="1750"/>
      <c r="KQ740" s="1750"/>
      <c r="KR740" s="1750"/>
      <c r="KS740" s="1750"/>
      <c r="KT740" s="1750"/>
      <c r="KU740" s="1750"/>
      <c r="KV740" s="1750"/>
      <c r="KW740" s="1750"/>
      <c r="KX740" s="1750"/>
      <c r="KY740" s="1750"/>
      <c r="KZ740" s="1750"/>
      <c r="LA740" s="1750"/>
      <c r="LB740" s="1750"/>
      <c r="LC740" s="1750"/>
      <c r="LD740" s="1750"/>
      <c r="LE740" s="1750"/>
      <c r="LF740" s="1750"/>
      <c r="LG740" s="1750"/>
    </row>
    <row r="741" spans="1:319" ht="9" customHeight="1">
      <c r="H741" s="360"/>
      <c r="S741" s="2046" t="str">
        <f>C742</f>
        <v>PHA Operating Subsidy-Assisted</v>
      </c>
      <c r="U741" s="2224"/>
      <c r="AY741" s="359"/>
      <c r="BD741" s="359"/>
      <c r="JW741" s="1750"/>
      <c r="KB741" s="1750"/>
      <c r="KG741" s="1750"/>
      <c r="KL741" s="1750"/>
      <c r="KM741" s="1750"/>
      <c r="KN741" s="1750"/>
      <c r="KO741" s="1750"/>
      <c r="KP741" s="1750"/>
      <c r="KQ741" s="1750"/>
      <c r="KR741" s="1750"/>
      <c r="KS741" s="1750"/>
      <c r="KT741" s="1750"/>
      <c r="KU741" s="1750"/>
      <c r="KV741" s="1750"/>
      <c r="KW741" s="1750"/>
      <c r="KX741" s="1750"/>
      <c r="KY741" s="1750"/>
      <c r="KZ741" s="1750"/>
      <c r="LA741" s="1750"/>
      <c r="LB741" s="1750"/>
      <c r="LC741" s="1750"/>
      <c r="LD741" s="1750"/>
      <c r="LE741" s="1750"/>
      <c r="LF741" s="1750"/>
      <c r="LG741" s="1750"/>
    </row>
    <row r="742" spans="1:319" ht="15" customHeight="1">
      <c r="A742" s="2218"/>
      <c r="B742" s="2218"/>
      <c r="C742" s="2265" t="s">
        <v>832</v>
      </c>
      <c r="D742" s="2265"/>
      <c r="E742" s="2265"/>
      <c r="F742" s="359"/>
      <c r="H742" s="1505" t="s">
        <v>3680</v>
      </c>
      <c r="I742" s="362"/>
      <c r="K742" s="2264">
        <f>DY687</f>
        <v>0</v>
      </c>
      <c r="L742" s="2264">
        <f>DZ687</f>
        <v>0</v>
      </c>
      <c r="M742" s="2264">
        <f>EA687</f>
        <v>0</v>
      </c>
      <c r="N742" s="2264">
        <f>EB687</f>
        <v>0</v>
      </c>
      <c r="O742" s="2264">
        <f>EC687</f>
        <v>0</v>
      </c>
      <c r="P742" s="2251">
        <f t="shared" ref="P742:P749" si="363">SUM(K742:O742)</f>
        <v>0</v>
      </c>
      <c r="S742" s="2160"/>
      <c r="T742" s="2160"/>
      <c r="U742" s="2160"/>
      <c r="V742" s="2160"/>
      <c r="W742" s="2160"/>
      <c r="X742" s="359"/>
      <c r="AA742" s="359"/>
      <c r="AB742" s="362"/>
      <c r="AC742" s="359"/>
      <c r="AF742" s="359"/>
      <c r="AG742" s="362"/>
      <c r="AH742" s="359"/>
      <c r="AK742" s="359"/>
      <c r="AL742" s="362"/>
      <c r="AM742" s="359"/>
      <c r="AP742" s="359"/>
      <c r="AQ742" s="362"/>
      <c r="AR742" s="363"/>
      <c r="AS742" s="363"/>
      <c r="AT742" s="363"/>
      <c r="AU742" s="363"/>
      <c r="AV742" s="363"/>
      <c r="AW742" s="363"/>
      <c r="AX742" s="362"/>
      <c r="AY742" s="359"/>
      <c r="BB742" s="363"/>
      <c r="BC742" s="362"/>
      <c r="BD742" s="359"/>
      <c r="JW742" s="1750"/>
      <c r="KB742" s="1750"/>
      <c r="KG742" s="1750"/>
      <c r="KL742" s="1750"/>
      <c r="KM742" s="1750"/>
      <c r="KN742" s="1750"/>
      <c r="KO742" s="1750"/>
      <c r="KP742" s="1750"/>
      <c r="KQ742" s="1750"/>
      <c r="KR742" s="1750"/>
      <c r="KS742" s="1750"/>
      <c r="KT742" s="1750"/>
      <c r="KU742" s="1750"/>
      <c r="KV742" s="1750"/>
      <c r="KW742" s="1750"/>
      <c r="KX742" s="1750"/>
      <c r="KY742" s="1750"/>
      <c r="KZ742" s="1750"/>
      <c r="LA742" s="1750"/>
      <c r="LB742" s="1750"/>
      <c r="LC742" s="1750"/>
      <c r="LD742" s="1750"/>
      <c r="LE742" s="1750"/>
      <c r="LF742" s="1750"/>
      <c r="LG742" s="1750"/>
    </row>
    <row r="743" spans="1:319" ht="15" customHeight="1">
      <c r="A743" s="2218"/>
      <c r="B743" s="2218"/>
      <c r="C743" s="362" t="s">
        <v>2311</v>
      </c>
      <c r="D743" s="2265"/>
      <c r="E743" s="2265"/>
      <c r="F743" s="359"/>
      <c r="H743" s="1505" t="s">
        <v>3681</v>
      </c>
      <c r="I743" s="362"/>
      <c r="K743" s="2251">
        <f>DT687</f>
        <v>0</v>
      </c>
      <c r="L743" s="2251">
        <f>DU687</f>
        <v>0</v>
      </c>
      <c r="M743" s="2251">
        <f>DV687</f>
        <v>0</v>
      </c>
      <c r="N743" s="2251">
        <f>DW687</f>
        <v>0</v>
      </c>
      <c r="O743" s="2251">
        <f>DX687</f>
        <v>0</v>
      </c>
      <c r="P743" s="2251">
        <f t="shared" si="363"/>
        <v>0</v>
      </c>
      <c r="S743" s="2160"/>
      <c r="T743" s="2160"/>
      <c r="U743" s="2160"/>
      <c r="V743" s="2160"/>
      <c r="W743" s="2160"/>
      <c r="X743" s="359"/>
      <c r="AA743" s="359"/>
      <c r="AB743" s="362"/>
      <c r="AC743" s="359"/>
      <c r="AF743" s="359"/>
      <c r="AG743" s="362"/>
      <c r="AH743" s="359"/>
      <c r="AK743" s="359"/>
      <c r="AL743" s="362"/>
      <c r="AM743" s="359"/>
      <c r="AP743" s="359"/>
      <c r="AQ743" s="362"/>
      <c r="AR743" s="363"/>
      <c r="AS743" s="363"/>
      <c r="AT743" s="363"/>
      <c r="AU743" s="363"/>
      <c r="AV743" s="363"/>
      <c r="AW743" s="363"/>
      <c r="AX743" s="362"/>
      <c r="AY743" s="359"/>
      <c r="BB743" s="363"/>
      <c r="BC743" s="362"/>
      <c r="BD743" s="359"/>
      <c r="JW743" s="1750"/>
      <c r="KB743" s="1750"/>
      <c r="KG743" s="1750"/>
      <c r="KL743" s="1750"/>
      <c r="KM743" s="1750"/>
      <c r="KN743" s="1750"/>
      <c r="KO743" s="1750"/>
      <c r="KP743" s="1750"/>
      <c r="KQ743" s="1750"/>
      <c r="KR743" s="1750"/>
      <c r="KS743" s="1750"/>
      <c r="KT743" s="1750"/>
      <c r="KU743" s="1750"/>
      <c r="KV743" s="1750"/>
      <c r="KW743" s="1750"/>
      <c r="KX743" s="1750"/>
      <c r="KY743" s="1750"/>
      <c r="KZ743" s="1750"/>
      <c r="LA743" s="1750"/>
      <c r="LB743" s="1750"/>
      <c r="LC743" s="1750"/>
      <c r="LD743" s="1750"/>
      <c r="LE743" s="1750"/>
      <c r="LF743" s="1750"/>
      <c r="LG743" s="1750"/>
    </row>
    <row r="744" spans="1:319" ht="15" customHeight="1">
      <c r="A744" s="2218"/>
      <c r="B744" s="2218"/>
      <c r="C744" s="2265"/>
      <c r="D744" s="2265"/>
      <c r="E744" s="2265"/>
      <c r="F744" s="359"/>
      <c r="H744" s="1505" t="s">
        <v>1082</v>
      </c>
      <c r="I744" s="362"/>
      <c r="K744" s="2251">
        <f>DO687</f>
        <v>0</v>
      </c>
      <c r="L744" s="2251">
        <f>DP687</f>
        <v>0</v>
      </c>
      <c r="M744" s="2251">
        <f>DQ687</f>
        <v>0</v>
      </c>
      <c r="N744" s="2251">
        <f>DR687</f>
        <v>0</v>
      </c>
      <c r="O744" s="2251">
        <f>DS687</f>
        <v>0</v>
      </c>
      <c r="P744" s="2251">
        <f t="shared" si="363"/>
        <v>0</v>
      </c>
      <c r="S744" s="2160"/>
      <c r="T744" s="2160"/>
      <c r="U744" s="2160"/>
      <c r="V744" s="2160"/>
      <c r="W744" s="2160"/>
      <c r="X744" s="359"/>
      <c r="AA744" s="359"/>
      <c r="AB744" s="362"/>
      <c r="AC744" s="359"/>
      <c r="AF744" s="359"/>
      <c r="AG744" s="362"/>
      <c r="AH744" s="359"/>
      <c r="AK744" s="359"/>
      <c r="AL744" s="362"/>
      <c r="AM744" s="359"/>
      <c r="AP744" s="359"/>
      <c r="AQ744" s="362"/>
      <c r="AR744" s="363"/>
      <c r="AS744" s="363"/>
      <c r="AT744" s="363"/>
      <c r="AU744" s="363"/>
      <c r="AV744" s="363"/>
      <c r="AW744" s="363"/>
      <c r="AX744" s="362"/>
      <c r="AY744" s="359"/>
      <c r="BB744" s="363"/>
      <c r="BC744" s="362"/>
      <c r="BD744" s="359"/>
      <c r="JW744" s="1750"/>
      <c r="KB744" s="1750"/>
      <c r="KG744" s="1750"/>
      <c r="KL744" s="1750"/>
      <c r="KM744" s="1750"/>
      <c r="KN744" s="1750"/>
      <c r="KO744" s="1750"/>
      <c r="KP744" s="1750"/>
      <c r="KQ744" s="1750"/>
      <c r="KR744" s="1750"/>
      <c r="KS744" s="1750"/>
      <c r="KT744" s="1750"/>
      <c r="KU744" s="1750"/>
      <c r="KV744" s="1750"/>
      <c r="KW744" s="1750"/>
      <c r="KX744" s="1750"/>
      <c r="KY744" s="1750"/>
      <c r="KZ744" s="1750"/>
      <c r="LA744" s="1750"/>
      <c r="LB744" s="1750"/>
      <c r="LC744" s="1750"/>
      <c r="LD744" s="1750"/>
      <c r="LE744" s="1750"/>
      <c r="LF744" s="1750"/>
      <c r="LG744" s="1750"/>
    </row>
    <row r="745" spans="1:319" ht="15" customHeight="1">
      <c r="A745" s="2218"/>
      <c r="B745" s="2218"/>
      <c r="C745" s="2265"/>
      <c r="D745" s="2265"/>
      <c r="E745" s="2265"/>
      <c r="F745" s="359"/>
      <c r="H745" s="1505" t="s">
        <v>112</v>
      </c>
      <c r="I745" s="362"/>
      <c r="K745" s="2251">
        <f>DJ687</f>
        <v>0</v>
      </c>
      <c r="L745" s="2251">
        <f>DK687</f>
        <v>0</v>
      </c>
      <c r="M745" s="2251">
        <f>DL687</f>
        <v>0</v>
      </c>
      <c r="N745" s="2251">
        <f>DM687</f>
        <v>0</v>
      </c>
      <c r="O745" s="2251">
        <f>DN687</f>
        <v>0</v>
      </c>
      <c r="P745" s="2251">
        <f t="shared" si="363"/>
        <v>0</v>
      </c>
      <c r="S745" s="2160"/>
      <c r="T745" s="2160"/>
      <c r="U745" s="2160"/>
      <c r="V745" s="2160"/>
      <c r="W745" s="2160"/>
      <c r="X745" s="359"/>
      <c r="AA745" s="359"/>
      <c r="AB745" s="362"/>
      <c r="AC745" s="359"/>
      <c r="AF745" s="359"/>
      <c r="AG745" s="362"/>
      <c r="AH745" s="359"/>
      <c r="AK745" s="359"/>
      <c r="AL745" s="362"/>
      <c r="AM745" s="359"/>
      <c r="AP745" s="359"/>
      <c r="AQ745" s="362"/>
      <c r="AR745" s="363"/>
      <c r="AS745" s="363"/>
      <c r="AT745" s="363"/>
      <c r="AU745" s="363"/>
      <c r="AV745" s="363"/>
      <c r="AW745" s="363"/>
      <c r="AX745" s="362"/>
      <c r="AY745" s="359"/>
      <c r="BB745" s="363"/>
      <c r="BC745" s="362"/>
      <c r="BD745" s="359"/>
      <c r="JW745" s="1750"/>
      <c r="KB745" s="1750"/>
      <c r="KG745" s="1750"/>
      <c r="KL745" s="1750"/>
      <c r="KM745" s="1750"/>
      <c r="KN745" s="1750"/>
      <c r="KO745" s="1750"/>
      <c r="KP745" s="1750"/>
      <c r="KQ745" s="1750"/>
      <c r="KR745" s="1750"/>
      <c r="KS745" s="1750"/>
      <c r="KT745" s="1750"/>
      <c r="KU745" s="1750"/>
      <c r="KV745" s="1750"/>
      <c r="KW745" s="1750"/>
      <c r="KX745" s="1750"/>
      <c r="KY745" s="1750"/>
      <c r="KZ745" s="1750"/>
      <c r="LA745" s="1750"/>
      <c r="LB745" s="1750"/>
      <c r="LC745" s="1750"/>
      <c r="LD745" s="1750"/>
      <c r="LE745" s="1750"/>
      <c r="LF745" s="1750"/>
      <c r="LG745" s="1750"/>
    </row>
    <row r="746" spans="1:319" ht="15" customHeight="1">
      <c r="A746" s="2218"/>
      <c r="B746" s="2218"/>
      <c r="C746" s="2265"/>
      <c r="D746" s="2265"/>
      <c r="E746" s="2265"/>
      <c r="F746" s="359"/>
      <c r="H746" s="1505" t="s">
        <v>3682</v>
      </c>
      <c r="I746" s="362"/>
      <c r="K746" s="2251">
        <f>DE687</f>
        <v>0</v>
      </c>
      <c r="L746" s="2251">
        <f>DF687</f>
        <v>0</v>
      </c>
      <c r="M746" s="2251">
        <f>DG687</f>
        <v>0</v>
      </c>
      <c r="N746" s="2251">
        <f>DH687</f>
        <v>0</v>
      </c>
      <c r="O746" s="2251">
        <f>DI687</f>
        <v>0</v>
      </c>
      <c r="P746" s="2251">
        <f t="shared" si="363"/>
        <v>0</v>
      </c>
      <c r="S746" s="2160"/>
      <c r="T746" s="2160"/>
      <c r="U746" s="2160"/>
      <c r="V746" s="2160"/>
      <c r="W746" s="2160"/>
      <c r="X746" s="359"/>
      <c r="AA746" s="359"/>
      <c r="AB746" s="362"/>
      <c r="AC746" s="359"/>
      <c r="AF746" s="359"/>
      <c r="AG746" s="362"/>
      <c r="AH746" s="359"/>
      <c r="AK746" s="359"/>
      <c r="AL746" s="362"/>
      <c r="AM746" s="359"/>
      <c r="AP746" s="359"/>
      <c r="AQ746" s="362"/>
      <c r="AR746" s="363"/>
      <c r="AS746" s="363"/>
      <c r="AT746" s="363"/>
      <c r="AU746" s="363"/>
      <c r="AV746" s="363"/>
      <c r="AW746" s="363"/>
      <c r="AX746" s="362"/>
      <c r="AY746" s="359"/>
      <c r="BB746" s="363"/>
      <c r="BC746" s="362"/>
      <c r="BD746" s="359"/>
      <c r="JW746" s="1750"/>
      <c r="KB746" s="1750"/>
      <c r="KG746" s="1750"/>
      <c r="KL746" s="1750"/>
      <c r="KM746" s="1750"/>
      <c r="KN746" s="1750"/>
      <c r="KO746" s="1750"/>
      <c r="KP746" s="1750"/>
      <c r="KQ746" s="1750"/>
      <c r="KR746" s="1750"/>
      <c r="KS746" s="1750"/>
      <c r="KT746" s="1750"/>
      <c r="KU746" s="1750"/>
      <c r="KV746" s="1750"/>
      <c r="KW746" s="1750"/>
      <c r="KX746" s="1750"/>
      <c r="KY746" s="1750"/>
      <c r="KZ746" s="1750"/>
      <c r="LA746" s="1750"/>
      <c r="LB746" s="1750"/>
      <c r="LC746" s="1750"/>
      <c r="LD746" s="1750"/>
      <c r="LE746" s="1750"/>
      <c r="LF746" s="1750"/>
      <c r="LG746" s="1750"/>
    </row>
    <row r="747" spans="1:319" ht="15" customHeight="1">
      <c r="A747" s="2218"/>
      <c r="B747" s="2218"/>
      <c r="C747" s="2265"/>
      <c r="D747" s="2265"/>
      <c r="E747" s="2265"/>
      <c r="F747" s="359"/>
      <c r="H747" s="1505" t="s">
        <v>3683</v>
      </c>
      <c r="I747" s="362"/>
      <c r="K747" s="2251">
        <f>CZ687</f>
        <v>0</v>
      </c>
      <c r="L747" s="2251">
        <f>DA687</f>
        <v>0</v>
      </c>
      <c r="M747" s="2251">
        <f>DB687</f>
        <v>0</v>
      </c>
      <c r="N747" s="2251">
        <f>DC687</f>
        <v>0</v>
      </c>
      <c r="O747" s="2251">
        <f>DD687</f>
        <v>0</v>
      </c>
      <c r="P747" s="2251">
        <f t="shared" si="363"/>
        <v>0</v>
      </c>
      <c r="S747" s="2160"/>
      <c r="T747" s="2160"/>
      <c r="U747" s="2160"/>
      <c r="V747" s="2160"/>
      <c r="W747" s="2160"/>
      <c r="X747" s="359"/>
      <c r="AA747" s="359"/>
      <c r="AB747" s="362"/>
      <c r="AC747" s="359"/>
      <c r="AF747" s="359"/>
      <c r="AG747" s="362"/>
      <c r="AH747" s="359"/>
      <c r="AK747" s="359"/>
      <c r="AL747" s="362"/>
      <c r="AM747" s="359"/>
      <c r="AP747" s="359"/>
      <c r="AQ747" s="362"/>
      <c r="AR747" s="363"/>
      <c r="AS747" s="363"/>
      <c r="AT747" s="363"/>
      <c r="AU747" s="363"/>
      <c r="AV747" s="363"/>
      <c r="AW747" s="363"/>
      <c r="AX747" s="362"/>
      <c r="AY747" s="359"/>
      <c r="BB747" s="363"/>
      <c r="BC747" s="362"/>
      <c r="BD747" s="359"/>
      <c r="JW747" s="1750"/>
      <c r="KB747" s="1750"/>
      <c r="KG747" s="1750"/>
      <c r="KL747" s="1750"/>
      <c r="KM747" s="1750"/>
      <c r="KN747" s="1750"/>
      <c r="KO747" s="1750"/>
      <c r="KP747" s="1750"/>
      <c r="KQ747" s="1750"/>
      <c r="KR747" s="1750"/>
      <c r="KS747" s="1750"/>
      <c r="KT747" s="1750"/>
      <c r="KU747" s="1750"/>
      <c r="KV747" s="1750"/>
      <c r="KW747" s="1750"/>
      <c r="KX747" s="1750"/>
      <c r="KY747" s="1750"/>
      <c r="KZ747" s="1750"/>
      <c r="LA747" s="1750"/>
      <c r="LB747" s="1750"/>
      <c r="LC747" s="1750"/>
      <c r="LD747" s="1750"/>
      <c r="LE747" s="1750"/>
      <c r="LF747" s="1750"/>
      <c r="LG747" s="1750"/>
    </row>
    <row r="748" spans="1:319" ht="15" customHeight="1">
      <c r="A748" s="2218"/>
      <c r="B748" s="2218"/>
      <c r="C748" s="2265"/>
      <c r="D748" s="2265"/>
      <c r="E748" s="2265"/>
      <c r="F748" s="359"/>
      <c r="H748" s="1505" t="s">
        <v>3684</v>
      </c>
      <c r="I748" s="362"/>
      <c r="K748" s="2264">
        <f>CU687</f>
        <v>0</v>
      </c>
      <c r="L748" s="2264">
        <f>CV687</f>
        <v>0</v>
      </c>
      <c r="M748" s="2264">
        <f>CW687</f>
        <v>0</v>
      </c>
      <c r="N748" s="2264">
        <f>CX687</f>
        <v>0</v>
      </c>
      <c r="O748" s="2264">
        <f>CY687</f>
        <v>0</v>
      </c>
      <c r="P748" s="2251">
        <f t="shared" si="363"/>
        <v>0</v>
      </c>
      <c r="S748" s="2160"/>
      <c r="T748" s="2160"/>
      <c r="U748" s="2160"/>
      <c r="V748" s="2160"/>
      <c r="W748" s="2160"/>
      <c r="X748" s="362"/>
      <c r="AA748" s="359"/>
      <c r="AB748" s="362"/>
      <c r="AC748" s="362"/>
      <c r="AF748" s="359"/>
      <c r="AG748" s="362"/>
      <c r="AH748" s="362"/>
      <c r="AK748" s="359"/>
      <c r="AL748" s="362"/>
      <c r="AM748" s="362"/>
      <c r="AP748" s="359"/>
      <c r="AQ748" s="362"/>
      <c r="AR748" s="363"/>
      <c r="AS748" s="363"/>
      <c r="AT748" s="363"/>
      <c r="AU748" s="363"/>
      <c r="AV748" s="363"/>
      <c r="AW748" s="363"/>
      <c r="AX748" s="362"/>
      <c r="AY748" s="359"/>
      <c r="BB748" s="363"/>
      <c r="BC748" s="362"/>
      <c r="BD748" s="359"/>
      <c r="JW748" s="1750"/>
      <c r="KB748" s="1750"/>
      <c r="KG748" s="1750"/>
      <c r="KL748" s="1750"/>
      <c r="KM748" s="1750"/>
      <c r="KN748" s="1750"/>
      <c r="KO748" s="1750"/>
      <c r="KP748" s="1750"/>
      <c r="KQ748" s="1750"/>
      <c r="KR748" s="1750"/>
      <c r="KS748" s="1750"/>
      <c r="KT748" s="1750"/>
      <c r="KU748" s="1750"/>
      <c r="KV748" s="1750"/>
      <c r="KW748" s="1750"/>
      <c r="KX748" s="1750"/>
      <c r="KY748" s="1750"/>
      <c r="KZ748" s="1750"/>
      <c r="LA748" s="1750"/>
      <c r="LB748" s="1750"/>
      <c r="LC748" s="1750"/>
      <c r="LD748" s="1750"/>
      <c r="LE748" s="1750"/>
      <c r="LF748" s="1750"/>
      <c r="LG748" s="1750"/>
    </row>
    <row r="749" spans="1:319" ht="15" customHeight="1">
      <c r="A749" s="2218"/>
      <c r="B749" s="2218"/>
      <c r="D749" s="359"/>
      <c r="E749" s="1505"/>
      <c r="F749" s="359"/>
      <c r="H749" s="1505" t="s">
        <v>504</v>
      </c>
      <c r="I749" s="362"/>
      <c r="K749" s="2251">
        <f>SUM(K742:K748)</f>
        <v>0</v>
      </c>
      <c r="L749" s="2251">
        <f>SUM(L742:L748)</f>
        <v>0</v>
      </c>
      <c r="M749" s="2251">
        <f>SUM(M742:M748)</f>
        <v>0</v>
      </c>
      <c r="N749" s="2251">
        <f>SUM(N742:N748)</f>
        <v>0</v>
      </c>
      <c r="O749" s="2251">
        <f>SUM(O742:O748)</f>
        <v>0</v>
      </c>
      <c r="P749" s="2251">
        <f t="shared" si="363"/>
        <v>0</v>
      </c>
      <c r="S749" s="2160"/>
      <c r="T749" s="2160"/>
      <c r="U749" s="2160"/>
      <c r="V749" s="2160"/>
      <c r="W749" s="2160"/>
      <c r="X749" s="359"/>
      <c r="AA749" s="359"/>
      <c r="AB749" s="362"/>
      <c r="AC749" s="359"/>
      <c r="AF749" s="359"/>
      <c r="AG749" s="362"/>
      <c r="AH749" s="359"/>
      <c r="AK749" s="359"/>
      <c r="AL749" s="362"/>
      <c r="AM749" s="359"/>
      <c r="AP749" s="359"/>
      <c r="AQ749" s="362"/>
      <c r="AR749" s="363"/>
      <c r="AS749" s="363"/>
      <c r="AT749" s="363"/>
      <c r="AU749" s="363"/>
      <c r="AV749" s="363"/>
      <c r="AW749" s="363"/>
      <c r="AX749" s="362"/>
      <c r="AY749" s="359"/>
      <c r="BB749" s="363"/>
      <c r="BC749" s="362"/>
      <c r="BD749" s="359"/>
      <c r="JW749" s="1750"/>
      <c r="KB749" s="1750"/>
      <c r="KG749" s="1750"/>
      <c r="KL749" s="1750"/>
      <c r="KM749" s="1750"/>
      <c r="KN749" s="1750"/>
      <c r="KO749" s="1750"/>
      <c r="KP749" s="1750"/>
      <c r="KQ749" s="1750"/>
      <c r="KR749" s="1750"/>
      <c r="KS749" s="1750"/>
      <c r="KT749" s="1750"/>
      <c r="KU749" s="1750"/>
      <c r="KV749" s="1750"/>
      <c r="KW749" s="1750"/>
      <c r="KX749" s="1750"/>
      <c r="KY749" s="1750"/>
      <c r="KZ749" s="1750"/>
      <c r="LA749" s="1750"/>
      <c r="LB749" s="1750"/>
      <c r="LC749" s="1750"/>
      <c r="LD749" s="1750"/>
      <c r="LE749" s="1750"/>
      <c r="LF749" s="1750"/>
      <c r="LG749" s="1750"/>
    </row>
    <row r="750" spans="1:319" ht="9" customHeight="1">
      <c r="A750" s="2218"/>
      <c r="B750" s="2218"/>
      <c r="D750" s="2025"/>
      <c r="E750" s="1505"/>
      <c r="F750" s="359"/>
      <c r="H750" s="1505"/>
      <c r="I750" s="362"/>
      <c r="K750" s="2263"/>
      <c r="L750" s="2263"/>
      <c r="M750" s="2263"/>
      <c r="N750" s="2263"/>
      <c r="O750" s="2263"/>
      <c r="P750" s="2263"/>
      <c r="S750" s="2046" t="str">
        <f>C751</f>
        <v>Type of Construction Activity</v>
      </c>
      <c r="U750" s="1883"/>
      <c r="X750" s="359"/>
      <c r="AA750" s="359"/>
      <c r="AB750" s="362"/>
      <c r="AC750" s="359"/>
      <c r="AF750" s="359"/>
      <c r="AG750" s="362"/>
      <c r="AH750" s="359"/>
      <c r="AK750" s="359"/>
      <c r="AL750" s="362"/>
      <c r="AM750" s="359"/>
      <c r="AP750" s="359"/>
      <c r="AQ750" s="362"/>
      <c r="AR750" s="359"/>
      <c r="AS750" s="359"/>
      <c r="AT750" s="359"/>
      <c r="AU750" s="359"/>
      <c r="AV750" s="359"/>
      <c r="AW750" s="359"/>
      <c r="AY750" s="359"/>
      <c r="BB750" s="359"/>
      <c r="BD750" s="359"/>
      <c r="JW750" s="1750"/>
      <c r="KB750" s="1750"/>
      <c r="KG750" s="1750"/>
      <c r="KL750" s="1750"/>
      <c r="KM750" s="1750"/>
      <c r="KN750" s="1750"/>
      <c r="KO750" s="1750"/>
      <c r="KP750" s="1750"/>
      <c r="KQ750" s="1750"/>
      <c r="KR750" s="1750"/>
      <c r="KS750" s="1750"/>
      <c r="KT750" s="1750"/>
      <c r="KU750" s="1750"/>
      <c r="KV750" s="1750"/>
      <c r="KW750" s="1750"/>
      <c r="KX750" s="1750"/>
      <c r="KY750" s="1750"/>
      <c r="KZ750" s="1750"/>
      <c r="LA750" s="1750"/>
      <c r="LB750" s="1750"/>
      <c r="LC750" s="1750"/>
      <c r="LD750" s="1750"/>
      <c r="LE750" s="1750"/>
      <c r="LF750" s="1750"/>
      <c r="LG750" s="1750"/>
    </row>
    <row r="751" spans="1:319" ht="14.25" customHeight="1">
      <c r="A751" s="2218"/>
      <c r="B751" s="2218"/>
      <c r="C751" s="2258" t="s">
        <v>35</v>
      </c>
      <c r="D751" s="2258"/>
      <c r="E751" s="1505" t="s">
        <v>2121</v>
      </c>
      <c r="F751" s="359"/>
      <c r="H751" s="1505" t="s">
        <v>1344</v>
      </c>
      <c r="I751" s="362"/>
      <c r="K751" s="2251">
        <f>GG687</f>
        <v>0</v>
      </c>
      <c r="L751" s="2251">
        <f>GH687</f>
        <v>15</v>
      </c>
      <c r="M751" s="2251">
        <f>GI687</f>
        <v>39</v>
      </c>
      <c r="N751" s="2251">
        <f>GJ687</f>
        <v>45</v>
      </c>
      <c r="O751" s="2251">
        <f>GK687</f>
        <v>21</v>
      </c>
      <c r="P751" s="2251">
        <f t="shared" ref="P751:P761" si="364">SUM(K751:O751)</f>
        <v>120</v>
      </c>
      <c r="S751" s="2160"/>
      <c r="T751" s="2160"/>
      <c r="U751" s="2160"/>
      <c r="V751" s="2160"/>
      <c r="W751" s="2160"/>
      <c r="X751" s="359"/>
      <c r="AA751" s="359"/>
      <c r="AB751" s="362"/>
      <c r="AC751" s="359"/>
      <c r="AF751" s="359"/>
      <c r="AG751" s="362"/>
      <c r="AH751" s="359"/>
      <c r="AK751" s="359"/>
      <c r="AL751" s="362"/>
      <c r="AM751" s="359"/>
      <c r="AP751" s="359"/>
      <c r="AQ751" s="362"/>
      <c r="AR751" s="363"/>
      <c r="AS751" s="363"/>
      <c r="AT751" s="363"/>
      <c r="AU751" s="363"/>
      <c r="AV751" s="363"/>
      <c r="AW751" s="363"/>
      <c r="BB751" s="363"/>
    </row>
    <row r="752" spans="1:319" ht="14.25" customHeight="1">
      <c r="A752" s="2218"/>
      <c r="B752" s="2218"/>
      <c r="C752" s="2258"/>
      <c r="D752" s="2258"/>
      <c r="E752" s="1505"/>
      <c r="F752" s="359"/>
      <c r="H752" s="1505" t="s">
        <v>290</v>
      </c>
      <c r="I752" s="362"/>
      <c r="K752" s="2251">
        <f>GL687</f>
        <v>0</v>
      </c>
      <c r="L752" s="2251">
        <f>GM687</f>
        <v>0</v>
      </c>
      <c r="M752" s="2251">
        <f>GN687</f>
        <v>0</v>
      </c>
      <c r="N752" s="2251">
        <f>GO687</f>
        <v>0</v>
      </c>
      <c r="O752" s="2251">
        <f>GP687</f>
        <v>0</v>
      </c>
      <c r="P752" s="2251">
        <f t="shared" si="364"/>
        <v>0</v>
      </c>
      <c r="S752" s="2160"/>
      <c r="T752" s="2160"/>
      <c r="U752" s="2160"/>
      <c r="V752" s="2160"/>
      <c r="W752" s="2160"/>
      <c r="X752" s="359"/>
      <c r="AA752" s="359"/>
      <c r="AB752" s="362"/>
      <c r="AC752" s="359"/>
      <c r="AF752" s="359"/>
      <c r="AG752" s="362"/>
      <c r="AH752" s="359"/>
      <c r="AK752" s="359"/>
      <c r="AL752" s="362"/>
      <c r="AM752" s="359"/>
      <c r="AP752" s="359"/>
      <c r="AQ752" s="362"/>
      <c r="AR752" s="363"/>
      <c r="AS752" s="363"/>
      <c r="AT752" s="363"/>
      <c r="AU752" s="363"/>
      <c r="AV752" s="363"/>
      <c r="AW752" s="363"/>
      <c r="AX752" s="807"/>
      <c r="AY752" s="359"/>
      <c r="BB752" s="363"/>
      <c r="BC752" s="807"/>
      <c r="BD752" s="359"/>
      <c r="JW752" s="1750"/>
      <c r="KB752" s="1750"/>
      <c r="KG752" s="1750"/>
      <c r="KL752" s="1750"/>
      <c r="KM752" s="1750"/>
      <c r="KN752" s="1750"/>
      <c r="KO752" s="1750"/>
      <c r="KP752" s="1750"/>
      <c r="KQ752" s="1750"/>
      <c r="KR752" s="1750"/>
      <c r="KS752" s="1750"/>
      <c r="KT752" s="1750"/>
      <c r="KU752" s="1750"/>
      <c r="KV752" s="1750"/>
      <c r="KW752" s="1750"/>
      <c r="KX752" s="1750"/>
      <c r="KY752" s="1750"/>
      <c r="KZ752" s="1750"/>
      <c r="LA752" s="1750"/>
      <c r="LB752" s="1750"/>
      <c r="LC752" s="1750"/>
      <c r="LD752" s="1750"/>
      <c r="LE752" s="1750"/>
      <c r="LF752" s="1750"/>
      <c r="LG752" s="1750"/>
    </row>
    <row r="753" spans="1:319" ht="14.25" customHeight="1">
      <c r="A753" s="2218"/>
      <c r="B753" s="2218"/>
      <c r="C753" s="2258"/>
      <c r="D753" s="2258"/>
      <c r="E753" s="1505"/>
      <c r="F753" s="359"/>
      <c r="H753" s="1505" t="s">
        <v>29</v>
      </c>
      <c r="I753" s="362"/>
      <c r="K753" s="2251">
        <f>SUM(K751:K752)+GQ687</f>
        <v>0</v>
      </c>
      <c r="L753" s="2251">
        <f>SUM(L751:L752)+GR687</f>
        <v>15</v>
      </c>
      <c r="M753" s="2251">
        <f>SUM(M751:M752)+GS687</f>
        <v>39</v>
      </c>
      <c r="N753" s="2251">
        <f>SUM(N751:N752)+GT687</f>
        <v>45</v>
      </c>
      <c r="O753" s="2251">
        <f>SUM(O751:O752)+GU687</f>
        <v>21</v>
      </c>
      <c r="P753" s="2251">
        <f t="shared" si="364"/>
        <v>120</v>
      </c>
      <c r="S753" s="2160"/>
      <c r="T753" s="2160"/>
      <c r="U753" s="2160"/>
      <c r="V753" s="2160"/>
      <c r="W753" s="2160"/>
      <c r="X753" s="359"/>
      <c r="AA753" s="359"/>
      <c r="AB753" s="362"/>
      <c r="AC753" s="359"/>
      <c r="AF753" s="359"/>
      <c r="AG753" s="362"/>
      <c r="AH753" s="359"/>
      <c r="AK753" s="359"/>
      <c r="AL753" s="362"/>
      <c r="AM753" s="359"/>
      <c r="AP753" s="359"/>
      <c r="AQ753" s="362"/>
      <c r="AR753" s="363"/>
      <c r="AS753" s="363"/>
      <c r="AT753" s="363"/>
      <c r="AU753" s="363"/>
      <c r="AV753" s="363"/>
      <c r="AW753" s="363"/>
      <c r="AX753" s="362"/>
      <c r="AY753" s="359"/>
      <c r="BB753" s="363"/>
      <c r="BC753" s="362"/>
      <c r="BD753" s="359"/>
      <c r="JW753" s="1750"/>
      <c r="KB753" s="1750"/>
      <c r="KG753" s="1750"/>
      <c r="KL753" s="1750"/>
      <c r="KM753" s="1750"/>
      <c r="KN753" s="1750"/>
      <c r="KO753" s="1750"/>
      <c r="KP753" s="1750"/>
      <c r="KQ753" s="1750"/>
      <c r="KR753" s="1750"/>
      <c r="KS753" s="1750"/>
      <c r="KT753" s="1750"/>
      <c r="KU753" s="1750"/>
      <c r="KV753" s="1750"/>
      <c r="KW753" s="1750"/>
      <c r="KX753" s="1750"/>
      <c r="KY753" s="1750"/>
      <c r="KZ753" s="1750"/>
      <c r="LA753" s="1750"/>
      <c r="LB753" s="1750"/>
      <c r="LC753" s="1750"/>
      <c r="LD753" s="1750"/>
      <c r="LE753" s="1750"/>
      <c r="LF753" s="1750"/>
      <c r="LG753" s="1750"/>
    </row>
    <row r="754" spans="1:319" ht="14.25" customHeight="1">
      <c r="A754" s="2218"/>
      <c r="B754" s="2218"/>
      <c r="C754" s="2258"/>
      <c r="D754" s="2258"/>
      <c r="E754" s="1505" t="s">
        <v>1984</v>
      </c>
      <c r="F754" s="359"/>
      <c r="H754" s="1505" t="s">
        <v>1344</v>
      </c>
      <c r="I754" s="362"/>
      <c r="K754" s="2251">
        <f>GV687</f>
        <v>0</v>
      </c>
      <c r="L754" s="2251">
        <f>GW687</f>
        <v>0</v>
      </c>
      <c r="M754" s="2251">
        <f>GX687</f>
        <v>0</v>
      </c>
      <c r="N754" s="2251">
        <f>GY687</f>
        <v>0</v>
      </c>
      <c r="O754" s="2251">
        <f>GZ687</f>
        <v>0</v>
      </c>
      <c r="P754" s="2251">
        <f t="shared" si="364"/>
        <v>0</v>
      </c>
      <c r="S754" s="2160"/>
      <c r="T754" s="2160"/>
      <c r="U754" s="2160"/>
      <c r="V754" s="2160"/>
      <c r="W754" s="2160"/>
      <c r="X754" s="359"/>
      <c r="AA754" s="359"/>
      <c r="AB754" s="362"/>
      <c r="AC754" s="359"/>
      <c r="AF754" s="359"/>
      <c r="AG754" s="362"/>
      <c r="AH754" s="359"/>
      <c r="AK754" s="359"/>
      <c r="AL754" s="362"/>
      <c r="AM754" s="359"/>
      <c r="AP754" s="359"/>
      <c r="AQ754" s="362"/>
      <c r="AR754" s="363"/>
      <c r="AS754" s="363"/>
      <c r="AT754" s="363"/>
      <c r="AU754" s="363"/>
      <c r="AV754" s="363"/>
      <c r="AW754" s="363"/>
      <c r="BB754" s="363"/>
    </row>
    <row r="755" spans="1:319" ht="14.25" customHeight="1">
      <c r="A755" s="2218"/>
      <c r="B755" s="2218"/>
      <c r="C755" s="2258"/>
      <c r="D755" s="2258"/>
      <c r="E755" s="1505"/>
      <c r="F755" s="359"/>
      <c r="H755" s="1505" t="s">
        <v>290</v>
      </c>
      <c r="I755" s="362"/>
      <c r="K755" s="2251">
        <f>HA687</f>
        <v>0</v>
      </c>
      <c r="L755" s="2251">
        <f>HB687</f>
        <v>0</v>
      </c>
      <c r="M755" s="2251">
        <f>HC687</f>
        <v>0</v>
      </c>
      <c r="N755" s="2251">
        <f>HD687</f>
        <v>0</v>
      </c>
      <c r="O755" s="2251">
        <f>HE687</f>
        <v>0</v>
      </c>
      <c r="P755" s="2251">
        <f t="shared" si="364"/>
        <v>0</v>
      </c>
      <c r="S755" s="2160"/>
      <c r="T755" s="2160"/>
      <c r="U755" s="2160"/>
      <c r="V755" s="2160"/>
      <c r="W755" s="2160"/>
      <c r="X755" s="359"/>
      <c r="AA755" s="359"/>
      <c r="AB755" s="362"/>
      <c r="AC755" s="359"/>
      <c r="AF755" s="359"/>
      <c r="AG755" s="362"/>
      <c r="AH755" s="359"/>
      <c r="AK755" s="359"/>
      <c r="AL755" s="362"/>
      <c r="AM755" s="359"/>
      <c r="AP755" s="359"/>
      <c r="AQ755" s="362"/>
      <c r="AR755" s="363"/>
      <c r="AS755" s="363"/>
      <c r="AT755" s="363"/>
      <c r="AU755" s="363"/>
      <c r="AV755" s="363"/>
      <c r="AW755" s="363"/>
      <c r="AX755" s="807"/>
      <c r="AY755" s="359"/>
      <c r="BB755" s="363"/>
      <c r="BC755" s="807"/>
      <c r="BD755" s="359"/>
      <c r="JW755" s="1750"/>
      <c r="KB755" s="1750"/>
      <c r="KG755" s="1750"/>
      <c r="KL755" s="1750"/>
      <c r="KM755" s="1750"/>
      <c r="KN755" s="1750"/>
      <c r="KO755" s="1750"/>
      <c r="KP755" s="1750"/>
      <c r="KQ755" s="1750"/>
      <c r="KR755" s="1750"/>
      <c r="KS755" s="1750"/>
      <c r="KT755" s="1750"/>
      <c r="KU755" s="1750"/>
      <c r="KV755" s="1750"/>
      <c r="KW755" s="1750"/>
      <c r="KX755" s="1750"/>
      <c r="KY755" s="1750"/>
      <c r="KZ755" s="1750"/>
      <c r="LA755" s="1750"/>
      <c r="LB755" s="1750"/>
      <c r="LC755" s="1750"/>
      <c r="LD755" s="1750"/>
      <c r="LE755" s="1750"/>
      <c r="LF755" s="1750"/>
      <c r="LG755" s="1750"/>
    </row>
    <row r="756" spans="1:319" ht="14.25" customHeight="1">
      <c r="A756" s="2218"/>
      <c r="B756" s="2218"/>
      <c r="C756" s="2258"/>
      <c r="D756" s="2258"/>
      <c r="E756" s="1505"/>
      <c r="F756" s="359"/>
      <c r="H756" s="1505" t="s">
        <v>29</v>
      </c>
      <c r="I756" s="362"/>
      <c r="K756" s="2251">
        <f>SUM(K754:K755)+HF687</f>
        <v>0</v>
      </c>
      <c r="L756" s="2251">
        <f>SUM(L754:L755)+HG687</f>
        <v>0</v>
      </c>
      <c r="M756" s="2251">
        <f>SUM(M754:M755)+HH687</f>
        <v>0</v>
      </c>
      <c r="N756" s="2251">
        <f>SUM(N754:N755)+HI687</f>
        <v>0</v>
      </c>
      <c r="O756" s="2251">
        <f>SUM(O754:O755)+HJ687</f>
        <v>0</v>
      </c>
      <c r="P756" s="2251">
        <f t="shared" si="364"/>
        <v>0</v>
      </c>
      <c r="S756" s="2160"/>
      <c r="T756" s="2160"/>
      <c r="U756" s="2160"/>
      <c r="V756" s="2160"/>
      <c r="W756" s="2160"/>
      <c r="X756" s="359"/>
      <c r="AA756" s="359"/>
      <c r="AB756" s="362"/>
      <c r="AC756" s="359"/>
      <c r="AF756" s="359"/>
      <c r="AG756" s="362"/>
      <c r="AH756" s="359"/>
      <c r="AK756" s="359"/>
      <c r="AL756" s="362"/>
      <c r="AM756" s="359"/>
      <c r="AP756" s="359"/>
      <c r="AQ756" s="362"/>
      <c r="AR756" s="363"/>
      <c r="AS756" s="363"/>
      <c r="AT756" s="363"/>
      <c r="AU756" s="363"/>
      <c r="AV756" s="363"/>
      <c r="AW756" s="363"/>
      <c r="AX756" s="362"/>
      <c r="AY756" s="359"/>
      <c r="BB756" s="363"/>
      <c r="BC756" s="362"/>
      <c r="BD756" s="359"/>
      <c r="JW756" s="1750"/>
      <c r="KB756" s="1750"/>
      <c r="KG756" s="1750"/>
      <c r="KL756" s="1750"/>
      <c r="KM756" s="1750"/>
      <c r="KN756" s="1750"/>
      <c r="KO756" s="1750"/>
      <c r="KP756" s="1750"/>
      <c r="KQ756" s="1750"/>
      <c r="KR756" s="1750"/>
      <c r="KS756" s="1750"/>
      <c r="KT756" s="1750"/>
      <c r="KU756" s="1750"/>
      <c r="KV756" s="1750"/>
      <c r="KW756" s="1750"/>
      <c r="KX756" s="1750"/>
      <c r="KY756" s="1750"/>
      <c r="KZ756" s="1750"/>
      <c r="LA756" s="1750"/>
      <c r="LB756" s="1750"/>
      <c r="LC756" s="1750"/>
      <c r="LD756" s="1750"/>
      <c r="LE756" s="1750"/>
      <c r="LF756" s="1750"/>
      <c r="LG756" s="1750"/>
    </row>
    <row r="757" spans="1:319" ht="14.25" customHeight="1">
      <c r="A757" s="2218"/>
      <c r="B757" s="2218"/>
      <c r="C757" s="1891"/>
      <c r="D757" s="359"/>
      <c r="E757" s="1891" t="s">
        <v>1338</v>
      </c>
      <c r="F757" s="1891"/>
      <c r="H757" s="1505" t="s">
        <v>1344</v>
      </c>
      <c r="I757" s="362"/>
      <c r="K757" s="2251">
        <f>HK687</f>
        <v>0</v>
      </c>
      <c r="L757" s="2251">
        <f>HL687</f>
        <v>0</v>
      </c>
      <c r="M757" s="2251">
        <f>HM687</f>
        <v>0</v>
      </c>
      <c r="N757" s="2251">
        <f>HN687</f>
        <v>0</v>
      </c>
      <c r="O757" s="2251">
        <f>HO687</f>
        <v>0</v>
      </c>
      <c r="P757" s="2251">
        <f t="shared" si="364"/>
        <v>0</v>
      </c>
      <c r="S757" s="2160"/>
      <c r="T757" s="2160"/>
      <c r="U757" s="2160"/>
      <c r="V757" s="2160"/>
      <c r="W757" s="2160"/>
      <c r="X757" s="359"/>
      <c r="AA757" s="359"/>
      <c r="AB757" s="362"/>
      <c r="AC757" s="359"/>
      <c r="AF757" s="359"/>
      <c r="AG757" s="362"/>
      <c r="AH757" s="359"/>
      <c r="AK757" s="359"/>
      <c r="AL757" s="362"/>
      <c r="AM757" s="359"/>
      <c r="AP757" s="359"/>
      <c r="AQ757" s="362"/>
      <c r="AR757" s="363"/>
      <c r="AS757" s="363"/>
      <c r="AT757" s="363"/>
      <c r="AU757" s="363"/>
      <c r="AV757" s="363"/>
      <c r="AW757" s="363"/>
      <c r="BB757" s="363"/>
    </row>
    <row r="758" spans="1:319" ht="14.25" customHeight="1">
      <c r="A758" s="2218"/>
      <c r="B758" s="2218"/>
      <c r="C758" s="1891"/>
      <c r="D758" s="359"/>
      <c r="E758" s="1891"/>
      <c r="F758" s="1891"/>
      <c r="H758" s="1505" t="s">
        <v>290</v>
      </c>
      <c r="I758" s="362"/>
      <c r="K758" s="2251">
        <f>HP687</f>
        <v>0</v>
      </c>
      <c r="L758" s="2251">
        <f>HQ687</f>
        <v>0</v>
      </c>
      <c r="M758" s="2251">
        <f>HR687</f>
        <v>0</v>
      </c>
      <c r="N758" s="2251">
        <f>HS687</f>
        <v>0</v>
      </c>
      <c r="O758" s="2251">
        <f>HT687</f>
        <v>0</v>
      </c>
      <c r="P758" s="2251">
        <f t="shared" si="364"/>
        <v>0</v>
      </c>
      <c r="S758" s="2160"/>
      <c r="T758" s="2160"/>
      <c r="U758" s="2160"/>
      <c r="V758" s="2160"/>
      <c r="W758" s="2160"/>
      <c r="X758" s="359"/>
      <c r="AA758" s="359"/>
      <c r="AB758" s="362"/>
      <c r="AC758" s="359"/>
      <c r="AF758" s="359"/>
      <c r="AG758" s="362"/>
      <c r="AH758" s="359"/>
      <c r="AK758" s="359"/>
      <c r="AL758" s="362"/>
      <c r="AM758" s="359"/>
      <c r="AP758" s="359"/>
      <c r="AQ758" s="362"/>
      <c r="AR758" s="363"/>
      <c r="AS758" s="363"/>
      <c r="AT758" s="363"/>
      <c r="AU758" s="363"/>
      <c r="AV758" s="363"/>
      <c r="AW758" s="363"/>
      <c r="AX758" s="807"/>
      <c r="AY758" s="359"/>
      <c r="BB758" s="363"/>
      <c r="BC758" s="807"/>
      <c r="BD758" s="359"/>
      <c r="JW758" s="1750"/>
      <c r="KB758" s="1750"/>
      <c r="KG758" s="1750"/>
      <c r="KL758" s="1750"/>
      <c r="KM758" s="1750"/>
      <c r="KN758" s="1750"/>
      <c r="KO758" s="1750"/>
      <c r="KP758" s="1750"/>
      <c r="KQ758" s="1750"/>
      <c r="KR758" s="1750"/>
      <c r="KS758" s="1750"/>
      <c r="KT758" s="1750"/>
      <c r="KU758" s="1750"/>
      <c r="KV758" s="1750"/>
      <c r="KW758" s="1750"/>
      <c r="KX758" s="1750"/>
      <c r="KY758" s="1750"/>
      <c r="KZ758" s="1750"/>
      <c r="LA758" s="1750"/>
      <c r="LB758" s="1750"/>
      <c r="LC758" s="1750"/>
      <c r="LD758" s="1750"/>
      <c r="LE758" s="1750"/>
      <c r="LF758" s="1750"/>
      <c r="LG758" s="1750"/>
    </row>
    <row r="759" spans="1:319" ht="14.25" customHeight="1">
      <c r="A759" s="2218"/>
      <c r="B759" s="2218"/>
      <c r="C759" s="1891"/>
      <c r="D759" s="359"/>
      <c r="E759" s="1505"/>
      <c r="F759" s="359"/>
      <c r="H759" s="1505" t="s">
        <v>29</v>
      </c>
      <c r="I759" s="362"/>
      <c r="K759" s="2251">
        <f>SUM(K757:K758)+HU687</f>
        <v>0</v>
      </c>
      <c r="L759" s="2251">
        <f>SUM(L757:L758)+HV687</f>
        <v>0</v>
      </c>
      <c r="M759" s="2251">
        <f>SUM(M757:M758)+HW687</f>
        <v>0</v>
      </c>
      <c r="N759" s="2251">
        <f>SUM(N757:N758)+HX687</f>
        <v>0</v>
      </c>
      <c r="O759" s="2251">
        <f>SUM(O757:O758)+HY687</f>
        <v>0</v>
      </c>
      <c r="P759" s="2251">
        <f t="shared" si="364"/>
        <v>0</v>
      </c>
      <c r="S759" s="2160"/>
      <c r="T759" s="2160"/>
      <c r="U759" s="2160"/>
      <c r="V759" s="2160"/>
      <c r="W759" s="2160"/>
      <c r="X759" s="359"/>
      <c r="AA759" s="359"/>
      <c r="AB759" s="362"/>
      <c r="AC759" s="359"/>
      <c r="AF759" s="359"/>
      <c r="AG759" s="362"/>
      <c r="AH759" s="359"/>
      <c r="AK759" s="359"/>
      <c r="AL759" s="362"/>
      <c r="AM759" s="359"/>
      <c r="AP759" s="359"/>
      <c r="AQ759" s="362"/>
      <c r="AR759" s="363"/>
      <c r="AS759" s="363"/>
      <c r="AT759" s="363"/>
      <c r="AU759" s="363"/>
      <c r="AV759" s="363"/>
      <c r="AW759" s="363"/>
      <c r="AX759" s="362"/>
      <c r="AY759" s="359"/>
      <c r="BB759" s="363"/>
      <c r="BC759" s="362"/>
      <c r="BD759" s="359"/>
      <c r="JW759" s="1750"/>
      <c r="KB759" s="1750"/>
      <c r="KG759" s="1750"/>
      <c r="KL759" s="1750"/>
      <c r="KM759" s="1750"/>
      <c r="KN759" s="1750"/>
      <c r="KO759" s="1750"/>
      <c r="KP759" s="1750"/>
      <c r="KQ759" s="1750"/>
      <c r="KR759" s="1750"/>
      <c r="KS759" s="1750"/>
      <c r="KT759" s="1750"/>
      <c r="KU759" s="1750"/>
      <c r="KV759" s="1750"/>
      <c r="KW759" s="1750"/>
      <c r="KX759" s="1750"/>
      <c r="KY759" s="1750"/>
      <c r="KZ759" s="1750"/>
      <c r="LA759" s="1750"/>
      <c r="LB759" s="1750"/>
      <c r="LC759" s="1750"/>
      <c r="LD759" s="1750"/>
      <c r="LE759" s="1750"/>
      <c r="LF759" s="1750"/>
      <c r="LG759" s="1750"/>
    </row>
    <row r="760" spans="1:319" ht="14.25" customHeight="1">
      <c r="A760" s="2218"/>
      <c r="B760" s="2218"/>
      <c r="C760" s="1891"/>
      <c r="D760" s="359"/>
      <c r="E760" s="1505" t="s">
        <v>345</v>
      </c>
      <c r="F760" s="359"/>
      <c r="G760" s="2029"/>
      <c r="H760" s="360"/>
      <c r="K760" s="2266">
        <f>'Part V-Revenues &amp; Expenses'!K122</f>
        <v>0</v>
      </c>
      <c r="L760" s="2266">
        <f>'Part V-Revenues &amp; Expenses'!L122</f>
        <v>0</v>
      </c>
      <c r="M760" s="2266">
        <f>'Part V-Revenues &amp; Expenses'!M122</f>
        <v>0</v>
      </c>
      <c r="N760" s="2266">
        <f>'Part V-Revenues &amp; Expenses'!N122</f>
        <v>0</v>
      </c>
      <c r="O760" s="2266">
        <f>'Part V-Revenues &amp; Expenses'!O122</f>
        <v>0</v>
      </c>
      <c r="P760" s="2251">
        <f t="shared" si="364"/>
        <v>0</v>
      </c>
      <c r="S760" s="2160"/>
      <c r="T760" s="2160"/>
      <c r="U760" s="2160"/>
      <c r="V760" s="2160"/>
      <c r="W760" s="2160"/>
      <c r="X760" s="359"/>
      <c r="AA760" s="359"/>
      <c r="AB760" s="362"/>
      <c r="AC760" s="359"/>
      <c r="AF760" s="359"/>
      <c r="AG760" s="362"/>
      <c r="AH760" s="359"/>
      <c r="AK760" s="359"/>
      <c r="AL760" s="362"/>
      <c r="AM760" s="359"/>
      <c r="AP760" s="359"/>
      <c r="AQ760" s="362"/>
      <c r="AR760" s="363"/>
      <c r="AS760" s="363"/>
      <c r="AT760" s="363"/>
      <c r="AU760" s="363"/>
      <c r="AV760" s="363"/>
      <c r="AW760" s="363"/>
      <c r="AX760" s="807"/>
      <c r="AY760" s="359"/>
      <c r="BB760" s="363"/>
      <c r="BC760" s="807"/>
      <c r="BD760" s="359"/>
      <c r="JW760" s="1750"/>
      <c r="KB760" s="1750"/>
      <c r="KG760" s="1750"/>
      <c r="KL760" s="1750"/>
      <c r="KM760" s="1750"/>
      <c r="KN760" s="1750"/>
      <c r="KO760" s="1750"/>
      <c r="KP760" s="1750"/>
      <c r="KQ760" s="1750"/>
      <c r="KR760" s="1750"/>
      <c r="KS760" s="1750"/>
      <c r="KT760" s="1750"/>
      <c r="KU760" s="1750"/>
      <c r="KV760" s="1750"/>
      <c r="KW760" s="1750"/>
      <c r="KX760" s="1750"/>
      <c r="KY760" s="1750"/>
      <c r="KZ760" s="1750"/>
      <c r="LA760" s="1750"/>
      <c r="LB760" s="1750"/>
      <c r="LC760" s="1750"/>
      <c r="LD760" s="1750"/>
      <c r="LE760" s="1750"/>
      <c r="LF760" s="1750"/>
      <c r="LG760" s="1750"/>
    </row>
    <row r="761" spans="1:319" ht="14.25" customHeight="1">
      <c r="A761" s="360" t="str">
        <f>IF(AND('Part III-A-Uses of Funds'!$T$179="Yes",'Part VIII Scoring Criteria'!$O$377&gt;0,P761&lt;1),"SHOW HISTORIC UNITS HERE &gt;&gt;&gt;&gt;","")</f>
        <v/>
      </c>
      <c r="B761" s="360"/>
      <c r="C761" s="360"/>
      <c r="D761" s="360"/>
      <c r="E761" s="1505" t="s">
        <v>6801</v>
      </c>
      <c r="F761" s="359"/>
      <c r="G761" s="2029"/>
      <c r="H761" s="360"/>
      <c r="K761" s="2266">
        <f>'Part V-Revenues &amp; Expenses'!K123</f>
        <v>0</v>
      </c>
      <c r="L761" s="2266">
        <f>'Part V-Revenues &amp; Expenses'!L123</f>
        <v>0</v>
      </c>
      <c r="M761" s="2266">
        <f>'Part V-Revenues &amp; Expenses'!M123</f>
        <v>0</v>
      </c>
      <c r="N761" s="2266">
        <f>'Part V-Revenues &amp; Expenses'!N123</f>
        <v>0</v>
      </c>
      <c r="O761" s="2266">
        <f>'Part V-Revenues &amp; Expenses'!O123</f>
        <v>0</v>
      </c>
      <c r="P761" s="2251">
        <f t="shared" si="364"/>
        <v>0</v>
      </c>
      <c r="S761" s="2160"/>
      <c r="T761" s="2160"/>
      <c r="U761" s="2160"/>
      <c r="V761" s="2160"/>
      <c r="W761" s="2160"/>
      <c r="X761" s="359"/>
      <c r="AA761" s="359"/>
      <c r="AB761" s="362"/>
      <c r="AC761" s="359"/>
      <c r="AF761" s="359"/>
      <c r="AG761" s="362"/>
      <c r="AH761" s="359"/>
      <c r="AK761" s="359"/>
      <c r="AL761" s="362"/>
      <c r="AM761" s="359"/>
      <c r="AP761" s="359"/>
      <c r="AQ761" s="362"/>
      <c r="AR761" s="363"/>
      <c r="AS761" s="363"/>
      <c r="AT761" s="363"/>
      <c r="AU761" s="363"/>
      <c r="AV761" s="363"/>
      <c r="AW761" s="363"/>
      <c r="AX761" s="807"/>
      <c r="AY761" s="359"/>
      <c r="BB761" s="363"/>
      <c r="BC761" s="807"/>
      <c r="BD761" s="359"/>
      <c r="JW761" s="1750"/>
      <c r="KB761" s="1750"/>
      <c r="KG761" s="1750"/>
      <c r="KL761" s="1750"/>
      <c r="KM761" s="1750"/>
      <c r="KN761" s="1750"/>
      <c r="KO761" s="1750"/>
      <c r="KP761" s="1750"/>
      <c r="KQ761" s="1750"/>
      <c r="KR761" s="1750"/>
      <c r="KS761" s="1750"/>
      <c r="KT761" s="1750"/>
      <c r="KU761" s="1750"/>
      <c r="KV761" s="1750"/>
      <c r="KW761" s="1750"/>
      <c r="KX761" s="1750"/>
      <c r="KY761" s="1750"/>
      <c r="KZ761" s="1750"/>
      <c r="LA761" s="1750"/>
      <c r="LB761" s="1750"/>
      <c r="LC761" s="1750"/>
      <c r="LD761" s="1750"/>
      <c r="LE761" s="1750"/>
      <c r="LF761" s="1750"/>
      <c r="LG761" s="1750"/>
    </row>
    <row r="762" spans="1:319" ht="9" customHeight="1">
      <c r="A762" s="1882"/>
      <c r="B762" s="1882"/>
      <c r="C762" s="1882"/>
      <c r="D762" s="1882"/>
      <c r="E762" s="1505"/>
      <c r="F762" s="359"/>
      <c r="G762" s="2029"/>
      <c r="H762" s="360"/>
      <c r="K762" s="362"/>
      <c r="L762" s="362"/>
      <c r="M762" s="362"/>
      <c r="N762" s="362"/>
      <c r="O762" s="362"/>
      <c r="P762" s="362"/>
      <c r="S762" s="2160"/>
      <c r="T762" s="2160"/>
      <c r="U762" s="2160"/>
      <c r="V762" s="2160"/>
      <c r="W762" s="2160"/>
      <c r="X762" s="359"/>
      <c r="AA762" s="359"/>
      <c r="AB762" s="362"/>
      <c r="AC762" s="359"/>
      <c r="AF762" s="359"/>
      <c r="AG762" s="362"/>
      <c r="AH762" s="359"/>
      <c r="AK762" s="359"/>
      <c r="AL762" s="362"/>
      <c r="AM762" s="359"/>
      <c r="AP762" s="359"/>
      <c r="AQ762" s="362"/>
      <c r="AR762" s="363"/>
      <c r="AS762" s="363"/>
      <c r="AT762" s="363"/>
      <c r="AU762" s="363"/>
      <c r="AV762" s="363"/>
      <c r="AW762" s="363"/>
      <c r="AX762" s="807"/>
      <c r="AY762" s="359"/>
      <c r="BB762" s="363"/>
      <c r="BC762" s="807"/>
      <c r="BD762" s="359"/>
      <c r="JW762" s="1750"/>
      <c r="KB762" s="1750"/>
      <c r="KG762" s="1750"/>
      <c r="KL762" s="1750"/>
      <c r="KM762" s="1750"/>
      <c r="KN762" s="1750"/>
      <c r="KO762" s="1750"/>
      <c r="KP762" s="1750"/>
      <c r="KQ762" s="1750"/>
      <c r="KR762" s="1750"/>
      <c r="KS762" s="1750"/>
      <c r="KT762" s="1750"/>
      <c r="KU762" s="1750"/>
      <c r="KV762" s="1750"/>
      <c r="KW762" s="1750"/>
      <c r="KX762" s="1750"/>
      <c r="KY762" s="1750"/>
      <c r="KZ762" s="1750"/>
      <c r="LA762" s="1750"/>
      <c r="LB762" s="1750"/>
      <c r="LC762" s="1750"/>
      <c r="LD762" s="1750"/>
      <c r="LE762" s="1750"/>
      <c r="LF762" s="1750"/>
      <c r="LG762" s="1750"/>
    </row>
    <row r="763" spans="1:319" ht="14.25" customHeight="1">
      <c r="A763" s="1882"/>
      <c r="B763" s="1882"/>
      <c r="C763" s="1882"/>
      <c r="D763" s="1882"/>
      <c r="E763" s="1505" t="s">
        <v>3000</v>
      </c>
      <c r="F763" s="359"/>
      <c r="G763" s="2029"/>
      <c r="H763" s="360"/>
      <c r="K763" s="2251">
        <f>K767+K771+K775+K777+K779+K781</f>
        <v>0</v>
      </c>
      <c r="L763" s="2251">
        <f>L767+L771+L775+L777+L779+L781</f>
        <v>0</v>
      </c>
      <c r="M763" s="2251">
        <f>M767+M771+M775+M777+M779+M781</f>
        <v>0</v>
      </c>
      <c r="N763" s="2251">
        <f>N767+N771+N775+N777+N779+N781</f>
        <v>0</v>
      </c>
      <c r="O763" s="2251">
        <f>O767+O771+O775+O777+O779+O781</f>
        <v>0</v>
      </c>
      <c r="P763" s="2251">
        <f>SUM(K763:O763)</f>
        <v>0</v>
      </c>
      <c r="S763" s="2160"/>
      <c r="T763" s="2160"/>
      <c r="U763" s="2160"/>
      <c r="V763" s="2160"/>
      <c r="W763" s="2160"/>
      <c r="X763" s="359"/>
      <c r="AA763" s="359"/>
      <c r="AB763" s="362"/>
      <c r="AC763" s="359"/>
      <c r="AF763" s="359"/>
      <c r="AG763" s="362"/>
      <c r="AH763" s="359"/>
      <c r="AK763" s="359"/>
      <c r="AL763" s="362"/>
      <c r="AM763" s="359"/>
      <c r="AP763" s="359"/>
      <c r="AQ763" s="362"/>
      <c r="AR763" s="363"/>
      <c r="AS763" s="363"/>
      <c r="AT763" s="363"/>
      <c r="AU763" s="363"/>
      <c r="AV763" s="363"/>
      <c r="AW763" s="363"/>
      <c r="AX763" s="807"/>
      <c r="AY763" s="359"/>
      <c r="BB763" s="363"/>
      <c r="BC763" s="807"/>
      <c r="BD763" s="359"/>
      <c r="JW763" s="1750"/>
      <c r="KB763" s="1750"/>
      <c r="KG763" s="1750"/>
      <c r="KL763" s="1750"/>
      <c r="KM763" s="1750"/>
      <c r="KN763" s="1750"/>
      <c r="KO763" s="1750"/>
      <c r="KP763" s="1750"/>
      <c r="KQ763" s="1750"/>
      <c r="KR763" s="1750"/>
      <c r="KS763" s="1750"/>
      <c r="KT763" s="1750"/>
      <c r="KU763" s="1750"/>
      <c r="KV763" s="1750"/>
      <c r="KW763" s="1750"/>
      <c r="KX763" s="1750"/>
      <c r="KY763" s="1750"/>
      <c r="KZ763" s="1750"/>
      <c r="LA763" s="1750"/>
      <c r="LB763" s="1750"/>
      <c r="LC763" s="1750"/>
      <c r="LD763" s="1750"/>
      <c r="LE763" s="1750"/>
      <c r="LF763" s="1750"/>
      <c r="LG763" s="1750"/>
    </row>
    <row r="764" spans="1:319" ht="21" customHeight="1">
      <c r="D764" s="359"/>
      <c r="E764" s="1505"/>
      <c r="F764" s="359"/>
      <c r="G764" s="2029"/>
      <c r="H764" s="360"/>
      <c r="K764" s="2263"/>
      <c r="L764" s="2263"/>
      <c r="M764" s="2263"/>
      <c r="N764" s="2263"/>
      <c r="O764" s="2263"/>
      <c r="P764" s="2263"/>
      <c r="S764" s="2046" t="str">
        <f>C765</f>
        <v xml:space="preserve">Building Type: (for Utility Allowance, Monitoring Fees, etc)
</v>
      </c>
      <c r="U764" s="1883"/>
      <c r="X764" s="359"/>
      <c r="AA764" s="359"/>
      <c r="AB764" s="362"/>
      <c r="AC764" s="359"/>
      <c r="AF764" s="359"/>
      <c r="AG764" s="362"/>
      <c r="AH764" s="359"/>
      <c r="AK764" s="359"/>
      <c r="AL764" s="362"/>
      <c r="AM764" s="359"/>
      <c r="AP764" s="359"/>
      <c r="AQ764" s="362"/>
      <c r="AR764" s="359"/>
      <c r="AS764" s="359"/>
      <c r="AT764" s="359"/>
      <c r="AU764" s="359"/>
      <c r="AV764" s="359"/>
      <c r="AW764" s="359"/>
      <c r="AY764" s="359"/>
      <c r="BB764" s="359"/>
      <c r="BD764" s="359"/>
      <c r="JW764" s="1750"/>
      <c r="KB764" s="1750"/>
      <c r="KG764" s="1750"/>
      <c r="KL764" s="1750"/>
      <c r="KM764" s="1750"/>
      <c r="KN764" s="1750"/>
      <c r="KO764" s="1750"/>
      <c r="KP764" s="1750"/>
      <c r="KQ764" s="1750"/>
      <c r="KR764" s="1750"/>
      <c r="KS764" s="1750"/>
      <c r="KT764" s="1750"/>
      <c r="KU764" s="1750"/>
      <c r="KV764" s="1750"/>
      <c r="KW764" s="1750"/>
      <c r="KX764" s="1750"/>
      <c r="KY764" s="1750"/>
      <c r="KZ764" s="1750"/>
      <c r="LA764" s="1750"/>
      <c r="LB764" s="1750"/>
      <c r="LC764" s="1750"/>
      <c r="LD764" s="1750"/>
      <c r="LE764" s="1750"/>
      <c r="LF764" s="1750"/>
      <c r="LG764" s="1750"/>
    </row>
    <row r="765" spans="1:319" ht="14.25" customHeight="1">
      <c r="C765" s="2258" t="s">
        <v>6854</v>
      </c>
      <c r="D765" s="2258"/>
      <c r="E765" s="1505" t="s">
        <v>36</v>
      </c>
      <c r="F765" s="359"/>
      <c r="G765" s="2029"/>
      <c r="H765" s="360"/>
      <c r="K765" s="2251">
        <f t="shared" ref="K765:P765" si="365">SUM(K766:K773)</f>
        <v>0</v>
      </c>
      <c r="L765" s="2251">
        <f t="shared" si="365"/>
        <v>15</v>
      </c>
      <c r="M765" s="2251">
        <f t="shared" si="365"/>
        <v>39</v>
      </c>
      <c r="N765" s="2251">
        <f t="shared" si="365"/>
        <v>45</v>
      </c>
      <c r="O765" s="2251">
        <f t="shared" si="365"/>
        <v>21</v>
      </c>
      <c r="P765" s="2251">
        <f t="shared" si="365"/>
        <v>120</v>
      </c>
      <c r="S765" s="2160"/>
      <c r="T765" s="2160"/>
      <c r="U765" s="2160"/>
      <c r="V765" s="2160"/>
      <c r="W765" s="2160"/>
      <c r="X765" s="359"/>
      <c r="AA765" s="359"/>
      <c r="AB765" s="362"/>
      <c r="AC765" s="359"/>
      <c r="AF765" s="359"/>
      <c r="AG765" s="362"/>
      <c r="AH765" s="359"/>
      <c r="AK765" s="359"/>
      <c r="AL765" s="362"/>
      <c r="AM765" s="359"/>
      <c r="AP765" s="359"/>
      <c r="AQ765" s="362"/>
      <c r="AR765" s="363"/>
      <c r="AS765" s="363"/>
      <c r="AT765" s="363"/>
      <c r="AU765" s="363"/>
      <c r="AV765" s="363"/>
      <c r="AW765" s="363"/>
      <c r="BB765" s="363"/>
    </row>
    <row r="766" spans="1:319" ht="14.25" customHeight="1">
      <c r="C766" s="2258"/>
      <c r="D766" s="2258"/>
      <c r="E766" s="1505"/>
      <c r="F766" s="359"/>
      <c r="H766" s="1884" t="s">
        <v>6300</v>
      </c>
      <c r="I766" s="1875"/>
      <c r="K766" s="2251">
        <f>JS687</f>
        <v>0</v>
      </c>
      <c r="L766" s="2251">
        <f>JT687</f>
        <v>15</v>
      </c>
      <c r="M766" s="2251">
        <f>JU687</f>
        <v>39</v>
      </c>
      <c r="N766" s="2251">
        <f>JV687</f>
        <v>45</v>
      </c>
      <c r="O766" s="2251">
        <f>JW687</f>
        <v>21</v>
      </c>
      <c r="P766" s="2251">
        <f t="shared" ref="P766:P781" si="366">SUM(K766:O766)</f>
        <v>120</v>
      </c>
      <c r="S766" s="2160"/>
      <c r="T766" s="2160"/>
      <c r="U766" s="2160"/>
      <c r="V766" s="2160"/>
      <c r="W766" s="2160"/>
      <c r="X766" s="359"/>
      <c r="AA766" s="359"/>
      <c r="AB766" s="362"/>
      <c r="AC766" s="359"/>
      <c r="AF766" s="359"/>
      <c r="AG766" s="362"/>
      <c r="AH766" s="359"/>
      <c r="AK766" s="359"/>
      <c r="AL766" s="362"/>
      <c r="AM766" s="359"/>
      <c r="AP766" s="359"/>
      <c r="AQ766" s="362"/>
      <c r="AR766" s="363"/>
      <c r="AS766" s="363"/>
      <c r="AT766" s="363"/>
      <c r="AU766" s="363"/>
      <c r="AV766" s="363"/>
      <c r="AW766" s="363"/>
      <c r="BB766" s="363"/>
    </row>
    <row r="767" spans="1:319" ht="14.25" customHeight="1">
      <c r="C767" s="2258"/>
      <c r="D767" s="2258"/>
      <c r="E767" s="1505"/>
      <c r="F767" s="359"/>
      <c r="H767" s="2267" t="s">
        <v>3000</v>
      </c>
      <c r="I767" s="2268"/>
      <c r="K767" s="2257">
        <f>KC687</f>
        <v>0</v>
      </c>
      <c r="L767" s="2257">
        <f>KD687</f>
        <v>0</v>
      </c>
      <c r="M767" s="2257">
        <f>KE687</f>
        <v>0</v>
      </c>
      <c r="N767" s="2257">
        <f>KF687</f>
        <v>0</v>
      </c>
      <c r="O767" s="2257">
        <f>KG687</f>
        <v>0</v>
      </c>
      <c r="P767" s="2257">
        <f t="shared" si="366"/>
        <v>0</v>
      </c>
      <c r="S767" s="2160"/>
      <c r="T767" s="2160"/>
      <c r="U767" s="2160"/>
      <c r="V767" s="2160"/>
      <c r="W767" s="2160"/>
      <c r="X767" s="359"/>
      <c r="AA767" s="359"/>
      <c r="AB767" s="362"/>
      <c r="AC767" s="359"/>
      <c r="AF767" s="359"/>
      <c r="AG767" s="362"/>
      <c r="AH767" s="359"/>
      <c r="AK767" s="359"/>
      <c r="AL767" s="362"/>
      <c r="AM767" s="359"/>
      <c r="AP767" s="359"/>
      <c r="AQ767" s="362"/>
      <c r="AR767" s="363"/>
      <c r="AS767" s="363"/>
      <c r="AT767" s="363"/>
      <c r="AU767" s="363"/>
      <c r="AV767" s="363"/>
      <c r="AW767" s="363"/>
      <c r="BB767" s="363"/>
    </row>
    <row r="768" spans="1:319" ht="14.25" customHeight="1">
      <c r="C768" s="2258"/>
      <c r="D768" s="2258"/>
      <c r="E768" s="1505"/>
      <c r="F768" s="359"/>
      <c r="H768" s="1884" t="s">
        <v>6486</v>
      </c>
      <c r="I768" s="1875"/>
      <c r="K768" s="2251">
        <f>JX687</f>
        <v>0</v>
      </c>
      <c r="L768" s="2251">
        <f>JY687</f>
        <v>0</v>
      </c>
      <c r="M768" s="2251">
        <f>JZ687</f>
        <v>0</v>
      </c>
      <c r="N768" s="2251">
        <f>KA687</f>
        <v>0</v>
      </c>
      <c r="O768" s="2251">
        <f>KB687</f>
        <v>0</v>
      </c>
      <c r="P768" s="2251">
        <f t="shared" si="366"/>
        <v>0</v>
      </c>
      <c r="S768" s="2160"/>
      <c r="T768" s="2160"/>
      <c r="U768" s="2160"/>
      <c r="V768" s="2160"/>
      <c r="W768" s="2160"/>
      <c r="X768" s="359"/>
      <c r="AA768" s="359"/>
      <c r="AB768" s="362"/>
      <c r="AC768" s="359"/>
      <c r="AF768" s="359"/>
      <c r="AG768" s="362"/>
      <c r="AH768" s="359"/>
      <c r="AK768" s="359"/>
      <c r="AL768" s="362"/>
      <c r="AM768" s="359"/>
      <c r="AP768" s="359"/>
      <c r="AQ768" s="362"/>
      <c r="AR768" s="363"/>
      <c r="AS768" s="363"/>
      <c r="AT768" s="363"/>
      <c r="AU768" s="363"/>
      <c r="AV768" s="363"/>
      <c r="AW768" s="363"/>
      <c r="BB768" s="363"/>
    </row>
    <row r="769" spans="1:319" ht="14.25" customHeight="1">
      <c r="C769" s="2258"/>
      <c r="D769" s="2258"/>
      <c r="E769" s="1505"/>
      <c r="F769" s="359"/>
      <c r="H769" s="2267" t="s">
        <v>3000</v>
      </c>
      <c r="I769" s="2268"/>
      <c r="K769" s="2257">
        <f>KH687</f>
        <v>0</v>
      </c>
      <c r="L769" s="2257">
        <f>KI687</f>
        <v>0</v>
      </c>
      <c r="M769" s="2257">
        <f>KJ687</f>
        <v>0</v>
      </c>
      <c r="N769" s="2257">
        <f>KK687</f>
        <v>0</v>
      </c>
      <c r="O769" s="2257">
        <f>KL687</f>
        <v>0</v>
      </c>
      <c r="P769" s="2257">
        <f t="shared" si="366"/>
        <v>0</v>
      </c>
      <c r="S769" s="2160"/>
      <c r="T769" s="2160"/>
      <c r="U769" s="2160"/>
      <c r="V769" s="2160"/>
      <c r="W769" s="2160"/>
      <c r="X769" s="359"/>
      <c r="AA769" s="359"/>
      <c r="AB769" s="362"/>
      <c r="AC769" s="359"/>
      <c r="AF769" s="359"/>
      <c r="AG769" s="362"/>
      <c r="AH769" s="359"/>
      <c r="AK769" s="359"/>
      <c r="AL769" s="362"/>
      <c r="AM769" s="359"/>
      <c r="AP769" s="359"/>
      <c r="AQ769" s="362"/>
      <c r="AR769" s="363"/>
      <c r="AS769" s="363"/>
      <c r="AT769" s="363"/>
      <c r="AU769" s="363"/>
      <c r="AV769" s="363"/>
      <c r="AW769" s="363"/>
      <c r="BB769" s="363"/>
    </row>
    <row r="770" spans="1:319" ht="14.25" customHeight="1">
      <c r="C770" s="2258"/>
      <c r="D770" s="2258"/>
      <c r="E770" s="1505"/>
      <c r="F770" s="359"/>
      <c r="H770" s="1884" t="s">
        <v>6302</v>
      </c>
      <c r="I770" s="1875"/>
      <c r="K770" s="2251">
        <f>KM687</f>
        <v>0</v>
      </c>
      <c r="L770" s="2251">
        <f>KN687</f>
        <v>0</v>
      </c>
      <c r="M770" s="2251">
        <f>KO687</f>
        <v>0</v>
      </c>
      <c r="N770" s="2251">
        <f>KP687</f>
        <v>0</v>
      </c>
      <c r="O770" s="2251">
        <f>KQ687</f>
        <v>0</v>
      </c>
      <c r="P770" s="2251">
        <f t="shared" si="366"/>
        <v>0</v>
      </c>
      <c r="S770" s="2160"/>
      <c r="T770" s="2160"/>
      <c r="U770" s="2160"/>
      <c r="V770" s="2160"/>
      <c r="W770" s="2160"/>
      <c r="X770" s="359"/>
      <c r="AA770" s="359"/>
      <c r="AB770" s="362"/>
      <c r="AC770" s="359"/>
      <c r="AF770" s="359"/>
      <c r="AG770" s="362"/>
      <c r="AH770" s="359"/>
      <c r="AK770" s="359"/>
      <c r="AL770" s="362"/>
      <c r="AM770" s="359"/>
      <c r="AP770" s="359"/>
      <c r="AQ770" s="362"/>
      <c r="AR770" s="363"/>
      <c r="AS770" s="363"/>
      <c r="AT770" s="363"/>
      <c r="AU770" s="363"/>
      <c r="AV770" s="363"/>
      <c r="AW770" s="363"/>
      <c r="BB770" s="363"/>
    </row>
    <row r="771" spans="1:319" ht="14.25" customHeight="1">
      <c r="C771" s="2258"/>
      <c r="D771" s="2258"/>
      <c r="E771" s="1505"/>
      <c r="F771" s="359"/>
      <c r="H771" s="2267" t="s">
        <v>3000</v>
      </c>
      <c r="I771" s="2268"/>
      <c r="K771" s="2257">
        <f>KW687</f>
        <v>0</v>
      </c>
      <c r="L771" s="2257">
        <f>KX687</f>
        <v>0</v>
      </c>
      <c r="M771" s="2257">
        <f>KY687</f>
        <v>0</v>
      </c>
      <c r="N771" s="2257">
        <f>KZ687</f>
        <v>0</v>
      </c>
      <c r="O771" s="2257">
        <f>LA687</f>
        <v>0</v>
      </c>
      <c r="P771" s="2257">
        <f t="shared" si="366"/>
        <v>0</v>
      </c>
      <c r="S771" s="2160"/>
      <c r="T771" s="2160"/>
      <c r="U771" s="2160"/>
      <c r="V771" s="2160"/>
      <c r="W771" s="2160"/>
      <c r="X771" s="359"/>
      <c r="AA771" s="359"/>
      <c r="AB771" s="362"/>
      <c r="AC771" s="359"/>
      <c r="AF771" s="359"/>
      <c r="AG771" s="362"/>
      <c r="AH771" s="359"/>
      <c r="AK771" s="359"/>
      <c r="AL771" s="362"/>
      <c r="AM771" s="359"/>
      <c r="AP771" s="359"/>
      <c r="AQ771" s="362"/>
      <c r="AR771" s="363"/>
      <c r="AS771" s="363"/>
      <c r="AT771" s="363"/>
      <c r="AU771" s="363"/>
      <c r="AV771" s="363"/>
      <c r="AW771" s="363"/>
      <c r="BB771" s="363"/>
    </row>
    <row r="772" spans="1:319" ht="14.25" customHeight="1">
      <c r="C772" s="2258"/>
      <c r="D772" s="2258"/>
      <c r="E772" s="1505"/>
      <c r="F772" s="359"/>
      <c r="H772" s="1884" t="s">
        <v>6493</v>
      </c>
      <c r="I772" s="1875"/>
      <c r="K772" s="2251">
        <f>KR687</f>
        <v>0</v>
      </c>
      <c r="L772" s="2251">
        <f>KS687</f>
        <v>0</v>
      </c>
      <c r="M772" s="2251">
        <f>KT687</f>
        <v>0</v>
      </c>
      <c r="N772" s="2251">
        <f>KU687</f>
        <v>0</v>
      </c>
      <c r="O772" s="2251">
        <f>KV687</f>
        <v>0</v>
      </c>
      <c r="P772" s="2251">
        <f t="shared" si="366"/>
        <v>0</v>
      </c>
      <c r="S772" s="2160"/>
      <c r="T772" s="2160"/>
      <c r="U772" s="2160"/>
      <c r="V772" s="2160"/>
      <c r="W772" s="2160"/>
      <c r="X772" s="359"/>
      <c r="AA772" s="359"/>
      <c r="AB772" s="362"/>
      <c r="AC772" s="359"/>
      <c r="AF772" s="359"/>
      <c r="AG772" s="362"/>
      <c r="AH772" s="359"/>
      <c r="AK772" s="359"/>
      <c r="AL772" s="362"/>
      <c r="AM772" s="359"/>
      <c r="AP772" s="359"/>
      <c r="AQ772" s="362"/>
      <c r="AR772" s="363"/>
      <c r="AS772" s="363"/>
      <c r="AT772" s="363"/>
      <c r="AU772" s="363"/>
      <c r="AV772" s="363"/>
      <c r="AW772" s="363"/>
      <c r="BB772" s="363"/>
    </row>
    <row r="773" spans="1:319" ht="14.25" customHeight="1">
      <c r="C773" s="2258"/>
      <c r="D773" s="2258"/>
      <c r="E773" s="1505"/>
      <c r="F773" s="359"/>
      <c r="H773" s="2267" t="s">
        <v>3000</v>
      </c>
      <c r="I773" s="2268"/>
      <c r="K773" s="2257">
        <f>LB687</f>
        <v>0</v>
      </c>
      <c r="L773" s="2257">
        <f>LC687</f>
        <v>0</v>
      </c>
      <c r="M773" s="2257">
        <f>LD687</f>
        <v>0</v>
      </c>
      <c r="N773" s="2257">
        <f>LE687</f>
        <v>0</v>
      </c>
      <c r="O773" s="2257">
        <f>LF687</f>
        <v>0</v>
      </c>
      <c r="P773" s="2257">
        <f t="shared" si="366"/>
        <v>0</v>
      </c>
      <c r="S773" s="2160"/>
      <c r="T773" s="2160"/>
      <c r="U773" s="2160"/>
      <c r="V773" s="2160"/>
      <c r="W773" s="2160"/>
      <c r="X773" s="359"/>
      <c r="AA773" s="359"/>
      <c r="AB773" s="362"/>
      <c r="AC773" s="359"/>
      <c r="AF773" s="359"/>
      <c r="AG773" s="362"/>
      <c r="AH773" s="359"/>
      <c r="AK773" s="359"/>
      <c r="AL773" s="362"/>
      <c r="AM773" s="359"/>
      <c r="AP773" s="359"/>
      <c r="AQ773" s="362"/>
      <c r="AR773" s="363"/>
      <c r="AS773" s="363"/>
      <c r="AT773" s="363"/>
      <c r="AU773" s="363"/>
      <c r="AV773" s="363"/>
      <c r="AW773" s="363"/>
      <c r="BB773" s="363"/>
    </row>
    <row r="774" spans="1:319" ht="14.25" customHeight="1">
      <c r="C774" s="2258"/>
      <c r="D774" s="2258"/>
      <c r="E774" s="1505" t="s">
        <v>6488</v>
      </c>
      <c r="F774" s="359"/>
      <c r="H774" s="1884"/>
      <c r="I774" s="1875"/>
      <c r="K774" s="2251">
        <f>IE687</f>
        <v>0</v>
      </c>
      <c r="L774" s="2251">
        <f>IF687</f>
        <v>0</v>
      </c>
      <c r="M774" s="2251">
        <f>IG687</f>
        <v>0</v>
      </c>
      <c r="N774" s="2251">
        <f>IH687</f>
        <v>0</v>
      </c>
      <c r="O774" s="2251">
        <f>II687</f>
        <v>0</v>
      </c>
      <c r="P774" s="2251">
        <f t="shared" si="366"/>
        <v>0</v>
      </c>
      <c r="S774" s="2160"/>
      <c r="T774" s="2160"/>
      <c r="U774" s="2160"/>
      <c r="V774" s="2160"/>
      <c r="W774" s="2160"/>
      <c r="X774" s="359"/>
      <c r="AA774" s="359"/>
      <c r="AB774" s="362"/>
      <c r="AC774" s="359"/>
      <c r="AF774" s="359"/>
      <c r="AG774" s="362"/>
      <c r="AH774" s="359"/>
      <c r="AK774" s="359"/>
      <c r="AL774" s="362"/>
      <c r="AM774" s="359"/>
      <c r="AP774" s="359"/>
      <c r="AQ774" s="362"/>
      <c r="AR774" s="363"/>
      <c r="AS774" s="363"/>
      <c r="AT774" s="363"/>
      <c r="AU774" s="363"/>
      <c r="AV774" s="363"/>
      <c r="AW774" s="363"/>
      <c r="AX774" s="807"/>
      <c r="AY774" s="359"/>
      <c r="BB774" s="363"/>
      <c r="BC774" s="807"/>
      <c r="BD774" s="359"/>
      <c r="JW774" s="1750"/>
      <c r="KB774" s="1750"/>
      <c r="KG774" s="1750"/>
      <c r="KL774" s="1750"/>
      <c r="KM774" s="1750"/>
      <c r="KN774" s="1750"/>
      <c r="KO774" s="1750"/>
      <c r="KP774" s="1750"/>
      <c r="KQ774" s="1750"/>
      <c r="KR774" s="1750"/>
      <c r="KS774" s="1750"/>
      <c r="KT774" s="1750"/>
      <c r="KU774" s="1750"/>
      <c r="KV774" s="1750"/>
      <c r="KW774" s="1750"/>
      <c r="KX774" s="1750"/>
      <c r="KY774" s="1750"/>
      <c r="KZ774" s="1750"/>
      <c r="LA774" s="1750"/>
      <c r="LB774" s="1750"/>
      <c r="LC774" s="1750"/>
      <c r="LD774" s="1750"/>
      <c r="LE774" s="1750"/>
      <c r="LF774" s="1750"/>
      <c r="LG774" s="1750"/>
    </row>
    <row r="775" spans="1:319" ht="14.25" customHeight="1">
      <c r="C775" s="2258"/>
      <c r="D775" s="2258"/>
      <c r="E775" s="1505"/>
      <c r="F775" s="359"/>
      <c r="H775" s="2267" t="s">
        <v>3000</v>
      </c>
      <c r="I775" s="2268"/>
      <c r="K775" s="2257">
        <f>IJ687</f>
        <v>0</v>
      </c>
      <c r="L775" s="2257">
        <f>IK687</f>
        <v>0</v>
      </c>
      <c r="M775" s="2257">
        <f>IL687</f>
        <v>0</v>
      </c>
      <c r="N775" s="2257">
        <f>IM687</f>
        <v>0</v>
      </c>
      <c r="O775" s="2257">
        <f>IN687</f>
        <v>0</v>
      </c>
      <c r="P775" s="2257">
        <f t="shared" si="366"/>
        <v>0</v>
      </c>
      <c r="S775" s="2160"/>
      <c r="T775" s="2160"/>
      <c r="U775" s="2160"/>
      <c r="V775" s="2160"/>
      <c r="W775" s="2160"/>
      <c r="X775" s="359"/>
      <c r="AA775" s="359"/>
      <c r="AB775" s="362"/>
      <c r="AC775" s="359"/>
      <c r="AF775" s="359"/>
      <c r="AG775" s="362"/>
      <c r="AH775" s="359"/>
      <c r="AK775" s="359"/>
      <c r="AL775" s="362"/>
      <c r="AM775" s="359"/>
      <c r="AP775" s="359"/>
      <c r="AQ775" s="362"/>
      <c r="AR775" s="363"/>
      <c r="AS775" s="363"/>
      <c r="AT775" s="363"/>
      <c r="AU775" s="363"/>
      <c r="AV775" s="363"/>
      <c r="AW775" s="363"/>
      <c r="AX775" s="807"/>
      <c r="AY775" s="359"/>
      <c r="BB775" s="363"/>
      <c r="BC775" s="807"/>
      <c r="BD775" s="359"/>
      <c r="JW775" s="1750"/>
      <c r="KB775" s="1750"/>
      <c r="KG775" s="1750"/>
      <c r="KL775" s="1750"/>
      <c r="KM775" s="1750"/>
      <c r="KN775" s="1750"/>
      <c r="KO775" s="1750"/>
      <c r="KP775" s="1750"/>
      <c r="KQ775" s="1750"/>
      <c r="KR775" s="1750"/>
      <c r="KS775" s="1750"/>
      <c r="KT775" s="1750"/>
      <c r="KU775" s="1750"/>
      <c r="KV775" s="1750"/>
      <c r="KW775" s="1750"/>
      <c r="KX775" s="1750"/>
      <c r="KY775" s="1750"/>
      <c r="KZ775" s="1750"/>
      <c r="LA775" s="1750"/>
      <c r="LB775" s="1750"/>
      <c r="LC775" s="1750"/>
      <c r="LD775" s="1750"/>
      <c r="LE775" s="1750"/>
      <c r="LF775" s="1750"/>
      <c r="LG775" s="1750"/>
    </row>
    <row r="776" spans="1:319" ht="14.25" customHeight="1">
      <c r="C776" s="2258"/>
      <c r="D776" s="2258"/>
      <c r="E776" s="1505" t="s">
        <v>6489</v>
      </c>
      <c r="F776" s="359"/>
      <c r="H776" s="1884"/>
      <c r="I776" s="1875"/>
      <c r="K776" s="2251">
        <f>JI687</f>
        <v>0</v>
      </c>
      <c r="L776" s="2251">
        <f>JJ687</f>
        <v>0</v>
      </c>
      <c r="M776" s="2251">
        <f>JK687</f>
        <v>0</v>
      </c>
      <c r="N776" s="2251">
        <f>JL687</f>
        <v>0</v>
      </c>
      <c r="O776" s="2251">
        <f>JM687</f>
        <v>0</v>
      </c>
      <c r="P776" s="2251">
        <f t="shared" si="366"/>
        <v>0</v>
      </c>
      <c r="S776" s="2160"/>
      <c r="T776" s="2160"/>
      <c r="U776" s="2160"/>
      <c r="V776" s="2160"/>
      <c r="W776" s="2160"/>
      <c r="X776" s="359"/>
      <c r="AA776" s="359"/>
      <c r="AB776" s="362"/>
      <c r="AC776" s="359"/>
      <c r="AF776" s="359"/>
      <c r="AG776" s="362"/>
      <c r="AH776" s="359"/>
      <c r="AK776" s="359"/>
      <c r="AL776" s="362"/>
      <c r="AM776" s="359"/>
      <c r="AP776" s="359"/>
      <c r="AQ776" s="362"/>
      <c r="AR776" s="363"/>
      <c r="AS776" s="363"/>
      <c r="AT776" s="363"/>
      <c r="AU776" s="363"/>
      <c r="AV776" s="363"/>
      <c r="AW776" s="363"/>
      <c r="BB776" s="363"/>
    </row>
    <row r="777" spans="1:319" ht="14.25" customHeight="1">
      <c r="C777" s="2258"/>
      <c r="D777" s="2258"/>
      <c r="E777" s="1505"/>
      <c r="F777" s="359"/>
      <c r="H777" s="2267" t="s">
        <v>3000</v>
      </c>
      <c r="I777" s="2268"/>
      <c r="K777" s="2257">
        <f>JN687</f>
        <v>0</v>
      </c>
      <c r="L777" s="2257">
        <f>JO687</f>
        <v>0</v>
      </c>
      <c r="M777" s="2257">
        <f>JP687</f>
        <v>0</v>
      </c>
      <c r="N777" s="2257">
        <f>JQ687</f>
        <v>0</v>
      </c>
      <c r="O777" s="2257">
        <f>JR687</f>
        <v>0</v>
      </c>
      <c r="P777" s="2257">
        <f t="shared" si="366"/>
        <v>0</v>
      </c>
      <c r="S777" s="2160"/>
      <c r="T777" s="2160"/>
      <c r="U777" s="2160"/>
      <c r="V777" s="2160"/>
      <c r="W777" s="2160"/>
      <c r="X777" s="359"/>
      <c r="AA777" s="359"/>
      <c r="AB777" s="362"/>
      <c r="AC777" s="359"/>
      <c r="AF777" s="359"/>
      <c r="AG777" s="362"/>
      <c r="AH777" s="359"/>
      <c r="AK777" s="359"/>
      <c r="AL777" s="362"/>
      <c r="AM777" s="359"/>
      <c r="AP777" s="359"/>
      <c r="AQ777" s="362"/>
      <c r="AR777" s="363"/>
      <c r="AS777" s="363"/>
      <c r="AT777" s="363"/>
      <c r="AU777" s="363"/>
      <c r="AV777" s="363"/>
      <c r="AW777" s="363"/>
      <c r="BB777" s="363"/>
    </row>
    <row r="778" spans="1:319" ht="14.25" customHeight="1">
      <c r="C778" s="2258"/>
      <c r="D778" s="2258"/>
      <c r="E778" s="1505" t="s">
        <v>6296</v>
      </c>
      <c r="F778" s="359"/>
      <c r="H778" s="1884"/>
      <c r="I778" s="1875"/>
      <c r="K778" s="2251">
        <f>IY687</f>
        <v>0</v>
      </c>
      <c r="L778" s="2251">
        <f>IZ687</f>
        <v>0</v>
      </c>
      <c r="M778" s="2251">
        <f>JA687</f>
        <v>0</v>
      </c>
      <c r="N778" s="2251">
        <f>JB687</f>
        <v>0</v>
      </c>
      <c r="O778" s="2251">
        <f>JC687</f>
        <v>0</v>
      </c>
      <c r="P778" s="2251">
        <f t="shared" si="366"/>
        <v>0</v>
      </c>
      <c r="S778" s="2160"/>
      <c r="T778" s="2160"/>
      <c r="U778" s="2160"/>
      <c r="V778" s="2160"/>
      <c r="W778" s="2160"/>
      <c r="X778" s="359"/>
      <c r="AA778" s="359"/>
      <c r="AB778" s="362"/>
      <c r="AC778" s="359"/>
      <c r="AF778" s="359"/>
      <c r="AG778" s="362"/>
      <c r="AH778" s="359"/>
      <c r="AK778" s="359"/>
      <c r="AL778" s="362"/>
      <c r="AM778" s="359"/>
      <c r="AP778" s="359"/>
      <c r="AQ778" s="362"/>
      <c r="AR778" s="363"/>
      <c r="AS778" s="363"/>
      <c r="AT778" s="363"/>
      <c r="AU778" s="363"/>
      <c r="AV778" s="363"/>
      <c r="AW778" s="363"/>
      <c r="AX778" s="807"/>
      <c r="AY778" s="359"/>
      <c r="BB778" s="363"/>
      <c r="BC778" s="807"/>
      <c r="BD778" s="359"/>
      <c r="JW778" s="1750"/>
      <c r="KB778" s="1750"/>
      <c r="KG778" s="1750"/>
      <c r="KL778" s="1750"/>
      <c r="KM778" s="1750"/>
      <c r="KN778" s="1750"/>
      <c r="KO778" s="1750"/>
      <c r="KP778" s="1750"/>
      <c r="KQ778" s="1750"/>
      <c r="KR778" s="1750"/>
      <c r="KS778" s="1750"/>
      <c r="KT778" s="1750"/>
      <c r="KU778" s="1750"/>
      <c r="KV778" s="1750"/>
      <c r="KW778" s="1750"/>
      <c r="KX778" s="1750"/>
      <c r="KY778" s="1750"/>
      <c r="KZ778" s="1750"/>
      <c r="LA778" s="1750"/>
      <c r="LB778" s="1750"/>
      <c r="LC778" s="1750"/>
      <c r="LD778" s="1750"/>
      <c r="LE778" s="1750"/>
      <c r="LF778" s="1750"/>
      <c r="LG778" s="1750"/>
    </row>
    <row r="779" spans="1:319" ht="14.25" customHeight="1">
      <c r="C779" s="2258"/>
      <c r="D779" s="2258"/>
      <c r="E779" s="1505"/>
      <c r="F779" s="359"/>
      <c r="H779" s="2267" t="s">
        <v>3000</v>
      </c>
      <c r="I779" s="2268"/>
      <c r="K779" s="2257">
        <f>JD687</f>
        <v>0</v>
      </c>
      <c r="L779" s="2257">
        <f>JE687</f>
        <v>0</v>
      </c>
      <c r="M779" s="2257">
        <f>JF687</f>
        <v>0</v>
      </c>
      <c r="N779" s="2257">
        <f>JG687</f>
        <v>0</v>
      </c>
      <c r="O779" s="2257">
        <f>JH687</f>
        <v>0</v>
      </c>
      <c r="P779" s="2257">
        <f t="shared" si="366"/>
        <v>0</v>
      </c>
      <c r="S779" s="2160"/>
      <c r="T779" s="2160"/>
      <c r="U779" s="2160"/>
      <c r="V779" s="2160"/>
      <c r="W779" s="2160"/>
      <c r="X779" s="359"/>
      <c r="AA779" s="359"/>
      <c r="AB779" s="362"/>
      <c r="AC779" s="359"/>
      <c r="AF779" s="359"/>
      <c r="AG779" s="362"/>
      <c r="AH779" s="359"/>
      <c r="AK779" s="359"/>
      <c r="AL779" s="362"/>
      <c r="AM779" s="359"/>
      <c r="AP779" s="359"/>
      <c r="AQ779" s="362"/>
      <c r="AR779" s="363"/>
      <c r="AS779" s="363"/>
      <c r="AT779" s="363"/>
      <c r="AU779" s="363"/>
      <c r="AV779" s="363"/>
      <c r="AW779" s="363"/>
      <c r="AX779" s="807"/>
      <c r="AY779" s="359"/>
      <c r="BB779" s="363"/>
      <c r="BC779" s="807"/>
      <c r="BD779" s="359"/>
      <c r="JW779" s="1750"/>
      <c r="KB779" s="1750"/>
      <c r="KG779" s="1750"/>
      <c r="KL779" s="1750"/>
      <c r="KM779" s="1750"/>
      <c r="KN779" s="1750"/>
      <c r="KO779" s="1750"/>
      <c r="KP779" s="1750"/>
      <c r="KQ779" s="1750"/>
      <c r="KR779" s="1750"/>
      <c r="KS779" s="1750"/>
      <c r="KT779" s="1750"/>
      <c r="KU779" s="1750"/>
      <c r="KV779" s="1750"/>
      <c r="KW779" s="1750"/>
      <c r="KX779" s="1750"/>
      <c r="KY779" s="1750"/>
      <c r="KZ779" s="1750"/>
      <c r="LA779" s="1750"/>
      <c r="LB779" s="1750"/>
      <c r="LC779" s="1750"/>
      <c r="LD779" s="1750"/>
      <c r="LE779" s="1750"/>
      <c r="LF779" s="1750"/>
      <c r="LG779" s="1750"/>
    </row>
    <row r="780" spans="1:319" ht="14.25" customHeight="1">
      <c r="C780" s="2258"/>
      <c r="D780" s="2258"/>
      <c r="E780" s="360" t="s">
        <v>525</v>
      </c>
      <c r="F780" s="359"/>
      <c r="H780" s="1884"/>
      <c r="I780" s="1875"/>
      <c r="K780" s="2251">
        <f>IO687</f>
        <v>0</v>
      </c>
      <c r="L780" s="2251">
        <f>IP687</f>
        <v>0</v>
      </c>
      <c r="M780" s="2251">
        <f>IQ687</f>
        <v>0</v>
      </c>
      <c r="N780" s="2251">
        <f>IR687</f>
        <v>0</v>
      </c>
      <c r="O780" s="2251">
        <f>IS687</f>
        <v>0</v>
      </c>
      <c r="P780" s="2251">
        <f t="shared" si="366"/>
        <v>0</v>
      </c>
      <c r="S780" s="2160"/>
      <c r="T780" s="2160"/>
      <c r="U780" s="2160"/>
      <c r="V780" s="2160"/>
      <c r="W780" s="2160"/>
      <c r="X780" s="359"/>
      <c r="AA780" s="359"/>
      <c r="AB780" s="362"/>
      <c r="AC780" s="359"/>
      <c r="AF780" s="359"/>
      <c r="AG780" s="362"/>
      <c r="AH780" s="359"/>
      <c r="AK780" s="359"/>
      <c r="AL780" s="362"/>
      <c r="AM780" s="359"/>
      <c r="AP780" s="359"/>
      <c r="AQ780" s="362"/>
      <c r="AR780" s="363"/>
      <c r="AS780" s="363"/>
      <c r="AT780" s="363"/>
      <c r="AU780" s="363"/>
      <c r="AV780" s="363"/>
      <c r="AW780" s="363"/>
      <c r="BB780" s="363"/>
    </row>
    <row r="781" spans="1:319" ht="14.25" customHeight="1">
      <c r="C781" s="2258"/>
      <c r="D781" s="2258"/>
      <c r="E781" s="360"/>
      <c r="F781" s="359"/>
      <c r="H781" s="2267" t="s">
        <v>3000</v>
      </c>
      <c r="I781" s="2268"/>
      <c r="K781" s="2257">
        <f>IT687</f>
        <v>0</v>
      </c>
      <c r="L781" s="2257">
        <f>IU687</f>
        <v>0</v>
      </c>
      <c r="M781" s="2257">
        <f>IV687</f>
        <v>0</v>
      </c>
      <c r="N781" s="2257">
        <f>IW687</f>
        <v>0</v>
      </c>
      <c r="O781" s="2257">
        <f>IX687</f>
        <v>0</v>
      </c>
      <c r="P781" s="2257">
        <f t="shared" si="366"/>
        <v>0</v>
      </c>
      <c r="S781" s="2160"/>
      <c r="T781" s="2160"/>
      <c r="U781" s="2160"/>
      <c r="V781" s="2160"/>
      <c r="W781" s="2160"/>
      <c r="X781" s="359"/>
      <c r="AA781" s="359"/>
      <c r="AB781" s="362"/>
      <c r="AC781" s="359"/>
      <c r="AF781" s="359"/>
      <c r="AG781" s="362"/>
      <c r="AH781" s="359"/>
      <c r="AK781" s="359"/>
      <c r="AL781" s="362"/>
      <c r="AM781" s="359"/>
      <c r="AP781" s="359"/>
      <c r="AQ781" s="362"/>
      <c r="AR781" s="363"/>
      <c r="AS781" s="363"/>
      <c r="AT781" s="363"/>
      <c r="AU781" s="363"/>
      <c r="AV781" s="363"/>
      <c r="AW781" s="363"/>
      <c r="BB781" s="363"/>
    </row>
    <row r="782" spans="1:319" ht="10.5" customHeight="1">
      <c r="C782" s="359"/>
      <c r="H782" s="1882"/>
      <c r="I782" s="2219"/>
      <c r="K782" s="2264"/>
      <c r="L782" s="2264"/>
      <c r="M782" s="2264"/>
      <c r="N782" s="2264"/>
      <c r="O782" s="2264"/>
      <c r="P782" s="2264"/>
      <c r="JW782" s="1750"/>
      <c r="KB782" s="1750"/>
      <c r="KG782" s="1750"/>
      <c r="KL782" s="1750"/>
      <c r="KM782" s="1750"/>
      <c r="KN782" s="1750"/>
      <c r="KO782" s="1750"/>
      <c r="KP782" s="1750"/>
      <c r="KQ782" s="1750"/>
      <c r="KR782" s="1750"/>
      <c r="KS782" s="1750"/>
      <c r="KT782" s="1750"/>
      <c r="KU782" s="1750"/>
      <c r="KV782" s="1750"/>
      <c r="KW782" s="1750"/>
      <c r="KX782" s="1750"/>
      <c r="KY782" s="1750"/>
      <c r="KZ782" s="1750"/>
      <c r="LA782" s="1750"/>
      <c r="LB782" s="1750"/>
      <c r="LC782" s="1750"/>
      <c r="LD782" s="1750"/>
      <c r="LE782" s="1750"/>
      <c r="LF782" s="1750"/>
      <c r="LG782" s="1750"/>
    </row>
    <row r="783" spans="1:319" ht="14.45" customHeight="1">
      <c r="A783" s="357" t="s">
        <v>689</v>
      </c>
      <c r="B783" s="357" t="s">
        <v>6853</v>
      </c>
      <c r="H783" s="360"/>
      <c r="L783" s="2149">
        <f>$O$53</f>
        <v>0</v>
      </c>
      <c r="M783" s="2149"/>
      <c r="N783" s="2149"/>
      <c r="O783" s="2149"/>
      <c r="S783" s="359" t="str">
        <f>B783</f>
        <v>UNIT SUMMARY (Continued)</v>
      </c>
      <c r="T783" s="359"/>
      <c r="U783" s="359"/>
      <c r="V783" s="359"/>
      <c r="AY783" s="359"/>
      <c r="BD783" s="359"/>
      <c r="JW783" s="1750"/>
      <c r="KB783" s="1750"/>
      <c r="KG783" s="1750"/>
      <c r="KL783" s="1750"/>
      <c r="KM783" s="1750"/>
      <c r="KN783" s="1750"/>
      <c r="KO783" s="1750"/>
      <c r="KP783" s="1750"/>
      <c r="KQ783" s="1750"/>
      <c r="KR783" s="1750"/>
      <c r="KS783" s="1750"/>
      <c r="KT783" s="1750"/>
      <c r="KU783" s="1750"/>
      <c r="KV783" s="1750"/>
      <c r="KW783" s="1750"/>
      <c r="KX783" s="1750"/>
      <c r="KY783" s="1750"/>
      <c r="KZ783" s="1750"/>
      <c r="LA783" s="1750"/>
      <c r="LB783" s="1750"/>
      <c r="LC783" s="1750"/>
      <c r="LD783" s="1750"/>
      <c r="LE783" s="1750"/>
      <c r="LF783" s="1750"/>
      <c r="LG783" s="1750"/>
    </row>
    <row r="784" spans="1:319" ht="9" customHeight="1">
      <c r="H784" s="360"/>
      <c r="Q784" s="2025"/>
      <c r="S784" s="1821" t="str">
        <f>C785</f>
        <v>Building Type:
(for Cost Limit purposes only - see Application Instructions for further detail)</v>
      </c>
      <c r="U784" s="2224"/>
      <c r="AY784" s="359"/>
      <c r="BD784" s="359"/>
      <c r="JW784" s="1750"/>
      <c r="KB784" s="1750"/>
      <c r="KG784" s="1750"/>
      <c r="KL784" s="1750"/>
      <c r="KM784" s="1750"/>
      <c r="KN784" s="1750"/>
      <c r="KO784" s="1750"/>
      <c r="KP784" s="1750"/>
      <c r="KQ784" s="1750"/>
      <c r="KR784" s="1750"/>
      <c r="KS784" s="1750"/>
      <c r="KT784" s="1750"/>
      <c r="KU784" s="1750"/>
      <c r="KV784" s="1750"/>
      <c r="KW784" s="1750"/>
      <c r="KX784" s="1750"/>
      <c r="KY784" s="1750"/>
      <c r="KZ784" s="1750"/>
      <c r="LA784" s="1750"/>
      <c r="LB784" s="1750"/>
      <c r="LC784" s="1750"/>
      <c r="LD784" s="1750"/>
      <c r="LE784" s="1750"/>
      <c r="LF784" s="1750"/>
      <c r="LG784" s="1750"/>
    </row>
    <row r="785" spans="1:319" ht="14.25" customHeight="1">
      <c r="C785" s="2258" t="s">
        <v>6855</v>
      </c>
      <c r="D785" s="2258"/>
      <c r="E785" s="1505" t="s">
        <v>2995</v>
      </c>
      <c r="F785" s="2029"/>
      <c r="H785" s="1884"/>
      <c r="I785" s="1875"/>
      <c r="K785" s="2251">
        <f t="shared" ref="K785:O786" si="367">K774+K778+K780</f>
        <v>0</v>
      </c>
      <c r="L785" s="2251">
        <f>L774+L778+L780</f>
        <v>0</v>
      </c>
      <c r="M785" s="2251">
        <f t="shared" si="367"/>
        <v>0</v>
      </c>
      <c r="N785" s="2251">
        <f t="shared" si="367"/>
        <v>0</v>
      </c>
      <c r="O785" s="2251">
        <f t="shared" si="367"/>
        <v>0</v>
      </c>
      <c r="P785" s="2251">
        <f t="shared" ref="P785:P792" si="368">SUM(K785:O785)</f>
        <v>0</v>
      </c>
      <c r="S785" s="2160"/>
      <c r="T785" s="2160"/>
      <c r="U785" s="2160"/>
      <c r="V785" s="2160"/>
      <c r="W785" s="2160"/>
      <c r="X785" s="359"/>
      <c r="AA785" s="359"/>
      <c r="AB785" s="362"/>
      <c r="AC785" s="359"/>
      <c r="AF785" s="359"/>
      <c r="AG785" s="362"/>
      <c r="AH785" s="359"/>
      <c r="AK785" s="359"/>
      <c r="AL785" s="362"/>
      <c r="AM785" s="359"/>
      <c r="AP785" s="359"/>
      <c r="AQ785" s="362"/>
      <c r="AR785" s="363"/>
      <c r="AS785" s="363"/>
      <c r="AT785" s="363"/>
      <c r="AU785" s="363"/>
      <c r="AV785" s="363"/>
      <c r="AW785" s="363"/>
      <c r="BB785" s="363"/>
    </row>
    <row r="786" spans="1:319" ht="14.25" customHeight="1">
      <c r="C786" s="2258"/>
      <c r="D786" s="2258"/>
      <c r="E786" s="1505"/>
      <c r="F786" s="2029"/>
      <c r="H786" s="2267" t="s">
        <v>3000</v>
      </c>
      <c r="I786" s="2268"/>
      <c r="K786" s="2257">
        <f t="shared" si="367"/>
        <v>0</v>
      </c>
      <c r="L786" s="2257">
        <f t="shared" si="367"/>
        <v>0</v>
      </c>
      <c r="M786" s="2257">
        <f t="shared" si="367"/>
        <v>0</v>
      </c>
      <c r="N786" s="2257">
        <f t="shared" si="367"/>
        <v>0</v>
      </c>
      <c r="O786" s="2257">
        <f t="shared" si="367"/>
        <v>0</v>
      </c>
      <c r="P786" s="2257">
        <f t="shared" si="368"/>
        <v>0</v>
      </c>
      <c r="S786" s="2160"/>
      <c r="T786" s="2160"/>
      <c r="U786" s="2160"/>
      <c r="V786" s="2160"/>
      <c r="W786" s="2160"/>
      <c r="X786" s="359"/>
      <c r="AA786" s="359"/>
      <c r="AB786" s="362"/>
      <c r="AC786" s="359"/>
      <c r="AF786" s="359"/>
      <c r="AG786" s="362"/>
      <c r="AH786" s="359"/>
      <c r="AK786" s="359"/>
      <c r="AL786" s="362"/>
      <c r="AM786" s="359"/>
      <c r="AP786" s="359"/>
      <c r="AQ786" s="362"/>
      <c r="AR786" s="363"/>
      <c r="AS786" s="363"/>
      <c r="AT786" s="363"/>
      <c r="AU786" s="363"/>
      <c r="AV786" s="363"/>
      <c r="AW786" s="363"/>
      <c r="BB786" s="363"/>
    </row>
    <row r="787" spans="1:319" ht="14.25" customHeight="1">
      <c r="C787" s="2258"/>
      <c r="D787" s="2258"/>
      <c r="E787" s="1505" t="s">
        <v>2996</v>
      </c>
      <c r="F787" s="2029"/>
      <c r="H787" s="2046"/>
      <c r="I787" s="2029"/>
      <c r="K787" s="2251">
        <f t="shared" ref="K787:O788" si="369">K776</f>
        <v>0</v>
      </c>
      <c r="L787" s="2251">
        <f t="shared" si="369"/>
        <v>0</v>
      </c>
      <c r="M787" s="2251">
        <f t="shared" si="369"/>
        <v>0</v>
      </c>
      <c r="N787" s="2251">
        <f t="shared" si="369"/>
        <v>0</v>
      </c>
      <c r="O787" s="2251">
        <f t="shared" si="369"/>
        <v>0</v>
      </c>
      <c r="P787" s="2251">
        <f t="shared" si="368"/>
        <v>0</v>
      </c>
      <c r="S787" s="2160"/>
      <c r="T787" s="2160"/>
      <c r="U787" s="2160"/>
      <c r="V787" s="2160"/>
      <c r="W787" s="2160"/>
      <c r="X787" s="359"/>
      <c r="AA787" s="359"/>
      <c r="AB787" s="362"/>
      <c r="AC787" s="359"/>
      <c r="AF787" s="359"/>
      <c r="AG787" s="362"/>
      <c r="AH787" s="359"/>
      <c r="AK787" s="359"/>
      <c r="AL787" s="362"/>
      <c r="AM787" s="359"/>
      <c r="AP787" s="359"/>
      <c r="AQ787" s="362"/>
      <c r="AR787" s="363"/>
      <c r="AS787" s="363"/>
      <c r="AT787" s="363"/>
      <c r="AU787" s="363"/>
      <c r="AV787" s="363"/>
      <c r="AW787" s="363"/>
      <c r="BB787" s="363"/>
    </row>
    <row r="788" spans="1:319" ht="14.25" customHeight="1">
      <c r="C788" s="2258"/>
      <c r="D788" s="2258"/>
      <c r="E788" s="1505"/>
      <c r="F788" s="2029"/>
      <c r="H788" s="2267" t="s">
        <v>3000</v>
      </c>
      <c r="I788" s="2268"/>
      <c r="K788" s="2257">
        <f t="shared" si="369"/>
        <v>0</v>
      </c>
      <c r="L788" s="2257">
        <f t="shared" si="369"/>
        <v>0</v>
      </c>
      <c r="M788" s="2257">
        <f t="shared" si="369"/>
        <v>0</v>
      </c>
      <c r="N788" s="2257">
        <f t="shared" si="369"/>
        <v>0</v>
      </c>
      <c r="O788" s="2257">
        <f t="shared" si="369"/>
        <v>0</v>
      </c>
      <c r="P788" s="2257">
        <f t="shared" si="368"/>
        <v>0</v>
      </c>
      <c r="S788" s="2160"/>
      <c r="T788" s="2160"/>
      <c r="U788" s="2160"/>
      <c r="V788" s="2160"/>
      <c r="W788" s="2160"/>
      <c r="X788" s="359"/>
      <c r="AA788" s="359"/>
      <c r="AB788" s="362"/>
      <c r="AC788" s="359"/>
      <c r="AF788" s="359"/>
      <c r="AG788" s="362"/>
      <c r="AH788" s="359"/>
      <c r="AK788" s="359"/>
      <c r="AL788" s="362"/>
      <c r="AM788" s="359"/>
      <c r="AP788" s="359"/>
      <c r="AQ788" s="362"/>
      <c r="AR788" s="363"/>
      <c r="AS788" s="363"/>
      <c r="AT788" s="363"/>
      <c r="AU788" s="363"/>
      <c r="AV788" s="363"/>
      <c r="AW788" s="363"/>
      <c r="BB788" s="363"/>
    </row>
    <row r="789" spans="1:319" ht="14.25" customHeight="1">
      <c r="C789" s="2258"/>
      <c r="D789" s="2258"/>
      <c r="E789" s="1505" t="s">
        <v>2997</v>
      </c>
      <c r="F789" s="2029"/>
      <c r="H789" s="1884"/>
      <c r="I789" s="1875"/>
      <c r="K789" s="2251">
        <f>K766+K770</f>
        <v>0</v>
      </c>
      <c r="L789" s="2251">
        <f t="shared" ref="L789:O792" si="370">L766+L770</f>
        <v>15</v>
      </c>
      <c r="M789" s="2251">
        <f t="shared" si="370"/>
        <v>39</v>
      </c>
      <c r="N789" s="2251">
        <f t="shared" si="370"/>
        <v>45</v>
      </c>
      <c r="O789" s="2251">
        <f t="shared" si="370"/>
        <v>21</v>
      </c>
      <c r="P789" s="2251">
        <f t="shared" si="368"/>
        <v>120</v>
      </c>
      <c r="S789" s="2160"/>
      <c r="T789" s="2160"/>
      <c r="U789" s="2160"/>
      <c r="V789" s="2160"/>
      <c r="W789" s="2160"/>
      <c r="X789" s="359"/>
      <c r="AA789" s="359"/>
      <c r="AB789" s="362"/>
      <c r="AC789" s="359"/>
      <c r="AF789" s="359"/>
      <c r="AG789" s="362"/>
      <c r="AH789" s="359"/>
      <c r="AK789" s="359"/>
      <c r="AL789" s="362"/>
      <c r="AM789" s="359"/>
      <c r="AP789" s="359"/>
      <c r="AQ789" s="362"/>
      <c r="AR789" s="363"/>
      <c r="AS789" s="363"/>
      <c r="AT789" s="363"/>
      <c r="AU789" s="363"/>
      <c r="AV789" s="363"/>
      <c r="AW789" s="363"/>
      <c r="BB789" s="363"/>
    </row>
    <row r="790" spans="1:319" ht="14.25" customHeight="1">
      <c r="C790" s="2258"/>
      <c r="D790" s="2258"/>
      <c r="E790" s="1505"/>
      <c r="F790" s="2029"/>
      <c r="H790" s="2267" t="s">
        <v>3000</v>
      </c>
      <c r="I790" s="2268"/>
      <c r="K790" s="2257">
        <f>K767+K771</f>
        <v>0</v>
      </c>
      <c r="L790" s="2257">
        <f t="shared" si="370"/>
        <v>0</v>
      </c>
      <c r="M790" s="2257">
        <f t="shared" si="370"/>
        <v>0</v>
      </c>
      <c r="N790" s="2257">
        <f t="shared" si="370"/>
        <v>0</v>
      </c>
      <c r="O790" s="2257">
        <f t="shared" si="370"/>
        <v>0</v>
      </c>
      <c r="P790" s="2257">
        <f t="shared" si="368"/>
        <v>0</v>
      </c>
      <c r="S790" s="2160"/>
      <c r="T790" s="2160"/>
      <c r="U790" s="2160"/>
      <c r="V790" s="2160"/>
      <c r="W790" s="2160"/>
      <c r="X790" s="359"/>
      <c r="AA790" s="359"/>
      <c r="AB790" s="362"/>
      <c r="AC790" s="359"/>
      <c r="AF790" s="359"/>
      <c r="AG790" s="362"/>
      <c r="AH790" s="359"/>
      <c r="AK790" s="359"/>
      <c r="AL790" s="362"/>
      <c r="AM790" s="359"/>
      <c r="AP790" s="359"/>
      <c r="AQ790" s="362"/>
      <c r="AR790" s="363"/>
      <c r="AS790" s="363"/>
      <c r="AT790" s="363"/>
      <c r="AU790" s="363"/>
      <c r="AV790" s="363"/>
      <c r="AW790" s="363"/>
      <c r="BB790" s="363"/>
    </row>
    <row r="791" spans="1:319" ht="14.25" customHeight="1">
      <c r="C791" s="2258"/>
      <c r="D791" s="2258"/>
      <c r="E791" s="1505" t="s">
        <v>2998</v>
      </c>
      <c r="F791" s="2029"/>
      <c r="H791" s="1884"/>
      <c r="I791" s="1875"/>
      <c r="K791" s="2251">
        <f>K768+K772</f>
        <v>0</v>
      </c>
      <c r="L791" s="2251">
        <f t="shared" si="370"/>
        <v>0</v>
      </c>
      <c r="M791" s="2251">
        <f t="shared" si="370"/>
        <v>0</v>
      </c>
      <c r="N791" s="2251">
        <f t="shared" si="370"/>
        <v>0</v>
      </c>
      <c r="O791" s="2251">
        <f t="shared" si="370"/>
        <v>0</v>
      </c>
      <c r="P791" s="2251">
        <f t="shared" si="368"/>
        <v>0</v>
      </c>
      <c r="S791" s="2160"/>
      <c r="T791" s="2160"/>
      <c r="U791" s="2160"/>
      <c r="V791" s="2160"/>
      <c r="W791" s="2160"/>
      <c r="X791" s="359"/>
      <c r="AA791" s="359"/>
      <c r="AB791" s="362"/>
      <c r="AC791" s="359"/>
      <c r="AF791" s="359"/>
      <c r="AG791" s="362"/>
      <c r="AH791" s="359"/>
      <c r="AK791" s="359"/>
      <c r="AL791" s="362"/>
      <c r="AM791" s="359"/>
      <c r="AP791" s="359"/>
      <c r="AQ791" s="362"/>
      <c r="AR791" s="363"/>
      <c r="AS791" s="363"/>
      <c r="AT791" s="363"/>
      <c r="AU791" s="363"/>
      <c r="AV791" s="363"/>
      <c r="AW791" s="363"/>
      <c r="BB791" s="363"/>
    </row>
    <row r="792" spans="1:319" ht="14.25" customHeight="1">
      <c r="C792" s="359"/>
      <c r="D792" s="359"/>
      <c r="E792" s="403"/>
      <c r="F792" s="2029"/>
      <c r="H792" s="2267" t="s">
        <v>3000</v>
      </c>
      <c r="I792" s="2268"/>
      <c r="K792" s="2257">
        <f>K769+K773</f>
        <v>0</v>
      </c>
      <c r="L792" s="2257">
        <f t="shared" si="370"/>
        <v>0</v>
      </c>
      <c r="M792" s="2257">
        <f t="shared" si="370"/>
        <v>0</v>
      </c>
      <c r="N792" s="2257">
        <f t="shared" si="370"/>
        <v>0</v>
      </c>
      <c r="O792" s="2257">
        <f t="shared" si="370"/>
        <v>0</v>
      </c>
      <c r="P792" s="2257">
        <f t="shared" si="368"/>
        <v>0</v>
      </c>
      <c r="Q792" s="2262" t="s">
        <v>6767</v>
      </c>
      <c r="S792" s="2160"/>
      <c r="T792" s="2160"/>
      <c r="U792" s="2160"/>
      <c r="V792" s="2160"/>
      <c r="W792" s="2160"/>
      <c r="X792" s="359"/>
      <c r="AA792" s="359"/>
      <c r="AB792" s="362"/>
      <c r="AC792" s="359"/>
      <c r="AF792" s="359"/>
      <c r="AG792" s="362"/>
      <c r="AH792" s="359"/>
      <c r="AK792" s="359"/>
      <c r="AL792" s="362"/>
      <c r="AM792" s="359"/>
      <c r="AP792" s="359"/>
      <c r="AQ792" s="362"/>
      <c r="AR792" s="363"/>
      <c r="AS792" s="363"/>
      <c r="AT792" s="363"/>
      <c r="AU792" s="363"/>
      <c r="AV792" s="363"/>
      <c r="AW792" s="363"/>
      <c r="BB792" s="363"/>
    </row>
    <row r="793" spans="1:319" ht="27.75" customHeight="1">
      <c r="A793" s="2218"/>
      <c r="B793" s="2218"/>
      <c r="D793" s="2025"/>
      <c r="E793" s="1505"/>
      <c r="F793" s="359"/>
      <c r="H793" s="362"/>
      <c r="I793" s="362"/>
      <c r="K793" s="2263"/>
      <c r="L793" s="2263"/>
      <c r="M793" s="2263"/>
      <c r="N793" s="2263"/>
      <c r="O793" s="2263"/>
      <c r="P793" s="2263"/>
      <c r="Q793" s="2262"/>
      <c r="S793" s="378"/>
      <c r="U793" s="1883"/>
      <c r="X793" s="359"/>
      <c r="AA793" s="359"/>
      <c r="AB793" s="362"/>
      <c r="AC793" s="359"/>
      <c r="AF793" s="359"/>
      <c r="AG793" s="362"/>
      <c r="AH793" s="359"/>
      <c r="AK793" s="359"/>
      <c r="AL793" s="362"/>
      <c r="AM793" s="359"/>
      <c r="AP793" s="359"/>
      <c r="AQ793" s="362"/>
      <c r="AR793" s="359"/>
      <c r="AS793" s="359"/>
      <c r="AT793" s="359"/>
      <c r="AU793" s="359"/>
      <c r="AV793" s="359"/>
      <c r="AW793" s="359"/>
      <c r="AY793" s="359"/>
      <c r="BB793" s="359"/>
      <c r="BD793" s="359"/>
      <c r="JW793" s="1750"/>
      <c r="KB793" s="1750"/>
      <c r="KG793" s="1750"/>
      <c r="KL793" s="1750"/>
      <c r="KM793" s="1750"/>
      <c r="KN793" s="1750"/>
      <c r="KO793" s="1750"/>
      <c r="KP793" s="1750"/>
      <c r="KQ793" s="1750"/>
      <c r="KR793" s="1750"/>
      <c r="KS793" s="1750"/>
      <c r="KT793" s="1750"/>
      <c r="KU793" s="1750"/>
      <c r="KV793" s="1750"/>
      <c r="KW793" s="1750"/>
      <c r="KX793" s="1750"/>
      <c r="KY793" s="1750"/>
      <c r="KZ793" s="1750"/>
      <c r="LA793" s="1750"/>
      <c r="LB793" s="1750"/>
      <c r="LC793" s="1750"/>
      <c r="LD793" s="1750"/>
      <c r="LE793" s="1750"/>
      <c r="LF793" s="1750"/>
      <c r="LG793" s="1750"/>
    </row>
    <row r="794" spans="1:319" ht="12" customHeight="1">
      <c r="B794" s="357" t="s">
        <v>6502</v>
      </c>
      <c r="C794" s="359"/>
      <c r="D794" s="359"/>
      <c r="E794" s="359"/>
      <c r="F794" s="359"/>
      <c r="H794" s="1875"/>
      <c r="I794" s="1875"/>
      <c r="K794" s="2149"/>
      <c r="L794" s="2149"/>
      <c r="M794" s="2149"/>
      <c r="N794" s="2149"/>
      <c r="O794" s="2149"/>
      <c r="P794" s="2149"/>
      <c r="Q794" s="2262"/>
      <c r="S794" s="1821" t="str">
        <f>B794</f>
        <v>UNIT SQUARE FOOTAGE</v>
      </c>
      <c r="T794" s="1821"/>
      <c r="U794" s="1821"/>
      <c r="X794" s="359"/>
      <c r="AA794" s="359"/>
      <c r="AB794" s="362"/>
      <c r="AC794" s="359"/>
      <c r="AF794" s="359"/>
      <c r="AG794" s="362"/>
      <c r="AH794" s="359"/>
      <c r="AK794" s="359"/>
      <c r="AL794" s="362"/>
      <c r="AM794" s="359"/>
      <c r="AP794" s="359"/>
      <c r="AQ794" s="362"/>
      <c r="AR794" s="359"/>
      <c r="AS794" s="359"/>
      <c r="AT794" s="359"/>
      <c r="AU794" s="359"/>
      <c r="AV794" s="359"/>
      <c r="AW794" s="359"/>
      <c r="AY794" s="359"/>
      <c r="BB794" s="359"/>
      <c r="BD794" s="359"/>
      <c r="JW794" s="1750"/>
      <c r="KB794" s="1750"/>
      <c r="KG794" s="1750"/>
      <c r="KL794" s="1750"/>
      <c r="KM794" s="1750"/>
      <c r="KN794" s="1750"/>
      <c r="KO794" s="1750"/>
      <c r="KP794" s="1750"/>
      <c r="KQ794" s="1750"/>
      <c r="KR794" s="1750"/>
      <c r="KS794" s="1750"/>
      <c r="KT794" s="1750"/>
      <c r="KU794" s="1750"/>
      <c r="KV794" s="1750"/>
      <c r="KW794" s="1750"/>
      <c r="KX794" s="1750"/>
      <c r="KY794" s="1750"/>
      <c r="KZ794" s="1750"/>
      <c r="LA794" s="1750"/>
      <c r="LB794" s="1750"/>
      <c r="LC794" s="1750"/>
      <c r="LD794" s="1750"/>
      <c r="LE794" s="1750"/>
      <c r="LF794" s="1750"/>
      <c r="LG794" s="1750"/>
    </row>
    <row r="795" spans="1:319" ht="14.25" customHeight="1">
      <c r="C795" s="359" t="s">
        <v>1983</v>
      </c>
      <c r="D795" s="359"/>
      <c r="E795" s="359"/>
      <c r="F795" s="359"/>
      <c r="H795" s="360" t="s">
        <v>3680</v>
      </c>
      <c r="I795" s="807"/>
      <c r="K795" s="2264">
        <f>EI687</f>
        <v>0</v>
      </c>
      <c r="L795" s="2264">
        <f>EJ687</f>
        <v>4225</v>
      </c>
      <c r="M795" s="2264">
        <f>EK687</f>
        <v>8092</v>
      </c>
      <c r="N795" s="2264">
        <f>EL687</f>
        <v>13640</v>
      </c>
      <c r="O795" s="2264">
        <f>EM687</f>
        <v>4713</v>
      </c>
      <c r="P795" s="2269">
        <f t="shared" ref="P795:P801" si="371">SUM(K795:O795)</f>
        <v>30670</v>
      </c>
      <c r="Q795" s="2261">
        <f t="shared" ref="Q795:Q801" si="372">IF(OR(P694=0,P694=""),"",P795/P694)</f>
        <v>1226.8</v>
      </c>
      <c r="S795" s="2160"/>
      <c r="T795" s="2160"/>
      <c r="U795" s="2160"/>
      <c r="V795" s="2160"/>
      <c r="W795" s="2160"/>
      <c r="X795" s="359"/>
      <c r="AA795" s="359"/>
      <c r="AB795" s="362"/>
      <c r="AC795" s="359"/>
      <c r="AF795" s="359"/>
      <c r="AG795" s="362"/>
      <c r="AH795" s="359"/>
      <c r="AK795" s="359"/>
      <c r="AL795" s="362"/>
      <c r="AM795" s="359"/>
      <c r="AP795" s="359"/>
      <c r="AQ795" s="362"/>
      <c r="AR795" s="363"/>
      <c r="AS795" s="363"/>
      <c r="AT795" s="363"/>
      <c r="AU795" s="363"/>
      <c r="AV795" s="363"/>
      <c r="AW795" s="363"/>
      <c r="AY795" s="359"/>
      <c r="BB795" s="363"/>
      <c r="BD795" s="359"/>
      <c r="JW795" s="1750"/>
      <c r="KB795" s="1750"/>
      <c r="KG795" s="1750"/>
      <c r="KL795" s="1750"/>
      <c r="KM795" s="1750"/>
      <c r="KN795" s="1750"/>
      <c r="KO795" s="1750"/>
      <c r="KP795" s="1750"/>
      <c r="KQ795" s="1750"/>
      <c r="KR795" s="1750"/>
      <c r="KS795" s="1750"/>
      <c r="KT795" s="1750"/>
      <c r="KU795" s="1750"/>
      <c r="KV795" s="1750"/>
      <c r="KW795" s="1750"/>
      <c r="KX795" s="1750"/>
      <c r="KY795" s="1750"/>
      <c r="KZ795" s="1750"/>
      <c r="LA795" s="1750"/>
      <c r="LB795" s="1750"/>
      <c r="LC795" s="1750"/>
      <c r="LD795" s="1750"/>
      <c r="LE795" s="1750"/>
      <c r="LF795" s="1750"/>
      <c r="LG795" s="1750"/>
    </row>
    <row r="796" spans="1:319" ht="14.25" customHeight="1">
      <c r="C796" s="359"/>
      <c r="D796" s="359"/>
      <c r="E796" s="359"/>
      <c r="F796" s="359"/>
      <c r="H796" s="1884" t="s">
        <v>3681</v>
      </c>
      <c r="I796" s="1875"/>
      <c r="K796" s="2269">
        <f>EN687</f>
        <v>0</v>
      </c>
      <c r="L796" s="2269">
        <f>EO687</f>
        <v>0</v>
      </c>
      <c r="M796" s="2269">
        <f>EP687</f>
        <v>0</v>
      </c>
      <c r="N796" s="2269">
        <f>EQ687</f>
        <v>0</v>
      </c>
      <c r="O796" s="2269">
        <f>ER687</f>
        <v>0</v>
      </c>
      <c r="P796" s="2269">
        <f t="shared" si="371"/>
        <v>0</v>
      </c>
      <c r="Q796" s="2261" t="str">
        <f t="shared" si="372"/>
        <v/>
      </c>
      <c r="S796" s="2160"/>
      <c r="T796" s="2160"/>
      <c r="U796" s="2160"/>
      <c r="V796" s="2160"/>
      <c r="W796" s="2160"/>
      <c r="X796" s="359"/>
      <c r="AA796" s="359"/>
      <c r="AB796" s="362"/>
      <c r="AC796" s="359"/>
      <c r="AF796" s="359"/>
      <c r="AG796" s="362"/>
      <c r="AH796" s="359"/>
      <c r="AK796" s="359"/>
      <c r="AL796" s="362"/>
      <c r="AM796" s="359"/>
      <c r="AP796" s="359"/>
      <c r="AQ796" s="362"/>
      <c r="AR796" s="363"/>
      <c r="AS796" s="363"/>
      <c r="AT796" s="363"/>
      <c r="AU796" s="363"/>
      <c r="AV796" s="363"/>
      <c r="AW796" s="363"/>
      <c r="AY796" s="359"/>
      <c r="BB796" s="363"/>
      <c r="BD796" s="359"/>
      <c r="JW796" s="1750"/>
      <c r="KB796" s="1750"/>
      <c r="KG796" s="1750"/>
      <c r="KL796" s="1750"/>
      <c r="KM796" s="1750"/>
      <c r="KN796" s="1750"/>
      <c r="KO796" s="1750"/>
      <c r="KP796" s="1750"/>
      <c r="KQ796" s="1750"/>
      <c r="KR796" s="1750"/>
      <c r="KS796" s="1750"/>
      <c r="KT796" s="1750"/>
      <c r="KU796" s="1750"/>
      <c r="KV796" s="1750"/>
      <c r="KW796" s="1750"/>
      <c r="KX796" s="1750"/>
      <c r="KY796" s="1750"/>
      <c r="KZ796" s="1750"/>
      <c r="LA796" s="1750"/>
      <c r="LB796" s="1750"/>
      <c r="LC796" s="1750"/>
      <c r="LD796" s="1750"/>
      <c r="LE796" s="1750"/>
      <c r="LF796" s="1750"/>
      <c r="LG796" s="1750"/>
    </row>
    <row r="797" spans="1:319" ht="14.25" customHeight="1">
      <c r="C797" s="359"/>
      <c r="D797" s="359"/>
      <c r="E797" s="359"/>
      <c r="F797" s="359"/>
      <c r="H797" s="1884" t="s">
        <v>1082</v>
      </c>
      <c r="I797" s="1875"/>
      <c r="K797" s="2269">
        <f>ES687</f>
        <v>0</v>
      </c>
      <c r="L797" s="2269">
        <f>ET687</f>
        <v>5070</v>
      </c>
      <c r="M797" s="2269">
        <f>EU687</f>
        <v>19652</v>
      </c>
      <c r="N797" s="2269">
        <f>EV687</f>
        <v>31372</v>
      </c>
      <c r="O797" s="2269">
        <f>EW687</f>
        <v>18852</v>
      </c>
      <c r="P797" s="2269">
        <f t="shared" si="371"/>
        <v>74946</v>
      </c>
      <c r="Q797" s="2261">
        <f t="shared" si="372"/>
        <v>1292.1724137931035</v>
      </c>
      <c r="S797" s="2160"/>
      <c r="T797" s="2160"/>
      <c r="U797" s="2160"/>
      <c r="V797" s="2160"/>
      <c r="W797" s="2160"/>
      <c r="X797" s="359"/>
      <c r="AA797" s="359"/>
      <c r="AB797" s="362"/>
      <c r="AC797" s="359"/>
      <c r="AF797" s="359"/>
      <c r="AG797" s="362"/>
      <c r="AH797" s="359"/>
      <c r="AK797" s="359"/>
      <c r="AL797" s="362"/>
      <c r="AM797" s="359"/>
      <c r="AP797" s="359"/>
      <c r="AQ797" s="362"/>
      <c r="AR797" s="363"/>
      <c r="AS797" s="363"/>
      <c r="AT797" s="363"/>
      <c r="AU797" s="363"/>
      <c r="AV797" s="363"/>
      <c r="AW797" s="363"/>
      <c r="AY797" s="359"/>
      <c r="BB797" s="363"/>
      <c r="BD797" s="359"/>
      <c r="JW797" s="1750"/>
      <c r="KB797" s="1750"/>
      <c r="KG797" s="1750"/>
      <c r="KL797" s="1750"/>
      <c r="KM797" s="1750"/>
      <c r="KN797" s="1750"/>
      <c r="KO797" s="1750"/>
      <c r="KP797" s="1750"/>
      <c r="KQ797" s="1750"/>
      <c r="KR797" s="1750"/>
      <c r="KS797" s="1750"/>
      <c r="KT797" s="1750"/>
      <c r="KU797" s="1750"/>
      <c r="KV797" s="1750"/>
      <c r="KW797" s="1750"/>
      <c r="KX797" s="1750"/>
      <c r="KY797" s="1750"/>
      <c r="KZ797" s="1750"/>
      <c r="LA797" s="1750"/>
      <c r="LB797" s="1750"/>
      <c r="LC797" s="1750"/>
      <c r="LD797" s="1750"/>
      <c r="LE797" s="1750"/>
      <c r="LF797" s="1750"/>
      <c r="LG797" s="1750"/>
    </row>
    <row r="798" spans="1:319" ht="14.25" customHeight="1">
      <c r="C798" s="359"/>
      <c r="D798" s="359"/>
      <c r="E798" s="359"/>
      <c r="F798" s="359"/>
      <c r="H798" s="1884" t="s">
        <v>112</v>
      </c>
      <c r="I798" s="1875"/>
      <c r="K798" s="2269">
        <f>EX687</f>
        <v>0</v>
      </c>
      <c r="L798" s="2269">
        <f>EY687</f>
        <v>0</v>
      </c>
      <c r="M798" s="2269">
        <f>EZ687</f>
        <v>0</v>
      </c>
      <c r="N798" s="2269">
        <f>FA687</f>
        <v>0</v>
      </c>
      <c r="O798" s="2269">
        <f>FB687</f>
        <v>0</v>
      </c>
      <c r="P798" s="2269">
        <f t="shared" si="371"/>
        <v>0</v>
      </c>
      <c r="Q798" s="2261" t="str">
        <f t="shared" si="372"/>
        <v/>
      </c>
      <c r="S798" s="2160"/>
      <c r="T798" s="2160"/>
      <c r="U798" s="2160"/>
      <c r="V798" s="2160"/>
      <c r="W798" s="2160"/>
      <c r="X798" s="359"/>
      <c r="AA798" s="359"/>
      <c r="AB798" s="362"/>
      <c r="AC798" s="359"/>
      <c r="AF798" s="359"/>
      <c r="AG798" s="362"/>
      <c r="AH798" s="359"/>
      <c r="AK798" s="359"/>
      <c r="AL798" s="362"/>
      <c r="AM798" s="359"/>
      <c r="AP798" s="359"/>
      <c r="AQ798" s="362"/>
      <c r="AR798" s="363"/>
      <c r="AS798" s="363"/>
      <c r="AT798" s="363"/>
      <c r="AU798" s="363"/>
      <c r="AV798" s="363"/>
      <c r="AW798" s="363"/>
      <c r="AY798" s="359"/>
      <c r="BB798" s="363"/>
      <c r="BD798" s="359"/>
      <c r="JW798" s="1750"/>
      <c r="KB798" s="1750"/>
      <c r="KG798" s="1750"/>
      <c r="KL798" s="1750"/>
      <c r="KM798" s="1750"/>
      <c r="KN798" s="1750"/>
      <c r="KO798" s="1750"/>
      <c r="KP798" s="1750"/>
      <c r="KQ798" s="1750"/>
      <c r="KR798" s="1750"/>
      <c r="KS798" s="1750"/>
      <c r="KT798" s="1750"/>
      <c r="KU798" s="1750"/>
      <c r="KV798" s="1750"/>
      <c r="KW798" s="1750"/>
      <c r="KX798" s="1750"/>
      <c r="KY798" s="1750"/>
      <c r="KZ798" s="1750"/>
      <c r="LA798" s="1750"/>
      <c r="LB798" s="1750"/>
      <c r="LC798" s="1750"/>
      <c r="LD798" s="1750"/>
      <c r="LE798" s="1750"/>
      <c r="LF798" s="1750"/>
      <c r="LG798" s="1750"/>
    </row>
    <row r="799" spans="1:319" ht="14.25" customHeight="1">
      <c r="C799" s="359"/>
      <c r="D799" s="359"/>
      <c r="E799" s="359"/>
      <c r="F799" s="359"/>
      <c r="H799" s="1884" t="s">
        <v>3682</v>
      </c>
      <c r="I799" s="1875"/>
      <c r="K799" s="2269">
        <f>FC687</f>
        <v>0</v>
      </c>
      <c r="L799" s="2269">
        <f>FD687</f>
        <v>0</v>
      </c>
      <c r="M799" s="2269">
        <f>FE687</f>
        <v>0</v>
      </c>
      <c r="N799" s="2269">
        <f>FF687</f>
        <v>0</v>
      </c>
      <c r="O799" s="2269">
        <f>FG687</f>
        <v>0</v>
      </c>
      <c r="P799" s="2269">
        <f t="shared" si="371"/>
        <v>0</v>
      </c>
      <c r="Q799" s="2261" t="str">
        <f t="shared" si="372"/>
        <v/>
      </c>
      <c r="S799" s="2160"/>
      <c r="T799" s="2160"/>
      <c r="U799" s="2160"/>
      <c r="V799" s="2160"/>
      <c r="W799" s="2160"/>
      <c r="X799" s="359"/>
      <c r="AA799" s="359"/>
      <c r="AB799" s="362"/>
      <c r="AC799" s="359"/>
      <c r="AF799" s="359"/>
      <c r="AG799" s="362"/>
      <c r="AH799" s="359"/>
      <c r="AK799" s="359"/>
      <c r="AL799" s="362"/>
      <c r="AM799" s="359"/>
      <c r="AP799" s="359"/>
      <c r="AQ799" s="362"/>
      <c r="AR799" s="363"/>
      <c r="AS799" s="363"/>
      <c r="AT799" s="363"/>
      <c r="AU799" s="363"/>
      <c r="AV799" s="363"/>
      <c r="AW799" s="363"/>
      <c r="AY799" s="359"/>
      <c r="BB799" s="363"/>
      <c r="BD799" s="359"/>
      <c r="JW799" s="1750"/>
      <c r="KB799" s="1750"/>
      <c r="KG799" s="1750"/>
      <c r="KL799" s="1750"/>
      <c r="KM799" s="1750"/>
      <c r="KN799" s="1750"/>
      <c r="KO799" s="1750"/>
      <c r="KP799" s="1750"/>
      <c r="KQ799" s="1750"/>
      <c r="KR799" s="1750"/>
      <c r="KS799" s="1750"/>
      <c r="KT799" s="1750"/>
      <c r="KU799" s="1750"/>
      <c r="KV799" s="1750"/>
      <c r="KW799" s="1750"/>
      <c r="KX799" s="1750"/>
      <c r="KY799" s="1750"/>
      <c r="KZ799" s="1750"/>
      <c r="LA799" s="1750"/>
      <c r="LB799" s="1750"/>
      <c r="LC799" s="1750"/>
      <c r="LD799" s="1750"/>
      <c r="LE799" s="1750"/>
      <c r="LF799" s="1750"/>
      <c r="LG799" s="1750"/>
    </row>
    <row r="800" spans="1:319" ht="14.25" customHeight="1">
      <c r="C800" s="359"/>
      <c r="D800" s="359"/>
      <c r="E800" s="359"/>
      <c r="F800" s="359"/>
      <c r="H800" s="1884" t="s">
        <v>3683</v>
      </c>
      <c r="I800" s="1875"/>
      <c r="K800" s="2269">
        <f>FH687</f>
        <v>0</v>
      </c>
      <c r="L800" s="2269">
        <f>FI687</f>
        <v>3380</v>
      </c>
      <c r="M800" s="2269">
        <f>FJ687</f>
        <v>17340</v>
      </c>
      <c r="N800" s="2269">
        <f>FK687</f>
        <v>16368</v>
      </c>
      <c r="O800" s="2269">
        <f>FL687</f>
        <v>9426</v>
      </c>
      <c r="P800" s="2269">
        <f t="shared" si="371"/>
        <v>46514</v>
      </c>
      <c r="Q800" s="2261">
        <f t="shared" si="372"/>
        <v>1257.1351351351352</v>
      </c>
      <c r="S800" s="2160"/>
      <c r="T800" s="2160"/>
      <c r="U800" s="2160"/>
      <c r="V800" s="2160"/>
      <c r="W800" s="2160"/>
      <c r="X800" s="359"/>
      <c r="AA800" s="359"/>
      <c r="AB800" s="362"/>
      <c r="AC800" s="359"/>
      <c r="AF800" s="359"/>
      <c r="AG800" s="362"/>
      <c r="AH800" s="359"/>
      <c r="AK800" s="359"/>
      <c r="AL800" s="362"/>
      <c r="AM800" s="359"/>
      <c r="AP800" s="359"/>
      <c r="AQ800" s="362"/>
      <c r="AR800" s="363"/>
      <c r="AS800" s="363"/>
      <c r="AT800" s="363"/>
      <c r="AU800" s="363"/>
      <c r="AV800" s="363"/>
      <c r="AW800" s="363"/>
      <c r="AY800" s="359"/>
      <c r="BB800" s="363"/>
      <c r="BD800" s="359"/>
      <c r="JW800" s="1750"/>
      <c r="KB800" s="1750"/>
      <c r="KG800" s="1750"/>
      <c r="KL800" s="1750"/>
      <c r="KM800" s="1750"/>
      <c r="KN800" s="1750"/>
      <c r="KO800" s="1750"/>
      <c r="KP800" s="1750"/>
      <c r="KQ800" s="1750"/>
      <c r="KR800" s="1750"/>
      <c r="KS800" s="1750"/>
      <c r="KT800" s="1750"/>
      <c r="KU800" s="1750"/>
      <c r="KV800" s="1750"/>
      <c r="KW800" s="1750"/>
      <c r="KX800" s="1750"/>
      <c r="KY800" s="1750"/>
      <c r="KZ800" s="1750"/>
      <c r="LA800" s="1750"/>
      <c r="LB800" s="1750"/>
      <c r="LC800" s="1750"/>
      <c r="LD800" s="1750"/>
      <c r="LE800" s="1750"/>
      <c r="LF800" s="1750"/>
      <c r="LG800" s="1750"/>
    </row>
    <row r="801" spans="1:380" ht="14.25" customHeight="1">
      <c r="C801" s="359"/>
      <c r="D801" s="359"/>
      <c r="E801" s="359"/>
      <c r="F801" s="359"/>
      <c r="H801" s="360" t="s">
        <v>3684</v>
      </c>
      <c r="I801" s="807"/>
      <c r="K801" s="2264">
        <f>FM687</f>
        <v>0</v>
      </c>
      <c r="L801" s="2264">
        <f>FN687</f>
        <v>0</v>
      </c>
      <c r="M801" s="2264">
        <f>FO687</f>
        <v>0</v>
      </c>
      <c r="N801" s="2264">
        <f>FP687</f>
        <v>0</v>
      </c>
      <c r="O801" s="2264">
        <f>FQ687</f>
        <v>0</v>
      </c>
      <c r="P801" s="2269">
        <f t="shared" si="371"/>
        <v>0</v>
      </c>
      <c r="Q801" s="2261" t="str">
        <f t="shared" si="372"/>
        <v/>
      </c>
      <c r="S801" s="2160"/>
      <c r="T801" s="2160"/>
      <c r="U801" s="2160"/>
      <c r="V801" s="2160"/>
      <c r="W801" s="2160"/>
      <c r="X801" s="359"/>
      <c r="AA801" s="359"/>
      <c r="AB801" s="362"/>
      <c r="AC801" s="359"/>
      <c r="AF801" s="359"/>
      <c r="AG801" s="362"/>
      <c r="AH801" s="359"/>
      <c r="AK801" s="359"/>
      <c r="AL801" s="362"/>
      <c r="AM801" s="359"/>
      <c r="AP801" s="359"/>
      <c r="AQ801" s="362"/>
      <c r="AR801" s="363"/>
      <c r="AS801" s="363"/>
      <c r="AT801" s="363"/>
      <c r="AU801" s="363"/>
      <c r="AV801" s="363"/>
      <c r="AW801" s="363"/>
      <c r="AX801" s="359"/>
      <c r="AY801" s="359"/>
      <c r="BB801" s="363"/>
      <c r="BC801" s="359"/>
      <c r="BD801" s="359"/>
      <c r="JW801" s="1750"/>
      <c r="KB801" s="1750"/>
      <c r="KG801" s="1750"/>
      <c r="KL801" s="1750"/>
      <c r="KM801" s="1750"/>
      <c r="KN801" s="1750"/>
      <c r="KO801" s="1750"/>
      <c r="KP801" s="1750"/>
      <c r="KQ801" s="1750"/>
      <c r="KR801" s="1750"/>
      <c r="KS801" s="1750"/>
      <c r="KT801" s="1750"/>
      <c r="KU801" s="1750"/>
      <c r="KV801" s="1750"/>
      <c r="KW801" s="1750"/>
      <c r="KX801" s="1750"/>
      <c r="KY801" s="1750"/>
      <c r="KZ801" s="1750"/>
      <c r="LA801" s="1750"/>
      <c r="LB801" s="1750"/>
      <c r="LC801" s="1750"/>
      <c r="LD801" s="1750"/>
      <c r="LE801" s="1750"/>
      <c r="LF801" s="1750"/>
      <c r="LG801" s="1750"/>
    </row>
    <row r="802" spans="1:380" ht="14.25" customHeight="1">
      <c r="C802" s="359"/>
      <c r="D802" s="359"/>
      <c r="E802" s="359"/>
      <c r="F802" s="359"/>
      <c r="H802" s="2267" t="s">
        <v>3765</v>
      </c>
      <c r="I802" s="2268"/>
      <c r="J802" s="2254"/>
      <c r="K802" s="2270">
        <f>SUM(K795:K801)</f>
        <v>0</v>
      </c>
      <c r="L802" s="2270">
        <f>SUM(L795:L801)</f>
        <v>12675</v>
      </c>
      <c r="M802" s="2270">
        <f>SUM(M795:M801)</f>
        <v>45084</v>
      </c>
      <c r="N802" s="2270">
        <f>SUM(N795:N801)</f>
        <v>61380</v>
      </c>
      <c r="O802" s="2270">
        <f>SUM(O795:O801)</f>
        <v>32991</v>
      </c>
      <c r="P802" s="2270">
        <f>SUM(K802:O802)</f>
        <v>152130</v>
      </c>
      <c r="S802" s="2160"/>
      <c r="T802" s="2160"/>
      <c r="U802" s="2160"/>
      <c r="V802" s="2160"/>
      <c r="W802" s="2160"/>
      <c r="X802" s="359"/>
      <c r="AA802" s="359"/>
      <c r="AB802" s="362"/>
      <c r="AC802" s="359"/>
      <c r="AF802" s="359"/>
      <c r="AG802" s="362"/>
      <c r="AH802" s="359"/>
      <c r="AK802" s="359"/>
      <c r="AL802" s="362"/>
      <c r="AM802" s="359"/>
      <c r="AP802" s="359"/>
      <c r="AQ802" s="362"/>
      <c r="AR802" s="363"/>
      <c r="AS802" s="363"/>
      <c r="AT802" s="363"/>
      <c r="AU802" s="363"/>
      <c r="AV802" s="363"/>
      <c r="AW802" s="363"/>
      <c r="AX802" s="359"/>
      <c r="AY802" s="359"/>
      <c r="BB802" s="363"/>
      <c r="BC802" s="359"/>
      <c r="BD802" s="359"/>
      <c r="JW802" s="1750"/>
      <c r="KB802" s="1750"/>
      <c r="KG802" s="1750"/>
      <c r="KL802" s="1750"/>
      <c r="KM802" s="1750"/>
      <c r="KN802" s="1750"/>
      <c r="KO802" s="1750"/>
      <c r="KP802" s="1750"/>
      <c r="KQ802" s="1750"/>
      <c r="KR802" s="1750"/>
      <c r="KS802" s="1750"/>
      <c r="KT802" s="1750"/>
      <c r="KU802" s="1750"/>
      <c r="KV802" s="1750"/>
      <c r="KW802" s="1750"/>
      <c r="KX802" s="1750"/>
      <c r="KY802" s="1750"/>
      <c r="KZ802" s="1750"/>
      <c r="LA802" s="1750"/>
      <c r="LB802" s="1750"/>
      <c r="LC802" s="1750"/>
      <c r="LD802" s="1750"/>
      <c r="LE802" s="1750"/>
      <c r="LF802" s="1750"/>
      <c r="LG802" s="1750"/>
    </row>
    <row r="803" spans="1:380" ht="14.25" customHeight="1">
      <c r="C803" s="359" t="s">
        <v>290</v>
      </c>
      <c r="D803" s="359"/>
      <c r="E803" s="359"/>
      <c r="F803" s="359"/>
      <c r="G803" s="359"/>
      <c r="K803" s="2269">
        <f>FR687</f>
        <v>0</v>
      </c>
      <c r="L803" s="2269">
        <f>FS687</f>
        <v>0</v>
      </c>
      <c r="M803" s="2269">
        <f>FT687</f>
        <v>0</v>
      </c>
      <c r="N803" s="2269">
        <f>FU687</f>
        <v>0</v>
      </c>
      <c r="O803" s="2269">
        <f>FV687</f>
        <v>0</v>
      </c>
      <c r="P803" s="2269">
        <f>SUM(K803:O803)</f>
        <v>0</v>
      </c>
      <c r="Q803" s="2261" t="str">
        <f>IF(OR(P702=0,P702=""),"",P803/P702)</f>
        <v/>
      </c>
      <c r="S803" s="2160"/>
      <c r="T803" s="2160"/>
      <c r="U803" s="2160"/>
      <c r="V803" s="2160"/>
      <c r="W803" s="2160"/>
      <c r="X803" s="359"/>
      <c r="AA803" s="359"/>
      <c r="AB803" s="359"/>
      <c r="AC803" s="359"/>
      <c r="AF803" s="359"/>
      <c r="AG803" s="359"/>
      <c r="AH803" s="359"/>
      <c r="AK803" s="359"/>
      <c r="AL803" s="359"/>
      <c r="AM803" s="359"/>
      <c r="AP803" s="359"/>
      <c r="AQ803" s="359"/>
      <c r="AR803" s="363"/>
      <c r="AS803" s="363"/>
      <c r="AT803" s="363"/>
      <c r="AU803" s="363"/>
      <c r="AV803" s="363"/>
      <c r="AW803" s="363"/>
      <c r="AY803" s="359"/>
      <c r="BB803" s="363"/>
      <c r="BD803" s="359"/>
      <c r="JW803" s="1750"/>
      <c r="KB803" s="1750"/>
      <c r="KG803" s="1750"/>
      <c r="KL803" s="1750"/>
      <c r="KM803" s="1750"/>
      <c r="KN803" s="1750"/>
      <c r="KO803" s="1750"/>
      <c r="KP803" s="1750"/>
      <c r="KQ803" s="1750"/>
      <c r="KR803" s="1750"/>
      <c r="KS803" s="1750"/>
      <c r="KT803" s="1750"/>
      <c r="KU803" s="1750"/>
      <c r="KV803" s="1750"/>
      <c r="KW803" s="1750"/>
      <c r="KX803" s="1750"/>
      <c r="KY803" s="1750"/>
      <c r="KZ803" s="1750"/>
      <c r="LA803" s="1750"/>
      <c r="LB803" s="1750"/>
      <c r="LC803" s="1750"/>
      <c r="LD803" s="1750"/>
      <c r="LE803" s="1750"/>
      <c r="LF803" s="1750"/>
      <c r="LG803" s="1750"/>
    </row>
    <row r="804" spans="1:380" ht="14.25" customHeight="1">
      <c r="C804" s="2253" t="s">
        <v>1071</v>
      </c>
      <c r="D804" s="2253"/>
      <c r="E804" s="2253"/>
      <c r="F804" s="2253"/>
      <c r="G804" s="2253"/>
      <c r="H804" s="2254"/>
      <c r="I804" s="2254"/>
      <c r="J804" s="2254"/>
      <c r="K804" s="2270">
        <f>SUM(K802:K803)</f>
        <v>0</v>
      </c>
      <c r="L804" s="2270">
        <f>SUM(L802:L803)</f>
        <v>12675</v>
      </c>
      <c r="M804" s="2270">
        <f>SUM(M802:M803)</f>
        <v>45084</v>
      </c>
      <c r="N804" s="2270">
        <f>SUM(N802:N803)</f>
        <v>61380</v>
      </c>
      <c r="O804" s="2270">
        <f>SUM(O802:O803)</f>
        <v>32991</v>
      </c>
      <c r="P804" s="2270">
        <f>SUM(K804:O804)</f>
        <v>152130</v>
      </c>
      <c r="S804" s="2160"/>
      <c r="T804" s="2160"/>
      <c r="U804" s="2160"/>
      <c r="V804" s="2160"/>
      <c r="W804" s="2160"/>
      <c r="X804" s="359"/>
      <c r="AA804" s="359"/>
      <c r="AB804" s="359"/>
      <c r="AC804" s="359"/>
      <c r="AF804" s="359"/>
      <c r="AG804" s="359"/>
      <c r="AH804" s="359"/>
      <c r="AK804" s="359"/>
      <c r="AL804" s="359"/>
      <c r="AM804" s="359"/>
      <c r="AP804" s="359"/>
      <c r="AQ804" s="359"/>
      <c r="AR804" s="363"/>
      <c r="AS804" s="363"/>
      <c r="AT804" s="363"/>
      <c r="AU804" s="363"/>
      <c r="AV804" s="363"/>
      <c r="AW804" s="363"/>
      <c r="AY804" s="359"/>
      <c r="BB804" s="363"/>
      <c r="BD804" s="359"/>
      <c r="JW804" s="1750"/>
      <c r="KB804" s="1750"/>
      <c r="KG804" s="1750"/>
      <c r="KL804" s="1750"/>
      <c r="KM804" s="1750"/>
      <c r="KN804" s="1750"/>
      <c r="KO804" s="1750"/>
      <c r="KP804" s="1750"/>
      <c r="KQ804" s="1750"/>
      <c r="KR804" s="1750"/>
      <c r="KS804" s="1750"/>
      <c r="KT804" s="1750"/>
      <c r="KU804" s="1750"/>
      <c r="KV804" s="1750"/>
      <c r="KW804" s="1750"/>
      <c r="KX804" s="1750"/>
      <c r="KY804" s="1750"/>
      <c r="KZ804" s="1750"/>
      <c r="LA804" s="1750"/>
      <c r="LB804" s="1750"/>
      <c r="LC804" s="1750"/>
      <c r="LD804" s="1750"/>
      <c r="LE804" s="1750"/>
      <c r="LF804" s="1750"/>
      <c r="LG804" s="1750"/>
    </row>
    <row r="805" spans="1:380" ht="14.25" customHeight="1">
      <c r="C805" s="359" t="s">
        <v>2310</v>
      </c>
      <c r="D805" s="359"/>
      <c r="E805" s="359"/>
      <c r="F805" s="359"/>
      <c r="G805" s="359"/>
      <c r="K805" s="2269">
        <f>GB687</f>
        <v>0</v>
      </c>
      <c r="L805" s="2269">
        <f>GC687</f>
        <v>0</v>
      </c>
      <c r="M805" s="2269">
        <f>GD687</f>
        <v>0</v>
      </c>
      <c r="N805" s="2269">
        <f>GE687</f>
        <v>0</v>
      </c>
      <c r="O805" s="2269">
        <f>GF687</f>
        <v>0</v>
      </c>
      <c r="P805" s="2269">
        <f>SUM(K805:O805)</f>
        <v>0</v>
      </c>
      <c r="Q805" s="2261" t="str">
        <f>IF(OR(P704=0,P704=""),"",P805/P704)</f>
        <v/>
      </c>
      <c r="S805" s="2160"/>
      <c r="T805" s="2160"/>
      <c r="U805" s="2160"/>
      <c r="V805" s="2160"/>
      <c r="W805" s="2160"/>
      <c r="X805" s="359"/>
      <c r="AA805" s="359"/>
      <c r="AB805" s="359"/>
      <c r="AC805" s="359"/>
      <c r="AF805" s="359"/>
      <c r="AG805" s="359"/>
      <c r="AH805" s="359"/>
      <c r="AK805" s="359"/>
      <c r="AL805" s="359"/>
      <c r="AM805" s="359"/>
      <c r="AP805" s="359"/>
      <c r="AQ805" s="359"/>
      <c r="AR805" s="363"/>
      <c r="AS805" s="363"/>
      <c r="AT805" s="363"/>
      <c r="AU805" s="363"/>
      <c r="AV805" s="363"/>
      <c r="AW805" s="363"/>
      <c r="AY805" s="359"/>
      <c r="BB805" s="363"/>
      <c r="BD805" s="359"/>
      <c r="JW805" s="1750"/>
      <c r="KB805" s="1750"/>
      <c r="KG805" s="1750"/>
      <c r="KL805" s="1750"/>
      <c r="KM805" s="1750"/>
      <c r="KN805" s="1750"/>
      <c r="KO805" s="1750"/>
      <c r="KP805" s="1750"/>
      <c r="KQ805" s="1750"/>
      <c r="KR805" s="1750"/>
      <c r="KS805" s="1750"/>
      <c r="KT805" s="1750"/>
      <c r="KU805" s="1750"/>
      <c r="KV805" s="1750"/>
      <c r="KW805" s="1750"/>
      <c r="KX805" s="1750"/>
      <c r="KY805" s="1750"/>
      <c r="KZ805" s="1750"/>
      <c r="LA805" s="1750"/>
      <c r="LB805" s="1750"/>
      <c r="LC805" s="1750"/>
      <c r="LD805" s="1750"/>
      <c r="LE805" s="1750"/>
      <c r="LF805" s="1750"/>
      <c r="LG805" s="1750"/>
    </row>
    <row r="806" spans="1:380" ht="14.25" customHeight="1">
      <c r="C806" s="359" t="s">
        <v>504</v>
      </c>
      <c r="D806" s="359"/>
      <c r="E806" s="359"/>
      <c r="F806" s="359"/>
      <c r="G806" s="359"/>
      <c r="K806" s="2269">
        <f>SUM(K804:K805)</f>
        <v>0</v>
      </c>
      <c r="L806" s="2269">
        <f>SUM(L804:L805)</f>
        <v>12675</v>
      </c>
      <c r="M806" s="2269">
        <f>SUM(M804:M805)</f>
        <v>45084</v>
      </c>
      <c r="N806" s="2269">
        <f>SUM(N804:N805)</f>
        <v>61380</v>
      </c>
      <c r="O806" s="2269">
        <f>SUM(O804:O805)</f>
        <v>32991</v>
      </c>
      <c r="P806" s="2269">
        <f>SUM(K806:O806)</f>
        <v>152130</v>
      </c>
      <c r="S806" s="2160"/>
      <c r="T806" s="2160"/>
      <c r="U806" s="2160"/>
      <c r="V806" s="2160"/>
      <c r="W806" s="2160"/>
      <c r="X806" s="359"/>
      <c r="AA806" s="359"/>
      <c r="AB806" s="359"/>
      <c r="AC806" s="359"/>
      <c r="AF806" s="359"/>
      <c r="AG806" s="359"/>
      <c r="AH806" s="359"/>
      <c r="AK806" s="359"/>
      <c r="AL806" s="359"/>
      <c r="AM806" s="359"/>
      <c r="AP806" s="359"/>
      <c r="AQ806" s="359"/>
      <c r="AR806" s="363"/>
      <c r="AS806" s="363"/>
      <c r="AT806" s="363"/>
      <c r="AU806" s="363"/>
      <c r="AV806" s="363"/>
      <c r="AW806" s="363"/>
      <c r="AY806" s="359"/>
      <c r="BB806" s="363"/>
      <c r="BD806" s="359"/>
      <c r="JW806" s="1750"/>
      <c r="KB806" s="1750"/>
      <c r="KG806" s="1750"/>
      <c r="KL806" s="1750"/>
      <c r="KM806" s="1750"/>
      <c r="KN806" s="1750"/>
      <c r="KO806" s="1750"/>
      <c r="KP806" s="1750"/>
      <c r="KQ806" s="1750"/>
      <c r="KR806" s="1750"/>
      <c r="KS806" s="1750"/>
      <c r="KT806" s="1750"/>
      <c r="KU806" s="1750"/>
      <c r="KV806" s="1750"/>
      <c r="KW806" s="1750"/>
      <c r="KX806" s="1750"/>
      <c r="KY806" s="1750"/>
      <c r="KZ806" s="1750"/>
      <c r="LA806" s="1750"/>
      <c r="LB806" s="1750"/>
      <c r="LC806" s="1750"/>
      <c r="LD806" s="1750"/>
      <c r="LE806" s="1750"/>
      <c r="LF806" s="1750"/>
      <c r="LG806" s="1750"/>
    </row>
    <row r="807" spans="1:380" ht="14.1" customHeight="1">
      <c r="JW807" s="1750"/>
      <c r="KB807" s="1750"/>
      <c r="KG807" s="1750"/>
      <c r="KL807" s="1750"/>
      <c r="KM807" s="1750"/>
      <c r="KN807" s="1750"/>
      <c r="KO807" s="1750"/>
      <c r="KP807" s="1750"/>
      <c r="KQ807" s="1750"/>
      <c r="KR807" s="1750"/>
      <c r="KS807" s="1750"/>
      <c r="KT807" s="1750"/>
      <c r="KU807" s="1750"/>
      <c r="KV807" s="1750"/>
      <c r="KW807" s="1750"/>
      <c r="KX807" s="1750"/>
      <c r="KY807" s="1750"/>
      <c r="KZ807" s="1750"/>
      <c r="LA807" s="1750"/>
      <c r="LB807" s="1750"/>
      <c r="LC807" s="1750"/>
      <c r="LD807" s="1750"/>
      <c r="LE807" s="1750"/>
      <c r="LF807" s="1750"/>
      <c r="LG807" s="1750"/>
    </row>
    <row r="808" spans="1:380" s="359" customFormat="1" ht="14.1" customHeight="1">
      <c r="JW808" s="1901"/>
      <c r="KB808" s="1901"/>
      <c r="KG808" s="1901"/>
      <c r="KL808" s="1901"/>
      <c r="KM808" s="1901"/>
      <c r="KN808" s="1901"/>
      <c r="KO808" s="1901"/>
      <c r="KP808" s="1901"/>
      <c r="KQ808" s="1901"/>
      <c r="KR808" s="1901"/>
      <c r="KS808" s="1901"/>
      <c r="KT808" s="1901"/>
      <c r="KU808" s="1901"/>
      <c r="KV808" s="1901"/>
      <c r="KW808" s="1901"/>
      <c r="KX808" s="1901"/>
      <c r="KY808" s="1901"/>
      <c r="KZ808" s="1901"/>
      <c r="LA808" s="1901"/>
      <c r="LB808" s="1901"/>
      <c r="LC808" s="1901"/>
      <c r="LD808" s="1901"/>
      <c r="LE808" s="1901"/>
      <c r="LF808" s="1901"/>
      <c r="LG808" s="1901"/>
      <c r="NP808" s="357"/>
    </row>
    <row r="809" spans="1:380" s="359" customFormat="1" ht="14.25" customHeight="1">
      <c r="C809" s="359" t="s">
        <v>6856</v>
      </c>
      <c r="K809" s="2271" t="str">
        <f>IF(OR(K705="",K705=0),"",K806/K705)</f>
        <v/>
      </c>
      <c r="L809" s="2271">
        <f>IF(OR(L705="",L705=0),"",L806/L705)</f>
        <v>845</v>
      </c>
      <c r="M809" s="2271">
        <f>IF(OR(M705="",M705=0),"",M806/M705)</f>
        <v>1156</v>
      </c>
      <c r="N809" s="2271">
        <f>IF(OR(N705="",N705=0),"",N806/N705)</f>
        <v>1364</v>
      </c>
      <c r="O809" s="2271">
        <f>IF(OR(O705="",O705=0),"",O806/O705)</f>
        <v>1571</v>
      </c>
      <c r="P809" s="2271"/>
      <c r="JW809" s="1901"/>
      <c r="KB809" s="1901"/>
      <c r="KG809" s="1901"/>
      <c r="KL809" s="1901"/>
      <c r="KM809" s="1901"/>
      <c r="KN809" s="1901"/>
      <c r="KO809" s="1901"/>
      <c r="KP809" s="1901"/>
      <c r="KQ809" s="1901"/>
      <c r="KR809" s="1901"/>
      <c r="KS809" s="1901"/>
      <c r="KT809" s="1901"/>
      <c r="KU809" s="1901"/>
      <c r="KV809" s="1901"/>
      <c r="KW809" s="1901"/>
      <c r="KX809" s="1901"/>
      <c r="KY809" s="1901"/>
      <c r="KZ809" s="1901"/>
      <c r="LA809" s="1901"/>
      <c r="LB809" s="1901"/>
      <c r="LC809" s="1901"/>
      <c r="LD809" s="1901"/>
      <c r="LE809" s="1901"/>
      <c r="LF809" s="1901"/>
      <c r="LG809" s="1901"/>
      <c r="NP809" s="357"/>
    </row>
    <row r="810" spans="1:380" s="359" customFormat="1" ht="14.1" customHeight="1">
      <c r="JW810" s="1901"/>
      <c r="KB810" s="1901"/>
      <c r="KG810" s="1901"/>
      <c r="KL810" s="1901"/>
      <c r="KM810" s="1901"/>
      <c r="KN810" s="1901"/>
      <c r="KO810" s="1901"/>
      <c r="KP810" s="1901"/>
      <c r="KQ810" s="1901"/>
      <c r="KR810" s="1901"/>
      <c r="KS810" s="1901"/>
      <c r="KT810" s="1901"/>
      <c r="KU810" s="1901"/>
      <c r="KV810" s="1901"/>
      <c r="KW810" s="1901"/>
      <c r="KX810" s="1901"/>
      <c r="KY810" s="1901"/>
      <c r="KZ810" s="1901"/>
      <c r="LA810" s="1901"/>
      <c r="LB810" s="1901"/>
      <c r="LC810" s="1901"/>
      <c r="LD810" s="1901"/>
      <c r="LE810" s="1901"/>
      <c r="LF810" s="1901"/>
      <c r="LG810" s="1901"/>
      <c r="NP810" s="357"/>
    </row>
    <row r="811" spans="1:380" s="359" customFormat="1" ht="14.1" customHeight="1">
      <c r="A811" s="357" t="s">
        <v>691</v>
      </c>
      <c r="B811" s="357" t="s">
        <v>6658</v>
      </c>
      <c r="JW811" s="1901"/>
      <c r="KB811" s="1901"/>
      <c r="KG811" s="1901"/>
      <c r="KL811" s="1901"/>
      <c r="KM811" s="1901"/>
      <c r="KN811" s="1901"/>
      <c r="KO811" s="1901"/>
      <c r="KP811" s="1901"/>
      <c r="KQ811" s="1901"/>
      <c r="KR811" s="1901"/>
      <c r="KS811" s="1901"/>
      <c r="KT811" s="1901"/>
      <c r="KU811" s="1901"/>
      <c r="KV811" s="1901"/>
      <c r="KW811" s="1901"/>
      <c r="KX811" s="1901"/>
      <c r="KY811" s="1901"/>
      <c r="KZ811" s="1901"/>
      <c r="LA811" s="1901"/>
      <c r="LB811" s="1901"/>
      <c r="LC811" s="1901"/>
      <c r="LD811" s="1901"/>
      <c r="LE811" s="1901"/>
      <c r="LF811" s="1901"/>
      <c r="LG811" s="1901"/>
      <c r="NP811" s="357"/>
    </row>
    <row r="812" spans="1:380" s="1821" customFormat="1" ht="13.5" customHeight="1">
      <c r="A812" s="1624"/>
      <c r="C812" s="378" t="s">
        <v>6857</v>
      </c>
      <c r="K812" s="2085">
        <f>'Part V-Revenues &amp; Expenses'!K174</f>
        <v>3500</v>
      </c>
      <c r="L812" s="2085"/>
      <c r="Z812" s="1624">
        <v>68</v>
      </c>
    </row>
    <row r="813" spans="1:380" s="1821" customFormat="1" ht="13.35" customHeight="1">
      <c r="A813" s="1624"/>
      <c r="C813" s="378" t="s">
        <v>242</v>
      </c>
      <c r="K813" s="2272">
        <f>P806+K812</f>
        <v>155630</v>
      </c>
      <c r="L813" s="2272"/>
      <c r="Z813" s="1624">
        <v>69</v>
      </c>
    </row>
    <row r="814" spans="1:380" s="359" customFormat="1" ht="14.1" customHeight="1">
      <c r="A814" s="2273"/>
      <c r="JW814" s="1901"/>
      <c r="KB814" s="1901"/>
      <c r="KG814" s="1901"/>
      <c r="KL814" s="1901"/>
      <c r="KM814" s="1901"/>
      <c r="KN814" s="1901"/>
      <c r="KO814" s="1901"/>
      <c r="KP814" s="1901"/>
      <c r="KQ814" s="1901"/>
      <c r="KR814" s="1901"/>
      <c r="KS814" s="1901"/>
      <c r="KT814" s="1901"/>
      <c r="KU814" s="1901"/>
      <c r="KV814" s="1901"/>
      <c r="KW814" s="1901"/>
      <c r="KX814" s="1901"/>
      <c r="KY814" s="1901"/>
      <c r="KZ814" s="1901"/>
      <c r="LA814" s="1901"/>
      <c r="LB814" s="1901"/>
      <c r="LC814" s="1901"/>
      <c r="LD814" s="1901"/>
      <c r="LE814" s="1901"/>
      <c r="LF814" s="1901"/>
      <c r="LG814" s="1901"/>
      <c r="NP814" s="357"/>
    </row>
    <row r="815" spans="1:380" ht="14.1" customHeight="1">
      <c r="A815" s="357" t="s">
        <v>1667</v>
      </c>
      <c r="B815" s="357" t="s">
        <v>6858</v>
      </c>
      <c r="S815" s="357" t="s">
        <v>1711</v>
      </c>
      <c r="U815" s="359"/>
      <c r="KM815" s="1750"/>
      <c r="KN815" s="1750"/>
      <c r="KO815" s="1750"/>
      <c r="KP815" s="1750"/>
      <c r="KQ815" s="1750"/>
      <c r="KR815" s="1750"/>
      <c r="KS815" s="1750"/>
      <c r="KT815" s="1750"/>
      <c r="KU815" s="1750"/>
      <c r="KV815" s="1750"/>
      <c r="KW815" s="1750"/>
      <c r="KX815" s="1750"/>
      <c r="KY815" s="1750"/>
      <c r="KZ815" s="1750"/>
      <c r="LA815" s="1750"/>
      <c r="LB815" s="1750"/>
      <c r="LC815" s="1750"/>
      <c r="LD815" s="1750"/>
      <c r="LE815" s="1750"/>
      <c r="LF815" s="1750"/>
      <c r="LG815" s="1750"/>
      <c r="LH815" s="1750"/>
    </row>
    <row r="816" spans="1:380" ht="2.25" customHeight="1">
      <c r="Q816" s="359"/>
      <c r="R816" s="359"/>
      <c r="JW816" s="1750"/>
      <c r="KB816" s="1750"/>
      <c r="KG816" s="1750"/>
      <c r="KL816" s="1750"/>
      <c r="KM816" s="1750"/>
      <c r="KN816" s="1750"/>
      <c r="KO816" s="1750"/>
      <c r="KP816" s="1750"/>
      <c r="KQ816" s="1750"/>
      <c r="KR816" s="1750"/>
      <c r="KS816" s="1750"/>
      <c r="KT816" s="1750"/>
      <c r="KU816" s="1750"/>
      <c r="KV816" s="1750"/>
      <c r="KW816" s="1750"/>
      <c r="KX816" s="1750"/>
      <c r="KY816" s="1750"/>
      <c r="KZ816" s="1750"/>
      <c r="LA816" s="1750"/>
      <c r="LB816" s="1750"/>
      <c r="LC816" s="1750"/>
      <c r="LD816" s="1750"/>
      <c r="LE816" s="1750"/>
      <c r="LF816" s="1750"/>
      <c r="LG816" s="1750"/>
    </row>
    <row r="817" spans="2:380" s="359" customFormat="1" ht="15.6" customHeight="1">
      <c r="B817" s="1505" t="s">
        <v>953</v>
      </c>
      <c r="C817" s="1505"/>
      <c r="D817" s="1505"/>
      <c r="E817" s="1505"/>
      <c r="F817" s="1505"/>
      <c r="G817" s="1505"/>
      <c r="H817" s="2274">
        <f>'Part V-Revenues &amp; Expenses'!H179</f>
        <v>37533.840000000004</v>
      </c>
      <c r="I817" s="2274"/>
      <c r="J817" s="2274"/>
      <c r="K817" s="1505"/>
      <c r="L817" s="1884" t="s">
        <v>6768</v>
      </c>
      <c r="M817" s="1505"/>
      <c r="N817" s="1505"/>
      <c r="O817" s="1505"/>
      <c r="P817" s="2275">
        <f>IF(M688=0,0,H817/M688)</f>
        <v>0.02</v>
      </c>
      <c r="Q817" s="1505"/>
      <c r="R817" s="1505"/>
      <c r="S817" s="359" t="str">
        <f>B817</f>
        <v>Ancillary Income</v>
      </c>
      <c r="JW817" s="1901"/>
      <c r="KB817" s="1901"/>
      <c r="KG817" s="1901"/>
      <c r="KL817" s="1901"/>
      <c r="KM817" s="1901"/>
      <c r="KN817" s="1901"/>
      <c r="KO817" s="1901"/>
      <c r="KP817" s="1901"/>
      <c r="KQ817" s="1901"/>
      <c r="KR817" s="1901"/>
      <c r="KS817" s="1901"/>
      <c r="KT817" s="1901"/>
      <c r="KU817" s="1901"/>
      <c r="KV817" s="1901"/>
      <c r="KW817" s="1901"/>
      <c r="KX817" s="1901"/>
      <c r="KY817" s="1901"/>
      <c r="KZ817" s="1901"/>
      <c r="LA817" s="1901"/>
      <c r="LB817" s="1901"/>
      <c r="LC817" s="1901"/>
      <c r="LD817" s="1901"/>
      <c r="LE817" s="1901"/>
      <c r="LF817" s="1901"/>
      <c r="LG817" s="1901"/>
    </row>
    <row r="818" spans="2:380" ht="15.6" customHeight="1">
      <c r="B818" s="360"/>
      <c r="C818" s="360"/>
      <c r="D818" s="1505"/>
      <c r="E818" s="360"/>
      <c r="F818" s="360"/>
      <c r="G818" s="360"/>
      <c r="H818" s="360"/>
      <c r="I818" s="360"/>
      <c r="J818" s="2276"/>
      <c r="K818" s="360"/>
      <c r="L818" s="360"/>
      <c r="M818" s="360"/>
      <c r="N818" s="360"/>
      <c r="O818" s="360"/>
      <c r="P818" s="360"/>
      <c r="Q818" s="1505"/>
      <c r="R818" s="1505"/>
      <c r="JW818" s="1750"/>
      <c r="KB818" s="1750"/>
      <c r="KG818" s="1750"/>
      <c r="KL818" s="1750"/>
      <c r="KM818" s="1750"/>
      <c r="KN818" s="1750"/>
      <c r="KO818" s="1750"/>
      <c r="KP818" s="1750"/>
      <c r="KQ818" s="1750"/>
      <c r="KR818" s="1750"/>
      <c r="KS818" s="1750"/>
      <c r="KT818" s="1750"/>
      <c r="KU818" s="1750"/>
      <c r="KV818" s="1750"/>
      <c r="KW818" s="1750"/>
      <c r="KX818" s="1750"/>
      <c r="KY818" s="1750"/>
      <c r="KZ818" s="1750"/>
      <c r="LA818" s="1750"/>
      <c r="LB818" s="1750"/>
      <c r="LC818" s="1750"/>
      <c r="LD818" s="1750"/>
      <c r="LE818" s="1750"/>
      <c r="LF818" s="1750"/>
      <c r="LG818" s="1750"/>
      <c r="NP818" s="359"/>
    </row>
    <row r="819" spans="2:380" ht="15.6" customHeight="1">
      <c r="B819" s="360" t="s">
        <v>1357</v>
      </c>
      <c r="C819" s="360"/>
      <c r="D819" s="360"/>
      <c r="E819" s="360"/>
      <c r="F819" s="360"/>
      <c r="G819" s="360"/>
      <c r="H819" s="360"/>
      <c r="I819" s="360"/>
      <c r="J819" s="360"/>
      <c r="K819" s="360"/>
      <c r="L819" s="2277"/>
      <c r="M819" s="360"/>
      <c r="N819" s="360"/>
      <c r="O819" s="360"/>
      <c r="P819" s="360"/>
      <c r="Q819" s="360"/>
      <c r="S819" s="1901" t="str">
        <f>B819</f>
        <v>Other Income (OI) by Year:</v>
      </c>
      <c r="JW819" s="1750"/>
      <c r="KB819" s="1750"/>
      <c r="KG819" s="1750"/>
      <c r="KL819" s="1750"/>
      <c r="KM819" s="1750"/>
      <c r="KN819" s="1750"/>
      <c r="KO819" s="1750"/>
      <c r="KP819" s="1750"/>
      <c r="KQ819" s="1750"/>
      <c r="KR819" s="1750"/>
      <c r="KS819" s="1750"/>
      <c r="KT819" s="1750"/>
      <c r="KU819" s="1750"/>
      <c r="KV819" s="1750"/>
      <c r="KW819" s="1750"/>
      <c r="KX819" s="1750"/>
      <c r="KY819" s="1750"/>
      <c r="KZ819" s="1750"/>
      <c r="LA819" s="1750"/>
      <c r="LB819" s="1750"/>
      <c r="LC819" s="1750"/>
      <c r="LD819" s="1750"/>
      <c r="LE819" s="1750"/>
      <c r="LF819" s="1750"/>
      <c r="LG819" s="1750"/>
      <c r="NP819" s="359"/>
    </row>
    <row r="820" spans="2:380" ht="15.6" customHeight="1">
      <c r="B820" s="2207" t="s">
        <v>2112</v>
      </c>
      <c r="C820" s="360"/>
      <c r="D820" s="360"/>
      <c r="E820" s="360"/>
      <c r="F820" s="360"/>
      <c r="H820" s="2278">
        <v>1</v>
      </c>
      <c r="I820" s="2278">
        <v>2</v>
      </c>
      <c r="J820" s="2278">
        <v>3</v>
      </c>
      <c r="K820" s="2278">
        <v>4</v>
      </c>
      <c r="L820" s="2278">
        <v>5</v>
      </c>
      <c r="M820" s="2278">
        <v>6</v>
      </c>
      <c r="N820" s="2278">
        <v>7</v>
      </c>
      <c r="O820" s="2278">
        <v>8</v>
      </c>
      <c r="P820" s="2278">
        <v>9</v>
      </c>
      <c r="Q820" s="2278">
        <v>10</v>
      </c>
      <c r="R820" s="2279"/>
      <c r="S820" s="359" t="str">
        <f>B820</f>
        <v>Included in Mgt Fee:</v>
      </c>
      <c r="JW820" s="1750"/>
      <c r="KB820" s="1750"/>
      <c r="KG820" s="1750"/>
      <c r="KL820" s="1750"/>
      <c r="KM820" s="1750"/>
      <c r="KN820" s="1750"/>
      <c r="KO820" s="1750"/>
      <c r="KP820" s="1750"/>
      <c r="KQ820" s="1750"/>
      <c r="KR820" s="1750"/>
      <c r="KS820" s="1750"/>
      <c r="KT820" s="1750"/>
      <c r="KU820" s="1750"/>
      <c r="KV820" s="1750"/>
      <c r="KW820" s="1750"/>
      <c r="KX820" s="1750"/>
      <c r="KY820" s="1750"/>
      <c r="KZ820" s="1750"/>
      <c r="LA820" s="1750"/>
      <c r="LB820" s="1750"/>
      <c r="LC820" s="1750"/>
      <c r="LD820" s="1750"/>
      <c r="LE820" s="1750"/>
      <c r="LF820" s="1750"/>
      <c r="LG820" s="1750"/>
      <c r="NP820" s="359"/>
    </row>
    <row r="821" spans="2:380" ht="15.6" customHeight="1">
      <c r="B821" s="1505" t="s">
        <v>954</v>
      </c>
      <c r="C821" s="1505"/>
      <c r="D821" s="1505"/>
      <c r="E821" s="1505"/>
      <c r="F821" s="1505"/>
      <c r="H821" s="2280">
        <f>'Part V-Revenues &amp; Expenses'!H183</f>
        <v>0</v>
      </c>
      <c r="I821" s="2280">
        <f>'Part V-Revenues &amp; Expenses'!I183</f>
        <v>0</v>
      </c>
      <c r="J821" s="2280">
        <f>'Part V-Revenues &amp; Expenses'!J183</f>
        <v>0</v>
      </c>
      <c r="K821" s="2280">
        <f>'Part V-Revenues &amp; Expenses'!K183</f>
        <v>0</v>
      </c>
      <c r="L821" s="2280">
        <f>'Part V-Revenues &amp; Expenses'!L183</f>
        <v>0</v>
      </c>
      <c r="M821" s="2280">
        <f>'Part V-Revenues &amp; Expenses'!M183</f>
        <v>0</v>
      </c>
      <c r="N821" s="2280">
        <f>'Part V-Revenues &amp; Expenses'!N183</f>
        <v>0</v>
      </c>
      <c r="O821" s="2280">
        <f>'Part V-Revenues &amp; Expenses'!O183</f>
        <v>0</v>
      </c>
      <c r="P821" s="2280">
        <f>'Part V-Revenues &amp; Expenses'!P183</f>
        <v>0</v>
      </c>
      <c r="Q821" s="2280">
        <f>'Part V-Revenues &amp; Expenses'!Q183</f>
        <v>0</v>
      </c>
      <c r="R821" s="2281"/>
      <c r="S821" s="2160"/>
      <c r="T821" s="2160"/>
      <c r="U821" s="2160"/>
      <c r="V821" s="2160"/>
      <c r="W821" s="2160"/>
      <c r="JW821" s="1750"/>
      <c r="KB821" s="1750"/>
      <c r="KG821" s="1750"/>
      <c r="KL821" s="1750"/>
      <c r="KM821" s="1750"/>
      <c r="KN821" s="1750"/>
      <c r="KO821" s="1750"/>
      <c r="KP821" s="1750"/>
      <c r="KQ821" s="1750"/>
      <c r="KR821" s="1750"/>
      <c r="KS821" s="1750"/>
      <c r="KT821" s="1750"/>
      <c r="KU821" s="1750"/>
      <c r="KV821" s="1750"/>
      <c r="KW821" s="1750"/>
      <c r="KX821" s="1750"/>
      <c r="KY821" s="1750"/>
      <c r="KZ821" s="1750"/>
      <c r="LA821" s="1750"/>
      <c r="LB821" s="1750"/>
      <c r="LC821" s="1750"/>
      <c r="LD821" s="1750"/>
      <c r="LE821" s="1750"/>
      <c r="LF821" s="1750"/>
      <c r="LG821" s="1750"/>
    </row>
    <row r="822" spans="2:380" ht="15.6" customHeight="1">
      <c r="B822" s="1505" t="s">
        <v>690</v>
      </c>
      <c r="C822" s="2282">
        <f>'Part V-Revenues &amp; Expenses'!C184</f>
        <v>0</v>
      </c>
      <c r="D822" s="2282"/>
      <c r="E822" s="2282"/>
      <c r="F822" s="2282"/>
      <c r="H822" s="2280">
        <f>'Part V-Revenues &amp; Expenses'!H184</f>
        <v>0</v>
      </c>
      <c r="I822" s="2280">
        <f>'Part V-Revenues &amp; Expenses'!I184</f>
        <v>0</v>
      </c>
      <c r="J822" s="2280">
        <f>'Part V-Revenues &amp; Expenses'!J184</f>
        <v>0</v>
      </c>
      <c r="K822" s="2280">
        <f>'Part V-Revenues &amp; Expenses'!K184</f>
        <v>0</v>
      </c>
      <c r="L822" s="2283">
        <f>'Part V-Revenues &amp; Expenses'!L184</f>
        <v>0</v>
      </c>
      <c r="M822" s="2280">
        <f>'Part V-Revenues &amp; Expenses'!M184</f>
        <v>0</v>
      </c>
      <c r="N822" s="2280">
        <f>'Part V-Revenues &amp; Expenses'!N184</f>
        <v>0</v>
      </c>
      <c r="O822" s="2280">
        <f>'Part V-Revenues &amp; Expenses'!O184</f>
        <v>0</v>
      </c>
      <c r="P822" s="2280">
        <f>'Part V-Revenues &amp; Expenses'!P184</f>
        <v>0</v>
      </c>
      <c r="Q822" s="2280">
        <f>'Part V-Revenues &amp; Expenses'!Q184</f>
        <v>0</v>
      </c>
      <c r="R822" s="2281"/>
      <c r="S822" s="2160"/>
      <c r="T822" s="2160"/>
      <c r="U822" s="2160"/>
      <c r="V822" s="2160"/>
      <c r="W822" s="2160"/>
      <c r="JW822" s="1750"/>
      <c r="KB822" s="1750"/>
      <c r="KG822" s="1750"/>
      <c r="KL822" s="1750"/>
      <c r="KM822" s="1750"/>
      <c r="KN822" s="1750"/>
      <c r="KO822" s="1750"/>
      <c r="KP822" s="1750"/>
      <c r="KQ822" s="1750"/>
      <c r="KR822" s="1750"/>
      <c r="KS822" s="1750"/>
      <c r="KT822" s="1750"/>
      <c r="KU822" s="1750"/>
      <c r="KV822" s="1750"/>
      <c r="KW822" s="1750"/>
      <c r="KX822" s="1750"/>
      <c r="KY822" s="1750"/>
      <c r="KZ822" s="1750"/>
      <c r="LA822" s="1750"/>
      <c r="LB822" s="1750"/>
      <c r="LC822" s="1750"/>
      <c r="LD822" s="1750"/>
      <c r="LE822" s="1750"/>
      <c r="LF822" s="1750"/>
      <c r="LG822" s="1750"/>
    </row>
    <row r="823" spans="2:380" ht="15.6" customHeight="1">
      <c r="B823" s="1505"/>
      <c r="C823" s="1505" t="s">
        <v>870</v>
      </c>
      <c r="D823" s="1505"/>
      <c r="E823" s="1505"/>
      <c r="F823" s="1505"/>
      <c r="H823" s="2284">
        <f>SUM(H821:H822)</f>
        <v>0</v>
      </c>
      <c r="I823" s="2284">
        <f>SUM(I821:I822)</f>
        <v>0</v>
      </c>
      <c r="J823" s="2284">
        <f t="shared" ref="J823:Q823" si="373">SUM(J821:J822)</f>
        <v>0</v>
      </c>
      <c r="K823" s="2284">
        <f t="shared" si="373"/>
        <v>0</v>
      </c>
      <c r="L823" s="2284">
        <f t="shared" si="373"/>
        <v>0</v>
      </c>
      <c r="M823" s="2284">
        <f t="shared" si="373"/>
        <v>0</v>
      </c>
      <c r="N823" s="2284">
        <f t="shared" si="373"/>
        <v>0</v>
      </c>
      <c r="O823" s="2284">
        <f t="shared" si="373"/>
        <v>0</v>
      </c>
      <c r="P823" s="2284">
        <f t="shared" si="373"/>
        <v>0</v>
      </c>
      <c r="Q823" s="2284">
        <f t="shared" si="373"/>
        <v>0</v>
      </c>
      <c r="R823" s="363"/>
      <c r="S823" s="2160"/>
      <c r="T823" s="2160"/>
      <c r="U823" s="2160"/>
      <c r="V823" s="2160"/>
      <c r="W823" s="2160"/>
      <c r="JW823" s="1750"/>
      <c r="KB823" s="1750"/>
      <c r="KG823" s="1750"/>
      <c r="KL823" s="1750"/>
      <c r="KM823" s="1750"/>
      <c r="KN823" s="1750"/>
      <c r="KO823" s="1750"/>
      <c r="KP823" s="1750"/>
      <c r="KQ823" s="1750"/>
      <c r="KR823" s="1750"/>
      <c r="KS823" s="1750"/>
      <c r="KT823" s="1750"/>
      <c r="KU823" s="1750"/>
      <c r="KV823" s="1750"/>
      <c r="KW823" s="1750"/>
      <c r="KX823" s="1750"/>
      <c r="KY823" s="1750"/>
      <c r="KZ823" s="1750"/>
      <c r="LA823" s="1750"/>
      <c r="LB823" s="1750"/>
      <c r="LC823" s="1750"/>
      <c r="LD823" s="1750"/>
      <c r="LE823" s="1750"/>
      <c r="LF823" s="1750"/>
      <c r="LG823" s="1750"/>
      <c r="NP823" s="359"/>
    </row>
    <row r="824" spans="2:380" ht="15.6" customHeight="1">
      <c r="B824" s="2207" t="s">
        <v>6769</v>
      </c>
      <c r="C824" s="360"/>
      <c r="D824" s="360"/>
      <c r="E824" s="360"/>
      <c r="F824" s="360"/>
      <c r="H824" s="2285"/>
      <c r="I824" s="360"/>
      <c r="J824" s="360"/>
      <c r="K824" s="360"/>
      <c r="L824" s="360"/>
      <c r="M824" s="360"/>
      <c r="N824" s="360"/>
      <c r="O824" s="360"/>
      <c r="P824" s="360"/>
      <c r="Q824" s="360"/>
      <c r="S824" s="359" t="str">
        <f>B824</f>
        <v>NOT Included in Mgt Fee:</v>
      </c>
      <c r="JW824" s="1750"/>
      <c r="KB824" s="1750"/>
      <c r="KG824" s="1750"/>
      <c r="KL824" s="1750"/>
      <c r="KM824" s="1750"/>
      <c r="KN824" s="1750"/>
      <c r="KO824" s="1750"/>
      <c r="KP824" s="1750"/>
      <c r="KQ824" s="1750"/>
      <c r="KR824" s="1750"/>
      <c r="KS824" s="1750"/>
      <c r="KT824" s="1750"/>
      <c r="KU824" s="1750"/>
      <c r="KV824" s="1750"/>
      <c r="KW824" s="1750"/>
      <c r="KX824" s="1750"/>
      <c r="KY824" s="1750"/>
      <c r="KZ824" s="1750"/>
      <c r="LA824" s="1750"/>
      <c r="LB824" s="1750"/>
      <c r="LC824" s="1750"/>
      <c r="LD824" s="1750"/>
      <c r="LE824" s="1750"/>
      <c r="LF824" s="1750"/>
      <c r="LG824" s="1750"/>
    </row>
    <row r="825" spans="2:380" ht="15.6" customHeight="1">
      <c r="B825" s="1505" t="s">
        <v>498</v>
      </c>
      <c r="C825" s="1505"/>
      <c r="D825" s="1505"/>
      <c r="E825" s="1505"/>
      <c r="F825" s="1505"/>
      <c r="H825" s="2280">
        <f>'Part V-Revenues &amp; Expenses'!H187</f>
        <v>0</v>
      </c>
      <c r="I825" s="2280">
        <f>'Part V-Revenues &amp; Expenses'!I187</f>
        <v>0</v>
      </c>
      <c r="J825" s="2280">
        <f>'Part V-Revenues &amp; Expenses'!J187</f>
        <v>0</v>
      </c>
      <c r="K825" s="2280">
        <f>'Part V-Revenues &amp; Expenses'!K187</f>
        <v>0</v>
      </c>
      <c r="L825" s="2280">
        <f>'Part V-Revenues &amp; Expenses'!L187</f>
        <v>0</v>
      </c>
      <c r="M825" s="2280">
        <f>'Part V-Revenues &amp; Expenses'!M187</f>
        <v>0</v>
      </c>
      <c r="N825" s="2280">
        <f>'Part V-Revenues &amp; Expenses'!N187</f>
        <v>0</v>
      </c>
      <c r="O825" s="2280">
        <f>'Part V-Revenues &amp; Expenses'!O187</f>
        <v>0</v>
      </c>
      <c r="P825" s="2280">
        <f>'Part V-Revenues &amp; Expenses'!P187</f>
        <v>0</v>
      </c>
      <c r="Q825" s="2280">
        <f>'Part V-Revenues &amp; Expenses'!Q187</f>
        <v>0</v>
      </c>
      <c r="R825" s="2281"/>
      <c r="S825" s="2160"/>
      <c r="T825" s="2160"/>
      <c r="U825" s="2160"/>
      <c r="V825" s="2160"/>
      <c r="W825" s="2160"/>
      <c r="JW825" s="1750"/>
      <c r="KB825" s="1750"/>
      <c r="KG825" s="1750"/>
      <c r="KL825" s="1750"/>
      <c r="KM825" s="1750"/>
      <c r="KN825" s="1750"/>
      <c r="KO825" s="1750"/>
      <c r="KP825" s="1750"/>
      <c r="KQ825" s="1750"/>
      <c r="KR825" s="1750"/>
      <c r="KS825" s="1750"/>
      <c r="KT825" s="1750"/>
      <c r="KU825" s="1750"/>
      <c r="KV825" s="1750"/>
      <c r="KW825" s="1750"/>
      <c r="KX825" s="1750"/>
      <c r="KY825" s="1750"/>
      <c r="KZ825" s="1750"/>
      <c r="LA825" s="1750"/>
      <c r="LB825" s="1750"/>
      <c r="LC825" s="1750"/>
      <c r="LD825" s="1750"/>
      <c r="LE825" s="1750"/>
      <c r="LF825" s="1750"/>
      <c r="LG825" s="1750"/>
    </row>
    <row r="826" spans="2:380" ht="15.6" customHeight="1">
      <c r="B826" s="1505" t="s">
        <v>690</v>
      </c>
      <c r="C826" s="2282">
        <f>'Part V-Revenues &amp; Expenses'!C188</f>
        <v>0</v>
      </c>
      <c r="D826" s="2282"/>
      <c r="E826" s="2282"/>
      <c r="F826" s="2282"/>
      <c r="H826" s="2280">
        <f>'Part V-Revenues &amp; Expenses'!H188</f>
        <v>0</v>
      </c>
      <c r="I826" s="2280">
        <f>'Part V-Revenues &amp; Expenses'!I188</f>
        <v>0</v>
      </c>
      <c r="J826" s="2280">
        <f>'Part V-Revenues &amp; Expenses'!J188</f>
        <v>0</v>
      </c>
      <c r="K826" s="2280">
        <f>'Part V-Revenues &amp; Expenses'!K188</f>
        <v>0</v>
      </c>
      <c r="L826" s="2283">
        <f>'Part V-Revenues &amp; Expenses'!L188</f>
        <v>0</v>
      </c>
      <c r="M826" s="2280">
        <f>'Part V-Revenues &amp; Expenses'!M188</f>
        <v>0</v>
      </c>
      <c r="N826" s="2280">
        <f>'Part V-Revenues &amp; Expenses'!N188</f>
        <v>0</v>
      </c>
      <c r="O826" s="2280">
        <f>'Part V-Revenues &amp; Expenses'!O188</f>
        <v>0</v>
      </c>
      <c r="P826" s="2280">
        <f>'Part V-Revenues &amp; Expenses'!P188</f>
        <v>0</v>
      </c>
      <c r="Q826" s="2280">
        <f>'Part V-Revenues &amp; Expenses'!Q188</f>
        <v>0</v>
      </c>
      <c r="R826" s="2281"/>
      <c r="S826" s="2160"/>
      <c r="T826" s="2160"/>
      <c r="U826" s="2160"/>
      <c r="V826" s="2160"/>
      <c r="W826" s="2160"/>
      <c r="JW826" s="1750"/>
      <c r="KB826" s="1750"/>
      <c r="KG826" s="1750"/>
      <c r="KL826" s="1750"/>
      <c r="KM826" s="1750"/>
      <c r="KN826" s="1750"/>
      <c r="KO826" s="1750"/>
      <c r="KP826" s="1750"/>
      <c r="KQ826" s="1750"/>
      <c r="KR826" s="1750"/>
      <c r="KS826" s="1750"/>
      <c r="KT826" s="1750"/>
      <c r="KU826" s="1750"/>
      <c r="KV826" s="1750"/>
      <c r="KW826" s="1750"/>
      <c r="KX826" s="1750"/>
      <c r="KY826" s="1750"/>
      <c r="KZ826" s="1750"/>
      <c r="LA826" s="1750"/>
      <c r="LB826" s="1750"/>
      <c r="LC826" s="1750"/>
      <c r="LD826" s="1750"/>
      <c r="LE826" s="1750"/>
      <c r="LF826" s="1750"/>
      <c r="LG826" s="1750"/>
    </row>
    <row r="827" spans="2:380" ht="15.6" customHeight="1">
      <c r="B827" s="1505"/>
      <c r="C827" s="1505" t="s">
        <v>6770</v>
      </c>
      <c r="D827" s="1505"/>
      <c r="E827" s="1505"/>
      <c r="F827" s="1505"/>
      <c r="H827" s="2284">
        <f>SUM(H825:H826)</f>
        <v>0</v>
      </c>
      <c r="I827" s="2284">
        <f>SUM(I825:I826)</f>
        <v>0</v>
      </c>
      <c r="J827" s="2284">
        <f t="shared" ref="J827:Q827" si="374">SUM(J825:J826)</f>
        <v>0</v>
      </c>
      <c r="K827" s="2284">
        <f t="shared" si="374"/>
        <v>0</v>
      </c>
      <c r="L827" s="2284">
        <f t="shared" si="374"/>
        <v>0</v>
      </c>
      <c r="M827" s="2284">
        <f t="shared" si="374"/>
        <v>0</v>
      </c>
      <c r="N827" s="2284">
        <f t="shared" si="374"/>
        <v>0</v>
      </c>
      <c r="O827" s="2284">
        <f t="shared" si="374"/>
        <v>0</v>
      </c>
      <c r="P827" s="2284">
        <f t="shared" si="374"/>
        <v>0</v>
      </c>
      <c r="Q827" s="2284">
        <f t="shared" si="374"/>
        <v>0</v>
      </c>
      <c r="R827" s="363"/>
      <c r="S827" s="2160"/>
      <c r="T827" s="2160"/>
      <c r="U827" s="2160"/>
      <c r="V827" s="2160"/>
      <c r="W827" s="2160"/>
      <c r="JW827" s="1750"/>
      <c r="KB827" s="1750"/>
      <c r="KG827" s="1750"/>
      <c r="KL827" s="1750"/>
      <c r="KM827" s="1750"/>
      <c r="KN827" s="1750"/>
      <c r="KO827" s="1750"/>
      <c r="KP827" s="1750"/>
      <c r="KQ827" s="1750"/>
      <c r="KR827" s="1750"/>
      <c r="KS827" s="1750"/>
      <c r="KT827" s="1750"/>
      <c r="KU827" s="1750"/>
      <c r="KV827" s="1750"/>
      <c r="KW827" s="1750"/>
      <c r="KX827" s="1750"/>
      <c r="KY827" s="1750"/>
      <c r="KZ827" s="1750"/>
      <c r="LA827" s="1750"/>
      <c r="LB827" s="1750"/>
      <c r="LC827" s="1750"/>
      <c r="LD827" s="1750"/>
      <c r="LE827" s="1750"/>
      <c r="LF827" s="1750"/>
      <c r="LG827" s="1750"/>
    </row>
    <row r="828" spans="2:380" ht="15.6" customHeight="1">
      <c r="B828" s="360"/>
      <c r="C828" s="360"/>
      <c r="D828" s="360"/>
      <c r="E828" s="360"/>
      <c r="F828" s="360"/>
      <c r="H828" s="2285"/>
      <c r="I828" s="360"/>
      <c r="J828" s="360"/>
      <c r="K828" s="360"/>
      <c r="L828" s="360"/>
      <c r="M828" s="360"/>
      <c r="N828" s="360"/>
      <c r="O828" s="360"/>
      <c r="P828" s="360"/>
      <c r="Q828" s="360"/>
      <c r="JW828" s="1750"/>
      <c r="KB828" s="1750"/>
      <c r="KG828" s="1750"/>
      <c r="KL828" s="1750"/>
      <c r="KM828" s="1750"/>
      <c r="KN828" s="1750"/>
      <c r="KO828" s="1750"/>
      <c r="KP828" s="1750"/>
      <c r="KQ828" s="1750"/>
      <c r="KR828" s="1750"/>
      <c r="KS828" s="1750"/>
      <c r="KT828" s="1750"/>
      <c r="KU828" s="1750"/>
      <c r="KV828" s="1750"/>
      <c r="KW828" s="1750"/>
      <c r="KX828" s="1750"/>
      <c r="KY828" s="1750"/>
      <c r="KZ828" s="1750"/>
      <c r="LA828" s="1750"/>
      <c r="LB828" s="1750"/>
      <c r="LC828" s="1750"/>
      <c r="LD828" s="1750"/>
      <c r="LE828" s="1750"/>
      <c r="LF828" s="1750"/>
      <c r="LG828" s="1750"/>
    </row>
    <row r="829" spans="2:380" ht="15.6" customHeight="1">
      <c r="B829" s="2207" t="s">
        <v>2112</v>
      </c>
      <c r="C829" s="360"/>
      <c r="D829" s="360"/>
      <c r="E829" s="360"/>
      <c r="F829" s="360"/>
      <c r="H829" s="2278">
        <v>11</v>
      </c>
      <c r="I829" s="2278">
        <v>12</v>
      </c>
      <c r="J829" s="2278">
        <v>13</v>
      </c>
      <c r="K829" s="2278">
        <v>14</v>
      </c>
      <c r="L829" s="2278">
        <v>15</v>
      </c>
      <c r="M829" s="2278">
        <v>16</v>
      </c>
      <c r="N829" s="2278">
        <v>17</v>
      </c>
      <c r="O829" s="2278">
        <v>18</v>
      </c>
      <c r="P829" s="2278">
        <v>19</v>
      </c>
      <c r="Q829" s="2278">
        <v>20</v>
      </c>
      <c r="S829" s="2239" t="s">
        <v>2410</v>
      </c>
      <c r="T829" s="359" t="str">
        <f>B829</f>
        <v>Included in Mgt Fee:</v>
      </c>
      <c r="JW829" s="1750"/>
      <c r="KB829" s="1750"/>
      <c r="KG829" s="1750"/>
      <c r="KL829" s="1750"/>
      <c r="KM829" s="1750"/>
      <c r="KN829" s="1750"/>
      <c r="KO829" s="1750"/>
      <c r="KP829" s="1750"/>
      <c r="KQ829" s="1750"/>
      <c r="KR829" s="1750"/>
      <c r="KS829" s="1750"/>
      <c r="KT829" s="1750"/>
      <c r="KU829" s="1750"/>
      <c r="KV829" s="1750"/>
      <c r="KW829" s="1750"/>
      <c r="KX829" s="1750"/>
      <c r="KY829" s="1750"/>
      <c r="KZ829" s="1750"/>
      <c r="LA829" s="1750"/>
      <c r="LB829" s="1750"/>
      <c r="LC829" s="1750"/>
      <c r="LD829" s="1750"/>
      <c r="LE829" s="1750"/>
      <c r="LF829" s="1750"/>
      <c r="LG829" s="1750"/>
    </row>
    <row r="830" spans="2:380" ht="15.6" customHeight="1">
      <c r="B830" s="1505" t="s">
        <v>954</v>
      </c>
      <c r="C830" s="1505"/>
      <c r="D830" s="1505"/>
      <c r="E830" s="1505"/>
      <c r="F830" s="1505"/>
      <c r="H830" s="2280">
        <f>'Part V-Revenues &amp; Expenses'!H192</f>
        <v>0</v>
      </c>
      <c r="I830" s="2280">
        <f>'Part V-Revenues &amp; Expenses'!I192</f>
        <v>0</v>
      </c>
      <c r="J830" s="2280">
        <f>'Part V-Revenues &amp; Expenses'!J192</f>
        <v>0</v>
      </c>
      <c r="K830" s="2280">
        <f>'Part V-Revenues &amp; Expenses'!K192</f>
        <v>0</v>
      </c>
      <c r="L830" s="2283">
        <f>'Part V-Revenues &amp; Expenses'!L192</f>
        <v>0</v>
      </c>
      <c r="M830" s="2280">
        <f>'Part V-Revenues &amp; Expenses'!M192</f>
        <v>0</v>
      </c>
      <c r="N830" s="2280">
        <f>'Part V-Revenues &amp; Expenses'!N192</f>
        <v>0</v>
      </c>
      <c r="O830" s="2280">
        <f>'Part V-Revenues &amp; Expenses'!O192</f>
        <v>0</v>
      </c>
      <c r="P830" s="2280">
        <f>'Part V-Revenues &amp; Expenses'!P192</f>
        <v>0</v>
      </c>
      <c r="Q830" s="2280">
        <f>'Part V-Revenues &amp; Expenses'!Q192</f>
        <v>0</v>
      </c>
      <c r="R830" s="2281"/>
      <c r="S830" s="2160"/>
      <c r="T830" s="2160"/>
      <c r="U830" s="2160"/>
      <c r="V830" s="2160"/>
      <c r="W830" s="2160"/>
    </row>
    <row r="831" spans="2:380" ht="15.6" customHeight="1">
      <c r="B831" s="1505" t="s">
        <v>690</v>
      </c>
      <c r="C831" s="2282">
        <f>'Part V-Revenues &amp; Expenses'!C193</f>
        <v>0</v>
      </c>
      <c r="D831" s="2282"/>
      <c r="E831" s="2282"/>
      <c r="F831" s="2282"/>
      <c r="H831" s="2280">
        <f>'Part V-Revenues &amp; Expenses'!H193</f>
        <v>0</v>
      </c>
      <c r="I831" s="2280">
        <f>'Part V-Revenues &amp; Expenses'!I193</f>
        <v>0</v>
      </c>
      <c r="J831" s="2280">
        <f>'Part V-Revenues &amp; Expenses'!J193</f>
        <v>0</v>
      </c>
      <c r="K831" s="2280">
        <f>'Part V-Revenues &amp; Expenses'!K193</f>
        <v>0</v>
      </c>
      <c r="L831" s="2283">
        <f>'Part V-Revenues &amp; Expenses'!L193</f>
        <v>0</v>
      </c>
      <c r="M831" s="2280">
        <f>'Part V-Revenues &amp; Expenses'!M193</f>
        <v>0</v>
      </c>
      <c r="N831" s="2280">
        <f>'Part V-Revenues &amp; Expenses'!N193</f>
        <v>0</v>
      </c>
      <c r="O831" s="2280">
        <f>'Part V-Revenues &amp; Expenses'!O193</f>
        <v>0</v>
      </c>
      <c r="P831" s="2280">
        <f>'Part V-Revenues &amp; Expenses'!P193</f>
        <v>0</v>
      </c>
      <c r="Q831" s="2280">
        <f>'Part V-Revenues &amp; Expenses'!Q193</f>
        <v>0</v>
      </c>
      <c r="R831" s="2281"/>
      <c r="S831" s="2160"/>
      <c r="T831" s="2160"/>
      <c r="U831" s="2160"/>
      <c r="V831" s="2160"/>
      <c r="W831" s="2160"/>
    </row>
    <row r="832" spans="2:380" ht="15.6" customHeight="1">
      <c r="B832" s="1505"/>
      <c r="C832" s="1505" t="s">
        <v>870</v>
      </c>
      <c r="D832" s="1505"/>
      <c r="E832" s="1505"/>
      <c r="F832" s="1505"/>
      <c r="H832" s="2284">
        <f>SUM(H830:H831)</f>
        <v>0</v>
      </c>
      <c r="I832" s="2284">
        <f>SUM(I830:I831)</f>
        <v>0</v>
      </c>
      <c r="J832" s="2284">
        <f t="shared" ref="J832:Q832" si="375">SUM(J830:J831)</f>
        <v>0</v>
      </c>
      <c r="K832" s="2284">
        <f t="shared" si="375"/>
        <v>0</v>
      </c>
      <c r="L832" s="2284">
        <f t="shared" si="375"/>
        <v>0</v>
      </c>
      <c r="M832" s="2284">
        <f t="shared" si="375"/>
        <v>0</v>
      </c>
      <c r="N832" s="2284">
        <f t="shared" si="375"/>
        <v>0</v>
      </c>
      <c r="O832" s="2284">
        <f t="shared" si="375"/>
        <v>0</v>
      </c>
      <c r="P832" s="2284">
        <f t="shared" si="375"/>
        <v>0</v>
      </c>
      <c r="Q832" s="2284">
        <f t="shared" si="375"/>
        <v>0</v>
      </c>
      <c r="R832" s="363"/>
      <c r="S832" s="2160"/>
      <c r="T832" s="2160"/>
      <c r="U832" s="2160"/>
      <c r="V832" s="2160"/>
      <c r="W832" s="2160"/>
    </row>
    <row r="833" spans="2:319" ht="15.6" customHeight="1">
      <c r="B833" s="2207" t="s">
        <v>6769</v>
      </c>
      <c r="C833" s="360"/>
      <c r="D833" s="360"/>
      <c r="E833" s="360"/>
      <c r="F833" s="360"/>
      <c r="H833" s="2285"/>
      <c r="I833" s="360"/>
      <c r="J833" s="360"/>
      <c r="K833" s="360"/>
      <c r="L833" s="360"/>
      <c r="M833" s="360"/>
      <c r="N833" s="360"/>
      <c r="O833" s="360"/>
      <c r="P833" s="360"/>
      <c r="Q833" s="360"/>
      <c r="S833" s="359" t="str">
        <f>B833</f>
        <v>NOT Included in Mgt Fee:</v>
      </c>
    </row>
    <row r="834" spans="2:319" ht="15.6" customHeight="1">
      <c r="B834" s="1505" t="s">
        <v>498</v>
      </c>
      <c r="C834" s="1505"/>
      <c r="D834" s="1505"/>
      <c r="E834" s="1505"/>
      <c r="F834" s="1505"/>
      <c r="H834" s="2280">
        <f>'Part V-Revenues &amp; Expenses'!H196</f>
        <v>0</v>
      </c>
      <c r="I834" s="2280">
        <f>'Part V-Revenues &amp; Expenses'!I196</f>
        <v>0</v>
      </c>
      <c r="J834" s="2280">
        <f>'Part V-Revenues &amp; Expenses'!J196</f>
        <v>0</v>
      </c>
      <c r="K834" s="2280">
        <f>'Part V-Revenues &amp; Expenses'!K196</f>
        <v>0</v>
      </c>
      <c r="L834" s="2283">
        <f>'Part V-Revenues &amp; Expenses'!L196</f>
        <v>0</v>
      </c>
      <c r="M834" s="2280">
        <f>'Part V-Revenues &amp; Expenses'!M196</f>
        <v>0</v>
      </c>
      <c r="N834" s="2280">
        <f>'Part V-Revenues &amp; Expenses'!N196</f>
        <v>0</v>
      </c>
      <c r="O834" s="2280">
        <f>'Part V-Revenues &amp; Expenses'!O196</f>
        <v>0</v>
      </c>
      <c r="P834" s="2280">
        <f>'Part V-Revenues &amp; Expenses'!P196</f>
        <v>0</v>
      </c>
      <c r="Q834" s="2280">
        <f>'Part V-Revenues &amp; Expenses'!Q196</f>
        <v>0</v>
      </c>
      <c r="R834" s="2281"/>
      <c r="S834" s="2160"/>
      <c r="T834" s="2160"/>
      <c r="U834" s="2160"/>
      <c r="V834" s="2160"/>
      <c r="W834" s="2160"/>
    </row>
    <row r="835" spans="2:319" ht="15.6" customHeight="1">
      <c r="B835" s="1505" t="s">
        <v>690</v>
      </c>
      <c r="C835" s="2282">
        <f>'Part V-Revenues &amp; Expenses'!C197</f>
        <v>0</v>
      </c>
      <c r="D835" s="2282"/>
      <c r="E835" s="2282"/>
      <c r="F835" s="2282"/>
      <c r="H835" s="2280">
        <f>'Part V-Revenues &amp; Expenses'!H197</f>
        <v>0</v>
      </c>
      <c r="I835" s="2280">
        <f>'Part V-Revenues &amp; Expenses'!I197</f>
        <v>0</v>
      </c>
      <c r="J835" s="2280">
        <f>'Part V-Revenues &amp; Expenses'!J197</f>
        <v>0</v>
      </c>
      <c r="K835" s="2280">
        <f>'Part V-Revenues &amp; Expenses'!K197</f>
        <v>0</v>
      </c>
      <c r="L835" s="2283">
        <f>'Part V-Revenues &amp; Expenses'!L197</f>
        <v>0</v>
      </c>
      <c r="M835" s="2280">
        <f>'Part V-Revenues &amp; Expenses'!M197</f>
        <v>0</v>
      </c>
      <c r="N835" s="2280">
        <f>'Part V-Revenues &amp; Expenses'!N197</f>
        <v>0</v>
      </c>
      <c r="O835" s="2280">
        <f>'Part V-Revenues &amp; Expenses'!O197</f>
        <v>0</v>
      </c>
      <c r="P835" s="2280">
        <f>'Part V-Revenues &amp; Expenses'!P197</f>
        <v>0</v>
      </c>
      <c r="Q835" s="2280">
        <f>'Part V-Revenues &amp; Expenses'!Q197</f>
        <v>0</v>
      </c>
      <c r="R835" s="2281"/>
      <c r="S835" s="2160"/>
      <c r="T835" s="2160"/>
      <c r="U835" s="2160"/>
      <c r="V835" s="2160"/>
      <c r="W835" s="2160"/>
    </row>
    <row r="836" spans="2:319" ht="15.6" customHeight="1">
      <c r="B836" s="1505"/>
      <c r="C836" s="1505" t="s">
        <v>6770</v>
      </c>
      <c r="D836" s="1505"/>
      <c r="E836" s="1505"/>
      <c r="F836" s="1505"/>
      <c r="H836" s="2284">
        <f>SUM(H834:H835)</f>
        <v>0</v>
      </c>
      <c r="I836" s="2284">
        <f>SUM(I834:I835)</f>
        <v>0</v>
      </c>
      <c r="J836" s="2284">
        <f t="shared" ref="J836:Q836" si="376">SUM(J834:J835)</f>
        <v>0</v>
      </c>
      <c r="K836" s="2284">
        <f t="shared" si="376"/>
        <v>0</v>
      </c>
      <c r="L836" s="2284">
        <f t="shared" si="376"/>
        <v>0</v>
      </c>
      <c r="M836" s="2284">
        <f t="shared" si="376"/>
        <v>0</v>
      </c>
      <c r="N836" s="2284">
        <f t="shared" si="376"/>
        <v>0</v>
      </c>
      <c r="O836" s="2284">
        <f t="shared" si="376"/>
        <v>0</v>
      </c>
      <c r="P836" s="2284">
        <f t="shared" si="376"/>
        <v>0</v>
      </c>
      <c r="Q836" s="2284">
        <f t="shared" si="376"/>
        <v>0</v>
      </c>
      <c r="R836" s="363"/>
      <c r="S836" s="2160"/>
      <c r="T836" s="2160"/>
      <c r="U836" s="2160"/>
      <c r="V836" s="2160"/>
      <c r="W836" s="2160"/>
    </row>
    <row r="837" spans="2:319" ht="15.6" customHeight="1">
      <c r="B837" s="360"/>
      <c r="C837" s="360"/>
      <c r="D837" s="360"/>
      <c r="E837" s="360"/>
      <c r="F837" s="360"/>
      <c r="H837" s="2285"/>
      <c r="I837" s="360"/>
      <c r="J837" s="360"/>
      <c r="K837" s="360"/>
      <c r="L837" s="360"/>
      <c r="M837" s="360"/>
      <c r="N837" s="360"/>
      <c r="O837" s="360"/>
      <c r="P837" s="360"/>
      <c r="Q837" s="360"/>
    </row>
    <row r="838" spans="2:319" ht="15.6" customHeight="1">
      <c r="B838" s="2207" t="s">
        <v>2112</v>
      </c>
      <c r="C838" s="360"/>
      <c r="D838" s="360"/>
      <c r="E838" s="360"/>
      <c r="F838" s="360"/>
      <c r="H838" s="2278">
        <v>21</v>
      </c>
      <c r="I838" s="2278">
        <v>22</v>
      </c>
      <c r="J838" s="2278">
        <v>23</v>
      </c>
      <c r="K838" s="2278">
        <v>24</v>
      </c>
      <c r="L838" s="2278">
        <v>25</v>
      </c>
      <c r="M838" s="2278">
        <v>26</v>
      </c>
      <c r="N838" s="2278">
        <v>27</v>
      </c>
      <c r="O838" s="2278">
        <v>28</v>
      </c>
      <c r="P838" s="2278">
        <v>29</v>
      </c>
      <c r="Q838" s="2278">
        <v>30</v>
      </c>
      <c r="R838" s="2279"/>
      <c r="S838" s="2239" t="s">
        <v>2411</v>
      </c>
      <c r="T838" s="359" t="str">
        <f>B838</f>
        <v>Included in Mgt Fee:</v>
      </c>
    </row>
    <row r="839" spans="2:319" ht="15.6" customHeight="1">
      <c r="B839" s="1505" t="s">
        <v>954</v>
      </c>
      <c r="C839" s="1505"/>
      <c r="D839" s="1505"/>
      <c r="E839" s="1505"/>
      <c r="F839" s="1505"/>
      <c r="H839" s="2280">
        <f>'Part V-Revenues &amp; Expenses'!H201</f>
        <v>0</v>
      </c>
      <c r="I839" s="2280">
        <f>'Part V-Revenues &amp; Expenses'!I201</f>
        <v>0</v>
      </c>
      <c r="J839" s="2280">
        <f>'Part V-Revenues &amp; Expenses'!J201</f>
        <v>0</v>
      </c>
      <c r="K839" s="2280">
        <f>'Part V-Revenues &amp; Expenses'!K201</f>
        <v>0</v>
      </c>
      <c r="L839" s="2283">
        <f>'Part V-Revenues &amp; Expenses'!L201</f>
        <v>0</v>
      </c>
      <c r="M839" s="2280">
        <f>'Part V-Revenues &amp; Expenses'!M201</f>
        <v>0</v>
      </c>
      <c r="N839" s="2280">
        <f>'Part V-Revenues &amp; Expenses'!N201</f>
        <v>0</v>
      </c>
      <c r="O839" s="2280">
        <f>'Part V-Revenues &amp; Expenses'!O201</f>
        <v>0</v>
      </c>
      <c r="P839" s="2280">
        <f>'Part V-Revenues &amp; Expenses'!P201</f>
        <v>0</v>
      </c>
      <c r="Q839" s="2280">
        <f>'Part V-Revenues &amp; Expenses'!Q201</f>
        <v>0</v>
      </c>
      <c r="R839" s="2281"/>
      <c r="S839" s="2160"/>
      <c r="T839" s="2160"/>
      <c r="U839" s="2160"/>
      <c r="V839" s="2160"/>
      <c r="W839" s="2160"/>
    </row>
    <row r="840" spans="2:319" ht="15.6" customHeight="1">
      <c r="B840" s="1505" t="s">
        <v>690</v>
      </c>
      <c r="C840" s="2282">
        <f>'Part V-Revenues &amp; Expenses'!C202</f>
        <v>0</v>
      </c>
      <c r="D840" s="2282"/>
      <c r="E840" s="2282"/>
      <c r="F840" s="2282"/>
      <c r="H840" s="2280">
        <f>'Part V-Revenues &amp; Expenses'!H202</f>
        <v>0</v>
      </c>
      <c r="I840" s="2280">
        <f>'Part V-Revenues &amp; Expenses'!I202</f>
        <v>0</v>
      </c>
      <c r="J840" s="2280">
        <f>'Part V-Revenues &amp; Expenses'!J202</f>
        <v>0</v>
      </c>
      <c r="K840" s="2280">
        <f>'Part V-Revenues &amp; Expenses'!K202</f>
        <v>0</v>
      </c>
      <c r="L840" s="2283">
        <f>'Part V-Revenues &amp; Expenses'!L202</f>
        <v>0</v>
      </c>
      <c r="M840" s="2280">
        <f>'Part V-Revenues &amp; Expenses'!M202</f>
        <v>0</v>
      </c>
      <c r="N840" s="2280">
        <f>'Part V-Revenues &amp; Expenses'!N202</f>
        <v>0</v>
      </c>
      <c r="O840" s="2280">
        <f>'Part V-Revenues &amp; Expenses'!O202</f>
        <v>0</v>
      </c>
      <c r="P840" s="2280">
        <f>'Part V-Revenues &amp; Expenses'!P202</f>
        <v>0</v>
      </c>
      <c r="Q840" s="2280">
        <f>'Part V-Revenues &amp; Expenses'!Q202</f>
        <v>0</v>
      </c>
      <c r="R840" s="2281"/>
      <c r="S840" s="2160"/>
      <c r="T840" s="2160"/>
      <c r="U840" s="2160"/>
      <c r="V840" s="2160"/>
      <c r="W840" s="2160"/>
    </row>
    <row r="841" spans="2:319" ht="15.6" customHeight="1">
      <c r="B841" s="1505"/>
      <c r="C841" s="1505" t="s">
        <v>870</v>
      </c>
      <c r="D841" s="1505"/>
      <c r="E841" s="1505"/>
      <c r="F841" s="1505"/>
      <c r="H841" s="2284">
        <f>SUM(H839:H840)</f>
        <v>0</v>
      </c>
      <c r="I841" s="2284">
        <f>SUM(I839:I840)</f>
        <v>0</v>
      </c>
      <c r="J841" s="2284">
        <f t="shared" ref="J841:Q841" si="377">SUM(J839:J840)</f>
        <v>0</v>
      </c>
      <c r="K841" s="2284">
        <f t="shared" si="377"/>
        <v>0</v>
      </c>
      <c r="L841" s="2284">
        <f t="shared" si="377"/>
        <v>0</v>
      </c>
      <c r="M841" s="2284">
        <f t="shared" si="377"/>
        <v>0</v>
      </c>
      <c r="N841" s="2284">
        <f t="shared" si="377"/>
        <v>0</v>
      </c>
      <c r="O841" s="2284">
        <f t="shared" si="377"/>
        <v>0</v>
      </c>
      <c r="P841" s="2284">
        <f t="shared" si="377"/>
        <v>0</v>
      </c>
      <c r="Q841" s="2284">
        <f t="shared" si="377"/>
        <v>0</v>
      </c>
      <c r="R841" s="363"/>
      <c r="S841" s="2160"/>
      <c r="T841" s="2160"/>
      <c r="U841" s="2160"/>
      <c r="V841" s="2160"/>
      <c r="W841" s="2160"/>
    </row>
    <row r="842" spans="2:319" ht="15.6" customHeight="1">
      <c r="B842" s="2207" t="s">
        <v>6769</v>
      </c>
      <c r="C842" s="360"/>
      <c r="D842" s="360"/>
      <c r="E842" s="360"/>
      <c r="F842" s="360"/>
      <c r="H842" s="2285"/>
      <c r="I842" s="360"/>
      <c r="J842" s="360"/>
      <c r="K842" s="360"/>
      <c r="L842" s="360"/>
      <c r="M842" s="360"/>
      <c r="N842" s="360"/>
      <c r="O842" s="360"/>
      <c r="P842" s="360"/>
      <c r="Q842" s="360"/>
      <c r="S842" s="359" t="str">
        <f>B842</f>
        <v>NOT Included in Mgt Fee:</v>
      </c>
    </row>
    <row r="843" spans="2:319" ht="15.6" customHeight="1">
      <c r="B843" s="1505" t="s">
        <v>498</v>
      </c>
      <c r="C843" s="1505"/>
      <c r="D843" s="1505"/>
      <c r="E843" s="1505"/>
      <c r="F843" s="1505"/>
      <c r="H843" s="2280">
        <f>'Part V-Revenues &amp; Expenses'!H205</f>
        <v>0</v>
      </c>
      <c r="I843" s="2280">
        <f>'Part V-Revenues &amp; Expenses'!I205</f>
        <v>0</v>
      </c>
      <c r="J843" s="2280">
        <f>'Part V-Revenues &amp; Expenses'!J205</f>
        <v>0</v>
      </c>
      <c r="K843" s="2280">
        <f>'Part V-Revenues &amp; Expenses'!K205</f>
        <v>0</v>
      </c>
      <c r="L843" s="2283">
        <f>'Part V-Revenues &amp; Expenses'!L205</f>
        <v>0</v>
      </c>
      <c r="M843" s="2280">
        <f>'Part V-Revenues &amp; Expenses'!M205</f>
        <v>0</v>
      </c>
      <c r="N843" s="2280">
        <f>'Part V-Revenues &amp; Expenses'!N205</f>
        <v>0</v>
      </c>
      <c r="O843" s="2280">
        <f>'Part V-Revenues &amp; Expenses'!O205</f>
        <v>0</v>
      </c>
      <c r="P843" s="2280">
        <f>'Part V-Revenues &amp; Expenses'!P205</f>
        <v>0</v>
      </c>
      <c r="Q843" s="2280">
        <f>'Part V-Revenues &amp; Expenses'!Q205</f>
        <v>0</v>
      </c>
      <c r="R843" s="2281"/>
      <c r="S843" s="2160"/>
      <c r="T843" s="2160"/>
      <c r="U843" s="2160"/>
      <c r="V843" s="2160"/>
      <c r="W843" s="2160"/>
    </row>
    <row r="844" spans="2:319" ht="15.6" customHeight="1">
      <c r="B844" s="1505" t="s">
        <v>690</v>
      </c>
      <c r="C844" s="2282">
        <f>'Part V-Revenues &amp; Expenses'!C206</f>
        <v>0</v>
      </c>
      <c r="D844" s="2282"/>
      <c r="E844" s="2282"/>
      <c r="F844" s="2282"/>
      <c r="H844" s="2280">
        <f>'Part V-Revenues &amp; Expenses'!H206</f>
        <v>0</v>
      </c>
      <c r="I844" s="2280">
        <f>'Part V-Revenues &amp; Expenses'!I206</f>
        <v>0</v>
      </c>
      <c r="J844" s="2280">
        <f>'Part V-Revenues &amp; Expenses'!J206</f>
        <v>0</v>
      </c>
      <c r="K844" s="2280">
        <f>'Part V-Revenues &amp; Expenses'!K206</f>
        <v>0</v>
      </c>
      <c r="L844" s="2283">
        <f>'Part V-Revenues &amp; Expenses'!L206</f>
        <v>0</v>
      </c>
      <c r="M844" s="2280">
        <f>'Part V-Revenues &amp; Expenses'!M206</f>
        <v>0</v>
      </c>
      <c r="N844" s="2280">
        <f>'Part V-Revenues &amp; Expenses'!N206</f>
        <v>0</v>
      </c>
      <c r="O844" s="2280">
        <f>'Part V-Revenues &amp; Expenses'!O206</f>
        <v>0</v>
      </c>
      <c r="P844" s="2280">
        <f>'Part V-Revenues &amp; Expenses'!P206</f>
        <v>0</v>
      </c>
      <c r="Q844" s="2280">
        <f>'Part V-Revenues &amp; Expenses'!Q206</f>
        <v>0</v>
      </c>
      <c r="R844" s="2281"/>
      <c r="S844" s="2160"/>
      <c r="T844" s="2160"/>
      <c r="U844" s="2160"/>
      <c r="V844" s="2160"/>
      <c r="W844" s="2160"/>
    </row>
    <row r="845" spans="2:319" ht="15.6" customHeight="1">
      <c r="B845" s="1505"/>
      <c r="C845" s="1505" t="s">
        <v>6770</v>
      </c>
      <c r="D845" s="1505"/>
      <c r="E845" s="1505"/>
      <c r="F845" s="1505"/>
      <c r="H845" s="2284">
        <f>SUM(H843:H844)</f>
        <v>0</v>
      </c>
      <c r="I845" s="2284">
        <f>SUM(I843:I844)</f>
        <v>0</v>
      </c>
      <c r="J845" s="2284">
        <f t="shared" ref="J845:Q845" si="378">SUM(J843:J844)</f>
        <v>0</v>
      </c>
      <c r="K845" s="2284">
        <f t="shared" si="378"/>
        <v>0</v>
      </c>
      <c r="L845" s="2284">
        <f t="shared" si="378"/>
        <v>0</v>
      </c>
      <c r="M845" s="2284">
        <f t="shared" si="378"/>
        <v>0</v>
      </c>
      <c r="N845" s="2284">
        <f t="shared" si="378"/>
        <v>0</v>
      </c>
      <c r="O845" s="2284">
        <f t="shared" si="378"/>
        <v>0</v>
      </c>
      <c r="P845" s="2284">
        <f t="shared" si="378"/>
        <v>0</v>
      </c>
      <c r="Q845" s="2284">
        <f t="shared" si="378"/>
        <v>0</v>
      </c>
      <c r="R845" s="363"/>
      <c r="S845" s="2160"/>
      <c r="T845" s="2160"/>
      <c r="U845" s="2160"/>
      <c r="V845" s="2160"/>
      <c r="W845" s="2160"/>
    </row>
    <row r="846" spans="2:319" ht="15.6" customHeight="1">
      <c r="B846" s="360"/>
      <c r="C846" s="360"/>
      <c r="D846" s="360"/>
      <c r="E846" s="360"/>
      <c r="F846" s="360"/>
      <c r="H846" s="2285"/>
      <c r="I846" s="360"/>
      <c r="J846" s="360"/>
      <c r="K846" s="360"/>
      <c r="L846" s="360"/>
      <c r="M846" s="360"/>
      <c r="N846" s="360"/>
      <c r="O846" s="360"/>
      <c r="P846" s="360"/>
      <c r="Q846" s="360"/>
      <c r="JW846" s="1750"/>
      <c r="KB846" s="1750"/>
      <c r="KG846" s="1750"/>
      <c r="KL846" s="1750"/>
      <c r="KM846" s="1750"/>
      <c r="KN846" s="1750"/>
      <c r="KO846" s="1750"/>
      <c r="KP846" s="1750"/>
      <c r="KQ846" s="1750"/>
      <c r="KR846" s="1750"/>
      <c r="KS846" s="1750"/>
      <c r="KT846" s="1750"/>
      <c r="KU846" s="1750"/>
      <c r="KV846" s="1750"/>
      <c r="KW846" s="1750"/>
      <c r="KX846" s="1750"/>
      <c r="KY846" s="1750"/>
      <c r="KZ846" s="1750"/>
      <c r="LA846" s="1750"/>
      <c r="LB846" s="1750"/>
      <c r="LC846" s="1750"/>
      <c r="LD846" s="1750"/>
      <c r="LE846" s="1750"/>
      <c r="LF846" s="1750"/>
      <c r="LG846" s="1750"/>
    </row>
    <row r="847" spans="2:319" ht="15.6" customHeight="1">
      <c r="B847" s="2207" t="s">
        <v>2112</v>
      </c>
      <c r="C847" s="360"/>
      <c r="D847" s="360"/>
      <c r="E847" s="360"/>
      <c r="F847" s="360"/>
      <c r="H847" s="2278">
        <v>31</v>
      </c>
      <c r="I847" s="2278">
        <v>32</v>
      </c>
      <c r="J847" s="2278">
        <v>33</v>
      </c>
      <c r="K847" s="2278">
        <v>34</v>
      </c>
      <c r="L847" s="2278">
        <v>35</v>
      </c>
      <c r="M847" s="360"/>
      <c r="N847" s="360"/>
      <c r="O847" s="360"/>
      <c r="P847" s="360"/>
      <c r="Q847" s="360"/>
      <c r="S847" s="2239" t="s">
        <v>2411</v>
      </c>
      <c r="T847" s="359" t="str">
        <f>B847</f>
        <v>Included in Mgt Fee:</v>
      </c>
      <c r="JW847" s="1750"/>
      <c r="KB847" s="1750"/>
      <c r="KG847" s="1750"/>
      <c r="KL847" s="1750"/>
      <c r="KM847" s="1750"/>
      <c r="KN847" s="1750"/>
      <c r="KO847" s="1750"/>
      <c r="KP847" s="1750"/>
      <c r="KQ847" s="1750"/>
      <c r="KR847" s="1750"/>
      <c r="KS847" s="1750"/>
      <c r="KT847" s="1750"/>
      <c r="KU847" s="1750"/>
      <c r="KV847" s="1750"/>
      <c r="KW847" s="1750"/>
      <c r="KX847" s="1750"/>
      <c r="KY847" s="1750"/>
      <c r="KZ847" s="1750"/>
      <c r="LA847" s="1750"/>
      <c r="LB847" s="1750"/>
      <c r="LC847" s="1750"/>
      <c r="LD847" s="1750"/>
      <c r="LE847" s="1750"/>
      <c r="LF847" s="1750"/>
      <c r="LG847" s="1750"/>
    </row>
    <row r="848" spans="2:319" ht="15.6" customHeight="1">
      <c r="B848" s="1505" t="s">
        <v>954</v>
      </c>
      <c r="C848" s="1505"/>
      <c r="D848" s="1505"/>
      <c r="E848" s="1505"/>
      <c r="F848" s="1505"/>
      <c r="H848" s="2280">
        <f>'Part V-Revenues &amp; Expenses'!H210</f>
        <v>0</v>
      </c>
      <c r="I848" s="2280">
        <f>'Part V-Revenues &amp; Expenses'!I210</f>
        <v>0</v>
      </c>
      <c r="J848" s="2280">
        <f>'Part V-Revenues &amp; Expenses'!J210</f>
        <v>0</v>
      </c>
      <c r="K848" s="2280">
        <f>'Part V-Revenues &amp; Expenses'!K210</f>
        <v>0</v>
      </c>
      <c r="L848" s="2283">
        <f>'Part V-Revenues &amp; Expenses'!L210</f>
        <v>0</v>
      </c>
      <c r="M848" s="360"/>
      <c r="N848" s="360"/>
      <c r="O848" s="360"/>
      <c r="P848" s="360"/>
      <c r="Q848" s="360"/>
      <c r="S848" s="2160"/>
      <c r="T848" s="2160"/>
      <c r="U848" s="2160"/>
      <c r="V848" s="2160"/>
      <c r="W848" s="2160"/>
      <c r="JW848" s="1750"/>
      <c r="KB848" s="1750"/>
      <c r="KG848" s="1750"/>
      <c r="KL848" s="1750"/>
      <c r="KM848" s="1750"/>
      <c r="KN848" s="1750"/>
      <c r="KO848" s="1750"/>
      <c r="KP848" s="1750"/>
      <c r="KQ848" s="1750"/>
      <c r="KR848" s="1750"/>
      <c r="KS848" s="1750"/>
      <c r="KT848" s="1750"/>
      <c r="KU848" s="1750"/>
      <c r="KV848" s="1750"/>
      <c r="KW848" s="1750"/>
      <c r="KX848" s="1750"/>
      <c r="KY848" s="1750"/>
      <c r="KZ848" s="1750"/>
      <c r="LA848" s="1750"/>
      <c r="LB848" s="1750"/>
      <c r="LC848" s="1750"/>
      <c r="LD848" s="1750"/>
      <c r="LE848" s="1750"/>
      <c r="LF848" s="1750"/>
      <c r="LG848" s="1750"/>
    </row>
    <row r="849" spans="1:380" ht="15.6" customHeight="1">
      <c r="B849" s="1505" t="s">
        <v>690</v>
      </c>
      <c r="C849" s="2282">
        <f>'Part V-Revenues &amp; Expenses'!C211</f>
        <v>0</v>
      </c>
      <c r="D849" s="2282"/>
      <c r="E849" s="2282"/>
      <c r="F849" s="2282"/>
      <c r="H849" s="2280">
        <f>'Part V-Revenues &amp; Expenses'!H211</f>
        <v>0</v>
      </c>
      <c r="I849" s="2280">
        <f>'Part V-Revenues &amp; Expenses'!I211</f>
        <v>0</v>
      </c>
      <c r="J849" s="2280">
        <f>'Part V-Revenues &amp; Expenses'!J211</f>
        <v>0</v>
      </c>
      <c r="K849" s="2280">
        <f>'Part V-Revenues &amp; Expenses'!K211</f>
        <v>0</v>
      </c>
      <c r="L849" s="2283">
        <f>'Part V-Revenues &amp; Expenses'!L211</f>
        <v>0</v>
      </c>
      <c r="M849" s="360"/>
      <c r="N849" s="360"/>
      <c r="O849" s="360"/>
      <c r="P849" s="360"/>
      <c r="Q849" s="360"/>
      <c r="S849" s="2160"/>
      <c r="T849" s="2160"/>
      <c r="U849" s="2160"/>
      <c r="V849" s="2160"/>
      <c r="W849" s="2160"/>
      <c r="JW849" s="1750"/>
      <c r="KB849" s="1750"/>
      <c r="KG849" s="1750"/>
      <c r="KL849" s="1750"/>
      <c r="KM849" s="1750"/>
      <c r="KN849" s="1750"/>
      <c r="KO849" s="1750"/>
      <c r="KP849" s="1750"/>
      <c r="KQ849" s="1750"/>
      <c r="KR849" s="1750"/>
      <c r="KS849" s="1750"/>
      <c r="KT849" s="1750"/>
      <c r="KU849" s="1750"/>
      <c r="KV849" s="1750"/>
      <c r="KW849" s="1750"/>
      <c r="KX849" s="1750"/>
      <c r="KY849" s="1750"/>
      <c r="KZ849" s="1750"/>
      <c r="LA849" s="1750"/>
      <c r="LB849" s="1750"/>
      <c r="LC849" s="1750"/>
      <c r="LD849" s="1750"/>
      <c r="LE849" s="1750"/>
      <c r="LF849" s="1750"/>
      <c r="LG849" s="1750"/>
    </row>
    <row r="850" spans="1:380" ht="15.6" customHeight="1">
      <c r="B850" s="1505"/>
      <c r="C850" s="1505" t="s">
        <v>870</v>
      </c>
      <c r="D850" s="1505"/>
      <c r="E850" s="1505"/>
      <c r="F850" s="1505"/>
      <c r="H850" s="2284">
        <f>SUM(H848:H849)</f>
        <v>0</v>
      </c>
      <c r="I850" s="2284">
        <f>SUM(I848:I849)</f>
        <v>0</v>
      </c>
      <c r="J850" s="2284">
        <f>SUM(J848:J849)</f>
        <v>0</v>
      </c>
      <c r="K850" s="2284">
        <f>SUM(K848:K849)</f>
        <v>0</v>
      </c>
      <c r="L850" s="2284">
        <f>SUM(L848:L849)</f>
        <v>0</v>
      </c>
      <c r="M850" s="360"/>
      <c r="N850" s="360"/>
      <c r="O850" s="360"/>
      <c r="P850" s="360"/>
      <c r="Q850" s="360"/>
      <c r="S850" s="2160"/>
      <c r="T850" s="2160"/>
      <c r="U850" s="2160"/>
      <c r="V850" s="2160"/>
      <c r="W850" s="2160"/>
      <c r="JW850" s="1750"/>
      <c r="KB850" s="1750"/>
      <c r="KG850" s="1750"/>
      <c r="KL850" s="1750"/>
      <c r="KM850" s="1750"/>
      <c r="KN850" s="1750"/>
      <c r="KO850" s="1750"/>
      <c r="KP850" s="1750"/>
      <c r="KQ850" s="1750"/>
      <c r="KR850" s="1750"/>
      <c r="KS850" s="1750"/>
      <c r="KT850" s="1750"/>
      <c r="KU850" s="1750"/>
      <c r="KV850" s="1750"/>
      <c r="KW850" s="1750"/>
      <c r="KX850" s="1750"/>
      <c r="KY850" s="1750"/>
      <c r="KZ850" s="1750"/>
      <c r="LA850" s="1750"/>
      <c r="LB850" s="1750"/>
      <c r="LC850" s="1750"/>
      <c r="LD850" s="1750"/>
      <c r="LE850" s="1750"/>
      <c r="LF850" s="1750"/>
      <c r="LG850" s="1750"/>
    </row>
    <row r="851" spans="1:380" ht="15.6" customHeight="1">
      <c r="B851" s="2207" t="s">
        <v>6769</v>
      </c>
      <c r="C851" s="360"/>
      <c r="D851" s="360"/>
      <c r="E851" s="360"/>
      <c r="F851" s="360"/>
      <c r="H851" s="2285"/>
      <c r="I851" s="360"/>
      <c r="J851" s="360"/>
      <c r="K851" s="360"/>
      <c r="L851" s="360"/>
      <c r="M851" s="360"/>
      <c r="N851" s="360"/>
      <c r="O851" s="360"/>
      <c r="P851" s="360"/>
      <c r="Q851" s="360"/>
      <c r="S851" s="359" t="str">
        <f>B851</f>
        <v>NOT Included in Mgt Fee:</v>
      </c>
      <c r="JW851" s="1750"/>
      <c r="KB851" s="1750"/>
      <c r="KG851" s="1750"/>
      <c r="KL851" s="1750"/>
      <c r="KM851" s="1750"/>
      <c r="KN851" s="1750"/>
      <c r="KO851" s="1750"/>
      <c r="KP851" s="1750"/>
      <c r="KQ851" s="1750"/>
      <c r="KR851" s="1750"/>
      <c r="KS851" s="1750"/>
      <c r="KT851" s="1750"/>
      <c r="KU851" s="1750"/>
      <c r="KV851" s="1750"/>
      <c r="KW851" s="1750"/>
      <c r="KX851" s="1750"/>
      <c r="KY851" s="1750"/>
      <c r="KZ851" s="1750"/>
      <c r="LA851" s="1750"/>
      <c r="LB851" s="1750"/>
      <c r="LC851" s="1750"/>
      <c r="LD851" s="1750"/>
      <c r="LE851" s="1750"/>
      <c r="LF851" s="1750"/>
      <c r="LG851" s="1750"/>
    </row>
    <row r="852" spans="1:380" ht="15.6" customHeight="1">
      <c r="B852" s="1505" t="s">
        <v>498</v>
      </c>
      <c r="C852" s="1505"/>
      <c r="D852" s="1505"/>
      <c r="E852" s="1505"/>
      <c r="F852" s="1505"/>
      <c r="H852" s="2280">
        <f>'Part V-Revenues &amp; Expenses'!H214</f>
        <v>0</v>
      </c>
      <c r="I852" s="2280">
        <f>'Part V-Revenues &amp; Expenses'!I214</f>
        <v>0</v>
      </c>
      <c r="J852" s="2280">
        <f>'Part V-Revenues &amp; Expenses'!J214</f>
        <v>0</v>
      </c>
      <c r="K852" s="2280">
        <f>'Part V-Revenues &amp; Expenses'!K214</f>
        <v>0</v>
      </c>
      <c r="L852" s="2283">
        <f>'Part V-Revenues &amp; Expenses'!L214</f>
        <v>0</v>
      </c>
      <c r="M852" s="360"/>
      <c r="N852" s="360"/>
      <c r="O852" s="360"/>
      <c r="P852" s="360"/>
      <c r="Q852" s="360"/>
      <c r="S852" s="2160"/>
      <c r="T852" s="2160"/>
      <c r="U852" s="2160"/>
      <c r="V852" s="2160"/>
      <c r="W852" s="2160"/>
      <c r="JW852" s="1750"/>
      <c r="KB852" s="1750"/>
      <c r="KG852" s="1750"/>
      <c r="KL852" s="1750"/>
      <c r="KM852" s="1750"/>
      <c r="KN852" s="1750"/>
      <c r="KO852" s="1750"/>
      <c r="KP852" s="1750"/>
      <c r="KQ852" s="1750"/>
      <c r="KR852" s="1750"/>
      <c r="KS852" s="1750"/>
      <c r="KT852" s="1750"/>
      <c r="KU852" s="1750"/>
      <c r="KV852" s="1750"/>
      <c r="KW852" s="1750"/>
      <c r="KX852" s="1750"/>
      <c r="KY852" s="1750"/>
      <c r="KZ852" s="1750"/>
      <c r="LA852" s="1750"/>
      <c r="LB852" s="1750"/>
      <c r="LC852" s="1750"/>
      <c r="LD852" s="1750"/>
      <c r="LE852" s="1750"/>
      <c r="LF852" s="1750"/>
      <c r="LG852" s="1750"/>
    </row>
    <row r="853" spans="1:380" ht="15.6" customHeight="1">
      <c r="B853" s="1505" t="s">
        <v>690</v>
      </c>
      <c r="C853" s="2282">
        <f>'Part V-Revenues &amp; Expenses'!C215</f>
        <v>0</v>
      </c>
      <c r="D853" s="2282"/>
      <c r="E853" s="2282"/>
      <c r="F853" s="2282"/>
      <c r="H853" s="2280">
        <f>'Part V-Revenues &amp; Expenses'!H215</f>
        <v>0</v>
      </c>
      <c r="I853" s="2280">
        <f>'Part V-Revenues &amp; Expenses'!I215</f>
        <v>0</v>
      </c>
      <c r="J853" s="2280">
        <f>'Part V-Revenues &amp; Expenses'!J215</f>
        <v>0</v>
      </c>
      <c r="K853" s="2280">
        <f>'Part V-Revenues &amp; Expenses'!K215</f>
        <v>0</v>
      </c>
      <c r="L853" s="2283">
        <f>'Part V-Revenues &amp; Expenses'!L215</f>
        <v>0</v>
      </c>
      <c r="M853" s="360"/>
      <c r="N853" s="360"/>
      <c r="O853" s="360"/>
      <c r="P853" s="360"/>
      <c r="Q853" s="360"/>
      <c r="S853" s="2160"/>
      <c r="T853" s="2160"/>
      <c r="U853" s="2160"/>
      <c r="V853" s="2160"/>
      <c r="W853" s="2160"/>
      <c r="JW853" s="1750"/>
      <c r="KB853" s="1750"/>
      <c r="KG853" s="1750"/>
      <c r="KL853" s="1750"/>
      <c r="KM853" s="1750"/>
      <c r="KN853" s="1750"/>
      <c r="KO853" s="1750"/>
      <c r="KP853" s="1750"/>
      <c r="KQ853" s="1750"/>
      <c r="KR853" s="1750"/>
      <c r="KS853" s="1750"/>
      <c r="KT853" s="1750"/>
      <c r="KU853" s="1750"/>
      <c r="KV853" s="1750"/>
      <c r="KW853" s="1750"/>
      <c r="KX853" s="1750"/>
      <c r="KY853" s="1750"/>
      <c r="KZ853" s="1750"/>
      <c r="LA853" s="1750"/>
      <c r="LB853" s="1750"/>
      <c r="LC853" s="1750"/>
      <c r="LD853" s="1750"/>
      <c r="LE853" s="1750"/>
      <c r="LF853" s="1750"/>
      <c r="LG853" s="1750"/>
    </row>
    <row r="854" spans="1:380" ht="15.6" customHeight="1">
      <c r="B854" s="1505"/>
      <c r="C854" s="1505" t="s">
        <v>6770</v>
      </c>
      <c r="D854" s="1505"/>
      <c r="E854" s="1505"/>
      <c r="F854" s="1505"/>
      <c r="H854" s="2284">
        <f>SUM(H852:H853)</f>
        <v>0</v>
      </c>
      <c r="I854" s="2284">
        <f>SUM(I852:I853)</f>
        <v>0</v>
      </c>
      <c r="J854" s="2284">
        <f>SUM(J852:J853)</f>
        <v>0</v>
      </c>
      <c r="K854" s="2284">
        <f>SUM(K852:K853)</f>
        <v>0</v>
      </c>
      <c r="L854" s="2284">
        <f>SUM(L852:L853)</f>
        <v>0</v>
      </c>
      <c r="M854" s="360"/>
      <c r="N854" s="360"/>
      <c r="O854" s="360"/>
      <c r="P854" s="360"/>
      <c r="Q854" s="360"/>
      <c r="S854" s="2160"/>
      <c r="T854" s="2160"/>
      <c r="U854" s="2160"/>
      <c r="V854" s="2160"/>
      <c r="W854" s="2160"/>
      <c r="JW854" s="1750"/>
      <c r="KB854" s="1750"/>
      <c r="KG854" s="1750"/>
      <c r="KL854" s="1750"/>
      <c r="KM854" s="1750"/>
      <c r="KN854" s="1750"/>
      <c r="KO854" s="1750"/>
      <c r="KP854" s="1750"/>
      <c r="KQ854" s="1750"/>
      <c r="KR854" s="1750"/>
      <c r="KS854" s="1750"/>
      <c r="KT854" s="1750"/>
      <c r="KU854" s="1750"/>
      <c r="KV854" s="1750"/>
      <c r="KW854" s="1750"/>
      <c r="KX854" s="1750"/>
      <c r="KY854" s="1750"/>
      <c r="KZ854" s="1750"/>
      <c r="LA854" s="1750"/>
      <c r="LB854" s="1750"/>
      <c r="LC854" s="1750"/>
      <c r="LD854" s="1750"/>
      <c r="LE854" s="1750"/>
      <c r="LF854" s="1750"/>
      <c r="LG854" s="1750"/>
    </row>
    <row r="855" spans="1:380" ht="2.25" customHeight="1">
      <c r="F855" s="2286"/>
      <c r="G855" s="2286"/>
      <c r="JW855" s="1750"/>
      <c r="KB855" s="1750"/>
      <c r="KG855" s="1750"/>
      <c r="KL855" s="1750"/>
      <c r="KM855" s="1750"/>
      <c r="KN855" s="1750"/>
      <c r="KO855" s="1750"/>
      <c r="KP855" s="1750"/>
      <c r="KQ855" s="1750"/>
      <c r="KR855" s="1750"/>
      <c r="KS855" s="1750"/>
      <c r="KT855" s="1750"/>
      <c r="KU855" s="1750"/>
      <c r="KV855" s="1750"/>
      <c r="KW855" s="1750"/>
      <c r="KX855" s="1750"/>
      <c r="KY855" s="1750"/>
      <c r="KZ855" s="1750"/>
      <c r="LA855" s="1750"/>
      <c r="LB855" s="1750"/>
      <c r="LC855" s="1750"/>
      <c r="LD855" s="1750"/>
      <c r="LE855" s="1750"/>
      <c r="LF855" s="1750"/>
      <c r="LG855" s="1750"/>
    </row>
    <row r="856" spans="1:380" s="359" customFormat="1" ht="11.25" customHeight="1">
      <c r="A856" s="359" t="s">
        <v>1669</v>
      </c>
      <c r="B856" s="2206" t="s">
        <v>956</v>
      </c>
      <c r="C856" s="2206"/>
      <c r="D856" s="2206"/>
      <c r="E856" s="2206"/>
      <c r="F856" s="2206"/>
      <c r="G856" s="2206"/>
      <c r="H856" s="2206"/>
      <c r="I856" s="2206"/>
      <c r="J856" s="2206"/>
      <c r="K856" s="2206"/>
      <c r="L856" s="2206"/>
      <c r="N856" s="2287"/>
      <c r="O856" s="1901"/>
      <c r="P856" s="1901"/>
      <c r="S856" s="359" t="str">
        <f>B856</f>
        <v>ANNUAL OPERATING EXPENSE BUDGET</v>
      </c>
      <c r="T856" s="357"/>
      <c r="X856" s="357"/>
      <c r="AC856" s="357"/>
      <c r="AH856" s="357"/>
      <c r="AM856" s="357"/>
      <c r="JW856" s="1901"/>
      <c r="KB856" s="1901"/>
      <c r="KG856" s="1901"/>
      <c r="KL856" s="1901"/>
      <c r="KM856" s="1901"/>
      <c r="KN856" s="1901"/>
      <c r="KO856" s="1901"/>
      <c r="KP856" s="1901"/>
      <c r="KQ856" s="1901"/>
      <c r="KR856" s="1901"/>
      <c r="KS856" s="1901"/>
      <c r="KT856" s="1901"/>
      <c r="KU856" s="1901"/>
      <c r="KV856" s="1901"/>
      <c r="KW856" s="1901"/>
      <c r="KX856" s="1901"/>
      <c r="KY856" s="1901"/>
      <c r="KZ856" s="1901"/>
      <c r="LA856" s="1901"/>
      <c r="LB856" s="1901"/>
      <c r="LC856" s="1901"/>
      <c r="LD856" s="1901"/>
      <c r="LE856" s="1901"/>
      <c r="LF856" s="1901"/>
      <c r="LG856" s="1901"/>
      <c r="NP856" s="357"/>
    </row>
    <row r="857" spans="1:380" s="359" customFormat="1" ht="11.25" customHeight="1">
      <c r="B857" s="2206"/>
      <c r="C857" s="2206"/>
      <c r="D857" s="2206"/>
      <c r="E857" s="2206"/>
      <c r="F857" s="2206"/>
      <c r="G857" s="2206"/>
      <c r="H857" s="2206"/>
      <c r="I857" s="2206"/>
      <c r="J857" s="2206"/>
      <c r="K857" s="2206"/>
      <c r="S857" s="807" t="s">
        <v>1711</v>
      </c>
      <c r="T857" s="807"/>
      <c r="JW857" s="1901"/>
      <c r="KB857" s="1901"/>
      <c r="KG857" s="1901"/>
      <c r="KL857" s="1901"/>
      <c r="KM857" s="1901"/>
      <c r="KN857" s="1901"/>
      <c r="KO857" s="1901"/>
      <c r="KP857" s="1901"/>
      <c r="KQ857" s="1901"/>
      <c r="KR857" s="1901"/>
      <c r="KS857" s="1901"/>
      <c r="KT857" s="1901"/>
      <c r="KU857" s="1901"/>
      <c r="KV857" s="1901"/>
      <c r="KW857" s="1901"/>
      <c r="KX857" s="1901"/>
      <c r="KY857" s="1901"/>
      <c r="KZ857" s="1901"/>
      <c r="LA857" s="1901"/>
      <c r="LB857" s="1901"/>
      <c r="LC857" s="1901"/>
      <c r="LD857" s="1901"/>
      <c r="LE857" s="1901"/>
      <c r="LF857" s="1901"/>
      <c r="LG857" s="1901"/>
      <c r="NP857" s="357"/>
    </row>
    <row r="858" spans="1:380" s="359" customFormat="1" ht="16.5" customHeight="1">
      <c r="B858" s="359" t="s">
        <v>1214</v>
      </c>
      <c r="F858" s="357"/>
      <c r="G858" s="357"/>
      <c r="I858" s="359" t="s">
        <v>1300</v>
      </c>
      <c r="O858" s="359" t="s">
        <v>1303</v>
      </c>
      <c r="Q858" s="2288">
        <f>'Part V-Revenues &amp; Expenses'!Q220</f>
        <v>115715</v>
      </c>
      <c r="S858" s="2160"/>
      <c r="T858" s="2160"/>
      <c r="U858" s="2160"/>
      <c r="V858" s="2160"/>
      <c r="W858" s="2160"/>
      <c r="X858" s="357"/>
      <c r="AC858" s="357"/>
      <c r="AH858" s="357"/>
      <c r="AM858" s="357"/>
      <c r="JW858" s="1901"/>
      <c r="KB858" s="1901"/>
      <c r="KG858" s="1901"/>
      <c r="KL858" s="1901"/>
      <c r="KM858" s="1901"/>
      <c r="KN858" s="1901"/>
      <c r="KO858" s="1901"/>
      <c r="KP858" s="1901"/>
      <c r="KQ858" s="1901"/>
      <c r="KR858" s="1901"/>
      <c r="KS858" s="1901"/>
      <c r="KT858" s="1901"/>
      <c r="KU858" s="1901"/>
      <c r="KV858" s="1901"/>
      <c r="KW858" s="1901"/>
      <c r="KX858" s="1901"/>
      <c r="KY858" s="1901"/>
      <c r="KZ858" s="1901"/>
      <c r="LA858" s="1901"/>
      <c r="LB858" s="1901"/>
      <c r="LC858" s="1901"/>
      <c r="LD858" s="1901"/>
      <c r="LE858" s="1901"/>
      <c r="LF858" s="1901"/>
      <c r="LG858" s="1901"/>
      <c r="NP858" s="357"/>
    </row>
    <row r="859" spans="1:380" s="359" customFormat="1" ht="16.5" customHeight="1">
      <c r="B859" s="359" t="s">
        <v>2037</v>
      </c>
      <c r="F859" s="2289">
        <f>'Part V-Revenues &amp; Expenses'!F221</f>
        <v>148960</v>
      </c>
      <c r="G859" s="2289"/>
      <c r="I859" s="359" t="s">
        <v>1301</v>
      </c>
      <c r="L859" s="2289">
        <f>'Part V-Revenues &amp; Expenses'!L221</f>
        <v>0</v>
      </c>
      <c r="M859" s="2289"/>
      <c r="O859" s="2290">
        <f>+Q858/(P705*0.93)</f>
        <v>1036.8727598566306</v>
      </c>
      <c r="P859" s="2256" t="s">
        <v>2487</v>
      </c>
      <c r="R859" s="2281"/>
      <c r="S859" s="2160"/>
      <c r="T859" s="2160"/>
      <c r="U859" s="2160"/>
      <c r="V859" s="2160"/>
      <c r="W859" s="2160"/>
      <c r="X859" s="357"/>
      <c r="AC859" s="357"/>
      <c r="AH859" s="357"/>
      <c r="AM859" s="357"/>
      <c r="JW859" s="1901"/>
      <c r="KB859" s="1901"/>
      <c r="KG859" s="1901"/>
      <c r="KL859" s="1901"/>
      <c r="KM859" s="1901"/>
      <c r="KN859" s="1901"/>
      <c r="KO859" s="1901"/>
      <c r="KP859" s="1901"/>
      <c r="KQ859" s="1901"/>
      <c r="KR859" s="1901"/>
      <c r="KS859" s="1901"/>
      <c r="KT859" s="1901"/>
      <c r="KU859" s="1901"/>
      <c r="KV859" s="1901"/>
      <c r="KW859" s="1901"/>
      <c r="KX859" s="1901"/>
      <c r="KY859" s="1901"/>
      <c r="KZ859" s="1901"/>
      <c r="LA859" s="1901"/>
      <c r="LB859" s="1901"/>
      <c r="LC859" s="1901"/>
      <c r="LD859" s="1901"/>
      <c r="LE859" s="1901"/>
      <c r="LF859" s="1901"/>
      <c r="LG859" s="1901"/>
      <c r="NP859" s="357"/>
    </row>
    <row r="860" spans="1:380" s="359" customFormat="1" ht="16.5" customHeight="1">
      <c r="B860" s="359" t="s">
        <v>1290</v>
      </c>
      <c r="F860" s="2289">
        <f>'Part V-Revenues &amp; Expenses'!F222</f>
        <v>140980</v>
      </c>
      <c r="G860" s="2289"/>
      <c r="I860" s="359" t="s">
        <v>1302</v>
      </c>
      <c r="L860" s="2289">
        <f>'Part V-Revenues &amp; Expenses'!L222</f>
        <v>9600</v>
      </c>
      <c r="M860" s="2289"/>
      <c r="O860" s="2290">
        <f>+Q858/(P705*0.93)/12</f>
        <v>86.406063321385886</v>
      </c>
      <c r="P860" s="2256" t="s">
        <v>2488</v>
      </c>
      <c r="R860" s="2281"/>
      <c r="S860" s="2160"/>
      <c r="T860" s="2160"/>
      <c r="U860" s="2160"/>
      <c r="V860" s="2160"/>
      <c r="W860" s="2160"/>
      <c r="X860" s="357"/>
      <c r="AC860" s="357"/>
      <c r="AH860" s="357"/>
      <c r="AM860" s="357"/>
      <c r="JW860" s="1901"/>
      <c r="KB860" s="1901"/>
      <c r="KG860" s="1901"/>
      <c r="KL860" s="1901"/>
      <c r="KM860" s="1901"/>
      <c r="KN860" s="1901"/>
      <c r="KO860" s="1901"/>
      <c r="KP860" s="1901"/>
      <c r="KQ860" s="1901"/>
      <c r="KR860" s="1901"/>
      <c r="KS860" s="1901"/>
      <c r="KT860" s="1901"/>
      <c r="KU860" s="1901"/>
      <c r="KV860" s="1901"/>
      <c r="KW860" s="1901"/>
      <c r="KX860" s="1901"/>
      <c r="KY860" s="1901"/>
      <c r="KZ860" s="1901"/>
      <c r="LA860" s="1901"/>
      <c r="LB860" s="1901"/>
      <c r="LC860" s="1901"/>
      <c r="LD860" s="1901"/>
      <c r="LE860" s="1901"/>
      <c r="LF860" s="1901"/>
      <c r="LG860" s="1901"/>
      <c r="NP860" s="357"/>
    </row>
    <row r="861" spans="1:380" s="359" customFormat="1" ht="16.5" customHeight="1">
      <c r="B861" s="359" t="s">
        <v>1166</v>
      </c>
      <c r="F861" s="2289">
        <f>'Part V-Revenues &amp; Expenses'!F223</f>
        <v>0</v>
      </c>
      <c r="G861" s="2289"/>
      <c r="K861" s="2291" t="s">
        <v>184</v>
      </c>
      <c r="L861" s="2269">
        <f>SUM(L859:M860)</f>
        <v>9600</v>
      </c>
      <c r="M861" s="2269"/>
      <c r="O861" s="362" t="s">
        <v>3226</v>
      </c>
      <c r="P861" s="2292"/>
      <c r="Q861" s="2292"/>
      <c r="R861" s="2281"/>
      <c r="S861" s="2160"/>
      <c r="T861" s="2160"/>
      <c r="U861" s="2160"/>
      <c r="V861" s="2160"/>
      <c r="W861" s="2160"/>
      <c r="X861" s="357"/>
      <c r="AC861" s="357"/>
      <c r="AH861" s="357"/>
      <c r="AM861" s="357"/>
      <c r="JW861" s="1901"/>
      <c r="KB861" s="1901"/>
      <c r="KG861" s="1901"/>
      <c r="KL861" s="1901"/>
      <c r="KM861" s="1901"/>
      <c r="KN861" s="1901"/>
      <c r="KO861" s="1901"/>
      <c r="KP861" s="1901"/>
      <c r="KQ861" s="1901"/>
      <c r="KR861" s="1901"/>
      <c r="KS861" s="1901"/>
      <c r="KT861" s="1901"/>
      <c r="KU861" s="1901"/>
      <c r="KV861" s="1901"/>
      <c r="KW861" s="1901"/>
      <c r="KX861" s="1901"/>
      <c r="KY861" s="1901"/>
      <c r="KZ861" s="1901"/>
      <c r="LA861" s="1901"/>
      <c r="LB861" s="1901"/>
      <c r="LC861" s="1901"/>
      <c r="LD861" s="1901"/>
      <c r="LE861" s="1901"/>
      <c r="LF861" s="1901"/>
      <c r="LG861" s="1901"/>
      <c r="NP861" s="357"/>
    </row>
    <row r="862" spans="1:380" s="359" customFormat="1" ht="16.5" customHeight="1">
      <c r="B862" s="2206" t="s">
        <v>6643</v>
      </c>
      <c r="F862" s="2289">
        <f>'Part V-Revenues &amp; Expenses'!F224</f>
        <v>0</v>
      </c>
      <c r="G862" s="2289"/>
      <c r="R862" s="2271"/>
      <c r="S862" s="2160"/>
      <c r="T862" s="2160"/>
      <c r="U862" s="2160"/>
      <c r="V862" s="2160"/>
      <c r="W862" s="2160"/>
      <c r="X862" s="357"/>
      <c r="AC862" s="357"/>
      <c r="AH862" s="357"/>
      <c r="AM862" s="357"/>
      <c r="JW862" s="1901"/>
      <c r="KB862" s="1901"/>
      <c r="KG862" s="1901"/>
      <c r="KL862" s="1901"/>
      <c r="KM862" s="1901"/>
      <c r="KN862" s="1901"/>
      <c r="KO862" s="1901"/>
      <c r="KP862" s="1901"/>
      <c r="KQ862" s="1901"/>
      <c r="KR862" s="1901"/>
      <c r="KS862" s="1901"/>
      <c r="KT862" s="1901"/>
      <c r="KU862" s="1901"/>
      <c r="KV862" s="1901"/>
      <c r="KW862" s="1901"/>
      <c r="KX862" s="1901"/>
      <c r="KY862" s="1901"/>
      <c r="KZ862" s="1901"/>
      <c r="LA862" s="1901"/>
      <c r="LB862" s="1901"/>
      <c r="LC862" s="1901"/>
      <c r="LD862" s="1901"/>
      <c r="LE862" s="1901"/>
      <c r="LF862" s="1901"/>
      <c r="LG862" s="1901"/>
    </row>
    <row r="863" spans="1:380" s="359" customFormat="1" ht="16.5" customHeight="1">
      <c r="B863" s="2206" t="s">
        <v>4025</v>
      </c>
      <c r="F863" s="2289">
        <f>'Part V-Revenues &amp; Expenses'!F225</f>
        <v>10500</v>
      </c>
      <c r="G863" s="2289"/>
      <c r="R863" s="2271"/>
      <c r="S863" s="2160"/>
      <c r="T863" s="2160"/>
      <c r="U863" s="2160"/>
      <c r="V863" s="2160"/>
      <c r="W863" s="2160"/>
      <c r="X863" s="357"/>
      <c r="AC863" s="357"/>
      <c r="AH863" s="357"/>
      <c r="AM863" s="357"/>
      <c r="JW863" s="1901"/>
      <c r="KB863" s="1901"/>
      <c r="KG863" s="1901"/>
      <c r="KL863" s="1901"/>
      <c r="KM863" s="1901"/>
      <c r="KN863" s="1901"/>
      <c r="KO863" s="1901"/>
      <c r="KP863" s="1901"/>
      <c r="KQ863" s="1901"/>
      <c r="KR863" s="1901"/>
      <c r="KS863" s="1901"/>
      <c r="KT863" s="1901"/>
      <c r="KU863" s="1901"/>
      <c r="KV863" s="1901"/>
      <c r="KW863" s="1901"/>
      <c r="KX863" s="1901"/>
      <c r="KY863" s="1901"/>
      <c r="KZ863" s="1901"/>
      <c r="LA863" s="1901"/>
      <c r="LB863" s="1901"/>
      <c r="LC863" s="1901"/>
      <c r="LD863" s="1901"/>
      <c r="LE863" s="1901"/>
      <c r="LF863" s="1901"/>
      <c r="LG863" s="1901"/>
    </row>
    <row r="864" spans="1:380" s="359" customFormat="1" ht="16.5" customHeight="1">
      <c r="B864" s="2282" t="str">
        <f>'Part V-Revenues &amp; Expenses'!B226</f>
        <v>Leasing Commisions and Bonuses</v>
      </c>
      <c r="C864" s="2282"/>
      <c r="D864" s="2282"/>
      <c r="E864" s="2282"/>
      <c r="F864" s="2289">
        <f>'Part V-Revenues &amp; Expenses'!F226</f>
        <v>5000</v>
      </c>
      <c r="G864" s="2289"/>
      <c r="I864" s="359" t="s">
        <v>1216</v>
      </c>
      <c r="R864" s="2271"/>
      <c r="S864" s="2160"/>
      <c r="T864" s="2160"/>
      <c r="U864" s="2160"/>
      <c r="V864" s="2160"/>
      <c r="W864" s="2160"/>
      <c r="X864" s="357"/>
      <c r="AC864" s="357"/>
      <c r="AH864" s="357"/>
      <c r="AM864" s="357"/>
      <c r="JW864" s="1901"/>
      <c r="KB864" s="1901"/>
      <c r="KG864" s="1901"/>
      <c r="KL864" s="1901"/>
      <c r="KM864" s="1901"/>
      <c r="KN864" s="1901"/>
      <c r="KO864" s="1901"/>
      <c r="KP864" s="1901"/>
      <c r="KQ864" s="1901"/>
      <c r="KR864" s="1901"/>
      <c r="KS864" s="1901"/>
      <c r="KT864" s="1901"/>
      <c r="KU864" s="1901"/>
      <c r="KV864" s="1901"/>
      <c r="KW864" s="1901"/>
      <c r="KX864" s="1901"/>
      <c r="KY864" s="1901"/>
      <c r="KZ864" s="1901"/>
      <c r="LA864" s="1901"/>
      <c r="LB864" s="1901"/>
      <c r="LC864" s="1901"/>
      <c r="LD864" s="1901"/>
      <c r="LE864" s="1901"/>
      <c r="LF864" s="1901"/>
      <c r="LG864" s="1901"/>
    </row>
    <row r="865" spans="2:380" s="359" customFormat="1" ht="16.5" customHeight="1">
      <c r="E865" s="2291" t="s">
        <v>184</v>
      </c>
      <c r="F865" s="2269">
        <f>SUM(F859:G864)</f>
        <v>305440</v>
      </c>
      <c r="G865" s="2269"/>
      <c r="I865" s="359" t="s">
        <v>1498</v>
      </c>
      <c r="L865" s="2289">
        <f>'Part V-Revenues &amp; Expenses'!L227</f>
        <v>5760</v>
      </c>
      <c r="M865" s="2289"/>
      <c r="S865" s="2160"/>
      <c r="T865" s="2160"/>
      <c r="U865" s="2160"/>
      <c r="V865" s="2160"/>
      <c r="W865" s="2160"/>
      <c r="X865" s="357"/>
      <c r="AC865" s="357"/>
      <c r="AH865" s="357"/>
      <c r="AM865" s="357"/>
      <c r="JW865" s="1901"/>
      <c r="KB865" s="1901"/>
      <c r="KG865" s="1901"/>
      <c r="KL865" s="1901"/>
      <c r="KM865" s="1901"/>
      <c r="KN865" s="1901"/>
      <c r="KO865" s="1901"/>
      <c r="KP865" s="1901"/>
      <c r="KQ865" s="1901"/>
      <c r="KR865" s="1901"/>
      <c r="KS865" s="1901"/>
      <c r="KT865" s="1901"/>
      <c r="KU865" s="1901"/>
      <c r="KV865" s="1901"/>
      <c r="KW865" s="1901"/>
      <c r="KX865" s="1901"/>
      <c r="KY865" s="1901"/>
      <c r="KZ865" s="1901"/>
      <c r="LA865" s="1901"/>
      <c r="LB865" s="1901"/>
      <c r="LC865" s="1901"/>
      <c r="LD865" s="1901"/>
      <c r="LE865" s="1901"/>
      <c r="LF865" s="1901"/>
      <c r="LG865" s="1901"/>
    </row>
    <row r="866" spans="2:380" s="359" customFormat="1" ht="16.5" customHeight="1">
      <c r="D866" s="2291"/>
      <c r="F866" s="2251"/>
      <c r="G866" s="2251"/>
      <c r="I866" s="359" t="s">
        <v>1900</v>
      </c>
      <c r="L866" s="2289">
        <f>'Part V-Revenues &amp; Expenses'!L228</f>
        <v>9000</v>
      </c>
      <c r="M866" s="2289"/>
      <c r="N866" s="2218" t="str">
        <f>IF(Q868="","",IF(Q866&lt;Q868, "WARNING! OE below required minimum.",""))</f>
        <v/>
      </c>
      <c r="O866" s="359" t="s">
        <v>2030</v>
      </c>
      <c r="Q866" s="2271">
        <f>F865+F874+F885+L861+L869+L879+L885+Q858</f>
        <v>864075</v>
      </c>
      <c r="S866" s="2160"/>
      <c r="T866" s="2160"/>
      <c r="U866" s="2160"/>
      <c r="V866" s="2160"/>
      <c r="W866" s="2160"/>
      <c r="JW866" s="1901"/>
      <c r="KB866" s="1901"/>
      <c r="KG866" s="1901"/>
      <c r="KL866" s="1901"/>
      <c r="KM866" s="1901"/>
      <c r="KN866" s="1901"/>
      <c r="KO866" s="1901"/>
      <c r="KP866" s="1901"/>
      <c r="KQ866" s="1901"/>
      <c r="KR866" s="1901"/>
      <c r="KS866" s="1901"/>
      <c r="KT866" s="1901"/>
      <c r="KU866" s="1901"/>
      <c r="KV866" s="1901"/>
      <c r="KW866" s="1901"/>
      <c r="KX866" s="1901"/>
      <c r="KY866" s="1901"/>
      <c r="KZ866" s="1901"/>
      <c r="LA866" s="1901"/>
      <c r="LB866" s="1901"/>
      <c r="LC866" s="1901"/>
      <c r="LD866" s="1901"/>
      <c r="LE866" s="1901"/>
      <c r="LF866" s="1901"/>
      <c r="LG866" s="1901"/>
    </row>
    <row r="867" spans="2:380" s="359" customFormat="1" ht="16.5" customHeight="1">
      <c r="B867" s="359" t="s">
        <v>1215</v>
      </c>
      <c r="D867" s="2293"/>
      <c r="I867" s="359" t="s">
        <v>1499</v>
      </c>
      <c r="L867" s="2289">
        <f>'Part V-Revenues &amp; Expenses'!L229</f>
        <v>3600</v>
      </c>
      <c r="M867" s="2289"/>
      <c r="N867" s="2218"/>
      <c r="O867" s="2256" t="s">
        <v>2489</v>
      </c>
      <c r="P867" s="2290">
        <f>+Q866/P705</f>
        <v>7200.625</v>
      </c>
      <c r="R867" s="2288"/>
      <c r="S867" s="2160"/>
      <c r="T867" s="2160"/>
      <c r="U867" s="2160"/>
      <c r="V867" s="2160"/>
      <c r="W867" s="2160"/>
      <c r="X867" s="357"/>
      <c r="AC867" s="357"/>
      <c r="AH867" s="357"/>
      <c r="AM867" s="357"/>
      <c r="JW867" s="1901"/>
      <c r="KB867" s="1901"/>
      <c r="KG867" s="1901"/>
      <c r="KL867" s="1901"/>
      <c r="KM867" s="1901"/>
      <c r="KN867" s="1901"/>
      <c r="KO867" s="1901"/>
      <c r="KP867" s="1901"/>
      <c r="KQ867" s="1901"/>
      <c r="KR867" s="1901"/>
      <c r="KS867" s="1901"/>
      <c r="KT867" s="1901"/>
      <c r="KU867" s="1901"/>
      <c r="KV867" s="1901"/>
      <c r="KW867" s="1901"/>
      <c r="KX867" s="1901"/>
      <c r="KY867" s="1901"/>
      <c r="KZ867" s="1901"/>
      <c r="LA867" s="1901"/>
      <c r="LB867" s="1901"/>
      <c r="LC867" s="1901"/>
      <c r="LD867" s="1901"/>
      <c r="LE867" s="1901"/>
      <c r="LF867" s="1901"/>
      <c r="LG867" s="1901"/>
      <c r="NP867" s="359" t="s">
        <v>6454</v>
      </c>
    </row>
    <row r="868" spans="2:380" s="359" customFormat="1" ht="16.5" customHeight="1">
      <c r="B868" s="359" t="s">
        <v>1295</v>
      </c>
      <c r="D868" s="2293"/>
      <c r="F868" s="2289">
        <f>'Part V-Revenues &amp; Expenses'!F230</f>
        <v>9960</v>
      </c>
      <c r="G868" s="2289"/>
      <c r="I868" s="2294" t="str">
        <f>'Part V-Revenues &amp; Expenses'!I230</f>
        <v>Other (describe here)</v>
      </c>
      <c r="J868" s="2294"/>
      <c r="K868" s="2294"/>
      <c r="L868" s="2289">
        <f>'Part V-Revenues &amp; Expenses'!L230</f>
        <v>0</v>
      </c>
      <c r="M868" s="2289"/>
      <c r="N868" s="2218"/>
      <c r="P868" s="2256" t="s">
        <v>3227</v>
      </c>
      <c r="Q868" s="2271">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160"/>
      <c r="T868" s="2160"/>
      <c r="U868" s="2160"/>
      <c r="V868" s="2160"/>
      <c r="W868" s="2160"/>
      <c r="X868" s="357"/>
      <c r="AC868" s="357"/>
      <c r="AH868" s="357"/>
      <c r="AM868" s="357"/>
      <c r="JW868" s="1901"/>
      <c r="KB868" s="1901"/>
      <c r="KG868" s="1901"/>
      <c r="KL868" s="1901"/>
      <c r="KM868" s="1901"/>
      <c r="KN868" s="1901"/>
      <c r="KO868" s="1901"/>
      <c r="KP868" s="1901"/>
      <c r="KQ868" s="1901"/>
      <c r="KR868" s="1901"/>
      <c r="KS868" s="1901"/>
      <c r="KT868" s="1901"/>
      <c r="KU868" s="1901"/>
      <c r="KV868" s="1901"/>
      <c r="KW868" s="1901"/>
      <c r="KX868" s="1901"/>
      <c r="KY868" s="1901"/>
      <c r="KZ868" s="1901"/>
      <c r="LA868" s="1901"/>
      <c r="LB868" s="1901"/>
      <c r="LC868" s="1901"/>
      <c r="LD868" s="1901"/>
      <c r="LE868" s="1901"/>
      <c r="LF868" s="1901"/>
      <c r="LG868" s="1901"/>
    </row>
    <row r="869" spans="2:380" s="359" customFormat="1" ht="16.5" customHeight="1">
      <c r="B869" s="359" t="s">
        <v>1296</v>
      </c>
      <c r="D869" s="2293"/>
      <c r="F869" s="2289">
        <f>'Part V-Revenues &amp; Expenses'!F231</f>
        <v>8160</v>
      </c>
      <c r="G869" s="2289"/>
      <c r="K869" s="2291" t="s">
        <v>184</v>
      </c>
      <c r="L869" s="2271">
        <f>SUM(L865:L868)</f>
        <v>18360</v>
      </c>
      <c r="M869" s="2271"/>
      <c r="N869" s="2218"/>
      <c r="O869" s="2295" t="s">
        <v>6728</v>
      </c>
      <c r="P869" s="2295"/>
      <c r="Q869" s="2295"/>
      <c r="S869" s="2160"/>
      <c r="T869" s="2160"/>
      <c r="U869" s="2160"/>
      <c r="V869" s="2160"/>
      <c r="W869" s="2160"/>
      <c r="X869" s="357"/>
      <c r="AC869" s="357"/>
      <c r="AH869" s="357"/>
      <c r="AM869" s="357"/>
      <c r="JW869" s="1901"/>
      <c r="KB869" s="1901"/>
      <c r="KG869" s="1901"/>
      <c r="KL869" s="1901"/>
      <c r="KM869" s="1901"/>
      <c r="KN869" s="1901"/>
      <c r="KO869" s="1901"/>
      <c r="KP869" s="1901"/>
      <c r="KQ869" s="1901"/>
      <c r="KR869" s="1901"/>
      <c r="KS869" s="1901"/>
      <c r="KT869" s="1901"/>
      <c r="KU869" s="1901"/>
      <c r="KV869" s="1901"/>
      <c r="KW869" s="1901"/>
      <c r="KX869" s="1901"/>
      <c r="KY869" s="1901"/>
      <c r="KZ869" s="1901"/>
      <c r="LA869" s="1901"/>
      <c r="LB869" s="1901"/>
      <c r="LC869" s="1901"/>
      <c r="LD869" s="1901"/>
      <c r="LE869" s="1901"/>
      <c r="LF869" s="1901"/>
      <c r="LG869" s="1901"/>
    </row>
    <row r="870" spans="2:380" s="359" customFormat="1" ht="16.5" customHeight="1">
      <c r="B870" s="359" t="s">
        <v>1297</v>
      </c>
      <c r="D870" s="2293"/>
      <c r="F870" s="2289">
        <f>'Part V-Revenues &amp; Expenses'!F232</f>
        <v>3600</v>
      </c>
      <c r="G870" s="2289"/>
      <c r="O870" s="2295"/>
      <c r="P870" s="2295"/>
      <c r="Q870" s="2295"/>
      <c r="R870" s="2252"/>
      <c r="S870" s="2160"/>
      <c r="T870" s="2160"/>
      <c r="U870" s="2160"/>
      <c r="V870" s="2160"/>
      <c r="W870" s="2160"/>
      <c r="X870" s="357"/>
      <c r="AC870" s="357"/>
      <c r="AH870" s="357"/>
      <c r="AM870" s="357"/>
      <c r="JW870" s="1901"/>
      <c r="KB870" s="1901"/>
      <c r="KG870" s="1901"/>
      <c r="KL870" s="1901"/>
      <c r="KM870" s="1901"/>
      <c r="KN870" s="1901"/>
      <c r="KO870" s="1901"/>
      <c r="KP870" s="1901"/>
      <c r="KQ870" s="1901"/>
      <c r="KR870" s="1901"/>
      <c r="KS870" s="1901"/>
      <c r="KT870" s="1901"/>
      <c r="KU870" s="1901"/>
      <c r="KV870" s="1901"/>
      <c r="KW870" s="1901"/>
      <c r="KX870" s="1901"/>
      <c r="KY870" s="1901"/>
      <c r="KZ870" s="1901"/>
      <c r="LA870" s="1901"/>
      <c r="LB870" s="1901"/>
      <c r="LC870" s="1901"/>
      <c r="LD870" s="1901"/>
      <c r="LE870" s="1901"/>
      <c r="LF870" s="1901"/>
      <c r="LG870" s="1901"/>
    </row>
    <row r="871" spans="2:380" s="359" customFormat="1" ht="16.5" customHeight="1">
      <c r="B871" s="359" t="s">
        <v>2162</v>
      </c>
      <c r="D871" s="2293"/>
      <c r="F871" s="2289">
        <f>'Part V-Revenues &amp; Expenses'!F233</f>
        <v>19200</v>
      </c>
      <c r="G871" s="2289"/>
      <c r="R871" s="2252"/>
      <c r="S871" s="2160"/>
      <c r="T871" s="2160"/>
      <c r="U871" s="2160"/>
      <c r="V871" s="2160"/>
      <c r="W871" s="2160"/>
      <c r="X871" s="357"/>
      <c r="AC871" s="357"/>
      <c r="AH871" s="357"/>
      <c r="AM871" s="357"/>
      <c r="JW871" s="1901"/>
      <c r="KB871" s="1901"/>
      <c r="KG871" s="1901"/>
      <c r="KL871" s="1901"/>
      <c r="KM871" s="1901"/>
      <c r="KN871" s="1901"/>
      <c r="KO871" s="1901"/>
      <c r="KP871" s="1901"/>
      <c r="KQ871" s="1901"/>
      <c r="KR871" s="1901"/>
      <c r="KS871" s="1901"/>
      <c r="KT871" s="1901"/>
      <c r="KU871" s="1901"/>
      <c r="KV871" s="1901"/>
      <c r="KW871" s="1901"/>
      <c r="KX871" s="1901"/>
      <c r="KY871" s="1901"/>
      <c r="KZ871" s="1901"/>
      <c r="LA871" s="1901"/>
      <c r="LB871" s="1901"/>
      <c r="LC871" s="1901"/>
      <c r="LD871" s="1901"/>
      <c r="LE871" s="1901"/>
      <c r="LF871" s="1901"/>
      <c r="LG871" s="1901"/>
      <c r="NP871" s="359" t="s">
        <v>6455</v>
      </c>
    </row>
    <row r="872" spans="2:380" s="359" customFormat="1" ht="16.5" customHeight="1">
      <c r="B872" s="359" t="s">
        <v>1496</v>
      </c>
      <c r="D872" s="2293"/>
      <c r="F872" s="2289">
        <f>'Part V-Revenues &amp; Expenses'!F234</f>
        <v>10200</v>
      </c>
      <c r="G872" s="2289"/>
      <c r="I872" s="359" t="s">
        <v>1298</v>
      </c>
      <c r="K872" s="1624" t="s">
        <v>3889</v>
      </c>
      <c r="O872" s="359" t="s">
        <v>3089</v>
      </c>
      <c r="Q872" s="2296">
        <f>'Part V-Revenues &amp; Expenses'!Q234</f>
        <v>30000</v>
      </c>
      <c r="S872" s="2160"/>
      <c r="T872" s="2160"/>
      <c r="U872" s="2160"/>
      <c r="V872" s="2160"/>
      <c r="W872" s="2160"/>
      <c r="X872" s="357"/>
      <c r="AC872" s="357"/>
      <c r="AH872" s="357"/>
      <c r="AM872" s="357"/>
      <c r="JW872" s="1901"/>
      <c r="KB872" s="1901"/>
      <c r="KG872" s="1901"/>
      <c r="KL872" s="1901"/>
      <c r="KM872" s="1901"/>
      <c r="KN872" s="1901"/>
      <c r="KO872" s="1901"/>
      <c r="KP872" s="1901"/>
      <c r="KQ872" s="1901"/>
      <c r="KR872" s="1901"/>
      <c r="KS872" s="1901"/>
      <c r="KT872" s="1901"/>
      <c r="KU872" s="1901"/>
      <c r="KV872" s="1901"/>
      <c r="KW872" s="1901"/>
      <c r="KX872" s="1901"/>
      <c r="KY872" s="1901"/>
      <c r="KZ872" s="1901"/>
      <c r="LA872" s="1901"/>
      <c r="LB872" s="1901"/>
      <c r="LC872" s="1901"/>
      <c r="LD872" s="1901"/>
      <c r="LE872" s="1901"/>
      <c r="LF872" s="1901"/>
      <c r="LG872" s="1901"/>
    </row>
    <row r="873" spans="2:380" s="359" customFormat="1" ht="16.5" customHeight="1">
      <c r="B873" s="2282" t="str">
        <f>'Part V-Revenues &amp; Expenses'!B235</f>
        <v>Other (describe here)</v>
      </c>
      <c r="C873" s="2282"/>
      <c r="D873" s="2282"/>
      <c r="E873" s="2282"/>
      <c r="F873" s="2289">
        <f>'Part V-Revenues &amp; Expenses'!F235</f>
        <v>0</v>
      </c>
      <c r="G873" s="2289"/>
      <c r="I873" s="359" t="s">
        <v>1291</v>
      </c>
      <c r="K873" s="2120">
        <f>L873/12/P705</f>
        <v>16.5</v>
      </c>
      <c r="L873" s="2289">
        <f>'Part V-Revenues &amp; Expenses'!L235</f>
        <v>23760</v>
      </c>
      <c r="M873" s="2289"/>
      <c r="N873" s="2218" t="str">
        <f>IF(Q872&lt;Q881, "WARNING! RR proposed is below the DCA required minimum.","")</f>
        <v/>
      </c>
      <c r="O873" s="362" t="s">
        <v>3888</v>
      </c>
      <c r="Q873" s="2297">
        <f>'Part V-Revenues &amp; Expenses'!Q235</f>
        <v>250</v>
      </c>
      <c r="R873" s="2271"/>
      <c r="S873" s="2160"/>
      <c r="T873" s="2160"/>
      <c r="U873" s="2160"/>
      <c r="V873" s="2160"/>
      <c r="W873" s="2160"/>
      <c r="X873" s="357"/>
      <c r="AC873" s="357"/>
      <c r="AH873" s="357"/>
      <c r="AM873" s="357"/>
      <c r="JW873" s="1901"/>
      <c r="KB873" s="1901"/>
      <c r="KG873" s="1901"/>
      <c r="KL873" s="1901"/>
      <c r="KM873" s="1901"/>
      <c r="KN873" s="1901"/>
      <c r="KO873" s="1901"/>
      <c r="KP873" s="1901"/>
      <c r="KQ873" s="1901"/>
      <c r="KR873" s="1901"/>
      <c r="KS873" s="1901"/>
      <c r="KT873" s="1901"/>
      <c r="KU873" s="1901"/>
      <c r="KV873" s="1901"/>
      <c r="KW873" s="1901"/>
      <c r="KX873" s="1901"/>
      <c r="KY873" s="1901"/>
      <c r="KZ873" s="1901"/>
      <c r="LA873" s="1901"/>
      <c r="LB873" s="1901"/>
      <c r="LC873" s="1901"/>
      <c r="LD873" s="1901"/>
      <c r="LE873" s="1901"/>
      <c r="LF873" s="1901"/>
      <c r="LG873" s="1901"/>
    </row>
    <row r="874" spans="2:380" s="359" customFormat="1" ht="16.5" customHeight="1">
      <c r="E874" s="2291" t="s">
        <v>184</v>
      </c>
      <c r="F874" s="2269">
        <f>SUM(F868:G873)</f>
        <v>51120</v>
      </c>
      <c r="G874" s="2269"/>
      <c r="I874" s="359" t="s">
        <v>1292</v>
      </c>
      <c r="K874" s="2120">
        <f>L874/12/P705</f>
        <v>0</v>
      </c>
      <c r="L874" s="2289">
        <f>'Part V-Revenues &amp; Expenses'!L236</f>
        <v>0</v>
      </c>
      <c r="M874" s="2289"/>
      <c r="N874" s="2218"/>
      <c r="O874" s="2298" t="s">
        <v>3233</v>
      </c>
      <c r="P874" s="2298"/>
      <c r="Q874" s="2298"/>
      <c r="S874" s="2160"/>
      <c r="T874" s="2160"/>
      <c r="U874" s="2160"/>
      <c r="V874" s="2160"/>
      <c r="W874" s="2160"/>
      <c r="X874" s="357"/>
      <c r="AC874" s="357"/>
      <c r="AH874" s="357"/>
      <c r="AM874" s="357"/>
      <c r="JW874" s="1901"/>
      <c r="KB874" s="1901"/>
      <c r="KG874" s="1901"/>
      <c r="KL874" s="1901"/>
      <c r="KM874" s="1901"/>
      <c r="KN874" s="1901"/>
      <c r="KO874" s="1901"/>
      <c r="KP874" s="1901"/>
      <c r="KQ874" s="1901"/>
      <c r="KR874" s="1901"/>
      <c r="KS874" s="1901"/>
      <c r="KT874" s="1901"/>
      <c r="KU874" s="1901"/>
      <c r="KV874" s="1901"/>
      <c r="KW874" s="1901"/>
      <c r="KX874" s="1901"/>
      <c r="KY874" s="1901"/>
      <c r="KZ874" s="1901"/>
      <c r="LA874" s="1901"/>
      <c r="LB874" s="1901"/>
      <c r="LC874" s="1901"/>
      <c r="LD874" s="1901"/>
      <c r="LE874" s="1901"/>
      <c r="LF874" s="1901"/>
      <c r="LG874" s="1901"/>
    </row>
    <row r="875" spans="2:380" s="359" customFormat="1" ht="16.5" customHeight="1">
      <c r="D875" s="2291"/>
      <c r="F875" s="2251"/>
      <c r="G875" s="2251"/>
      <c r="I875" s="359" t="s">
        <v>3934</v>
      </c>
      <c r="K875" s="2120">
        <f>L875/12/P705</f>
        <v>55.416666666666664</v>
      </c>
      <c r="L875" s="2289">
        <f>'Part V-Revenues &amp; Expenses'!L237</f>
        <v>79800</v>
      </c>
      <c r="M875" s="2289"/>
      <c r="N875" s="2218"/>
      <c r="O875" s="2299" t="s">
        <v>2466</v>
      </c>
      <c r="P875" s="2300" t="s">
        <v>3287</v>
      </c>
      <c r="Q875" s="2300" t="s">
        <v>3057</v>
      </c>
      <c r="S875" s="2160"/>
      <c r="T875" s="2160"/>
      <c r="U875" s="2160"/>
      <c r="V875" s="2160"/>
      <c r="W875" s="2160"/>
      <c r="JW875" s="1901"/>
      <c r="KB875" s="1901"/>
      <c r="KG875" s="1901"/>
      <c r="KL875" s="1901"/>
      <c r="KM875" s="1901"/>
      <c r="KN875" s="1901"/>
      <c r="KO875" s="1901"/>
      <c r="KP875" s="1901"/>
      <c r="KQ875" s="1901"/>
      <c r="KR875" s="1901"/>
      <c r="KS875" s="1901"/>
      <c r="KT875" s="1901"/>
      <c r="KU875" s="1901"/>
      <c r="KV875" s="1901"/>
      <c r="KW875" s="1901"/>
      <c r="KX875" s="1901"/>
      <c r="KY875" s="1901"/>
      <c r="KZ875" s="1901"/>
      <c r="LA875" s="1901"/>
      <c r="LB875" s="1901"/>
      <c r="LC875" s="1901"/>
      <c r="LD875" s="1901"/>
      <c r="LE875" s="1901"/>
      <c r="LF875" s="1901"/>
      <c r="LG875" s="1901"/>
      <c r="NP875" s="359" t="s">
        <v>6388</v>
      </c>
    </row>
    <row r="876" spans="2:380" s="359" customFormat="1" ht="16.5" customHeight="1">
      <c r="B876" s="359" t="s">
        <v>1217</v>
      </c>
      <c r="D876" s="2293"/>
      <c r="I876" s="359" t="s">
        <v>1294</v>
      </c>
      <c r="K876" s="2120">
        <f>L876/12/P705</f>
        <v>8.25</v>
      </c>
      <c r="L876" s="2289">
        <f>'Part V-Revenues &amp; Expenses'!L238</f>
        <v>11880</v>
      </c>
      <c r="M876" s="2289"/>
      <c r="N876" s="2218"/>
      <c r="O876" s="403" t="s">
        <v>36</v>
      </c>
      <c r="R876" s="2288"/>
      <c r="S876" s="2160"/>
      <c r="T876" s="2160"/>
      <c r="U876" s="2160"/>
      <c r="V876" s="2160"/>
      <c r="W876" s="2160"/>
      <c r="X876" s="357"/>
      <c r="AC876" s="357"/>
      <c r="AH876" s="357"/>
      <c r="AM876" s="357"/>
      <c r="JW876" s="1901"/>
      <c r="KB876" s="1901"/>
      <c r="KG876" s="1901"/>
      <c r="KL876" s="1901"/>
      <c r="KM876" s="1901"/>
      <c r="KN876" s="1901"/>
      <c r="KO876" s="1901"/>
      <c r="KP876" s="1901"/>
      <c r="KQ876" s="1901"/>
      <c r="KR876" s="1901"/>
      <c r="KS876" s="1901"/>
      <c r="KT876" s="1901"/>
      <c r="KU876" s="1901"/>
      <c r="KV876" s="1901"/>
      <c r="KW876" s="1901"/>
      <c r="KX876" s="1901"/>
      <c r="KY876" s="1901"/>
      <c r="KZ876" s="1901"/>
      <c r="LA876" s="1901"/>
      <c r="LB876" s="1901"/>
      <c r="LC876" s="1901"/>
      <c r="LD876" s="1901"/>
      <c r="LE876" s="1901"/>
      <c r="LF876" s="1901"/>
      <c r="LG876" s="1901"/>
    </row>
    <row r="877" spans="2:380" s="359" customFormat="1" ht="16.5" customHeight="1">
      <c r="B877" s="359" t="s">
        <v>1500</v>
      </c>
      <c r="D877" s="2293"/>
      <c r="F877" s="2289">
        <f>'Part V-Revenues &amp; Expenses'!F239</f>
        <v>15000</v>
      </c>
      <c r="G877" s="2289"/>
      <c r="I877" s="359" t="s">
        <v>6859</v>
      </c>
      <c r="K877" s="2120">
        <f>L877/12/P705</f>
        <v>2.3333333333333335</v>
      </c>
      <c r="L877" s="2289">
        <f>'Part V-Revenues &amp; Expenses'!L239</f>
        <v>3360</v>
      </c>
      <c r="M877" s="2289"/>
      <c r="N877" s="2218"/>
      <c r="O877" s="2029" t="s">
        <v>3055</v>
      </c>
      <c r="P877" s="2301" t="str">
        <f>CONCATENATE(SUM(MF687:MJ687)," units x $",'DCA Underwriting Assumptions'!$Q$28," =")</f>
        <v>0 units x $350 =</v>
      </c>
      <c r="Q877" s="2301">
        <f>SUM(MF687:MJ687)*'DCA Underwriting Assumptions'!$Q$28</f>
        <v>0</v>
      </c>
      <c r="R877" s="2296"/>
      <c r="S877" s="2160"/>
      <c r="T877" s="2160"/>
      <c r="U877" s="2160"/>
      <c r="V877" s="2160"/>
      <c r="W877" s="2160"/>
      <c r="X877" s="357"/>
      <c r="AC877" s="357"/>
      <c r="AH877" s="357"/>
      <c r="AM877" s="357"/>
      <c r="JW877" s="1901"/>
      <c r="KB877" s="1901"/>
      <c r="KG877" s="1901"/>
      <c r="KL877" s="1901"/>
      <c r="KM877" s="1901"/>
      <c r="KN877" s="1901"/>
      <c r="KO877" s="1901"/>
      <c r="KP877" s="1901"/>
      <c r="KQ877" s="1901"/>
      <c r="KR877" s="1901"/>
      <c r="KS877" s="1901"/>
      <c r="KT877" s="1901"/>
      <c r="KU877" s="1901"/>
      <c r="KV877" s="1901"/>
      <c r="KW877" s="1901"/>
      <c r="KX877" s="1901"/>
      <c r="KY877" s="1901"/>
      <c r="KZ877" s="1901"/>
      <c r="LA877" s="1901"/>
      <c r="LB877" s="1901"/>
      <c r="LC877" s="1901"/>
      <c r="LD877" s="1901"/>
      <c r="LE877" s="1901"/>
      <c r="LF877" s="1901"/>
      <c r="LG877" s="1901"/>
    </row>
    <row r="878" spans="2:380" s="359" customFormat="1" ht="16.5" customHeight="1">
      <c r="B878" s="359" t="s">
        <v>1501</v>
      </c>
      <c r="D878" s="2293"/>
      <c r="F878" s="2289">
        <f>'Part V-Revenues &amp; Expenses'!F240</f>
        <v>15000</v>
      </c>
      <c r="G878" s="2289"/>
      <c r="I878" s="2294" t="str">
        <f>'Part V-Revenues &amp; Expenses'!I240</f>
        <v>Other (describe here)</v>
      </c>
      <c r="J878" s="2294"/>
      <c r="K878" s="2120">
        <f>L878/12/P705</f>
        <v>0</v>
      </c>
      <c r="L878" s="2289">
        <f>'Part V-Revenues &amp; Expenses'!L240</f>
        <v>0</v>
      </c>
      <c r="M878" s="2289"/>
      <c r="N878" s="2218"/>
      <c r="O878" s="2029" t="s">
        <v>3054</v>
      </c>
      <c r="P878" s="2301" t="str">
        <f>CONCATENATE(SUM(MK687:MO687)," units x $",'DCA Underwriting Assumptions'!$Q$29," =")</f>
        <v>120 units x $250 =</v>
      </c>
      <c r="Q878" s="2301">
        <f>SUM(MK687:MO687)*'DCA Underwriting Assumptions'!$Q$29</f>
        <v>30000</v>
      </c>
      <c r="S878" s="2160"/>
      <c r="T878" s="2160"/>
      <c r="U878" s="2160"/>
      <c r="V878" s="2160"/>
      <c r="W878" s="2160"/>
      <c r="X878" s="357"/>
      <c r="AC878" s="357"/>
      <c r="AH878" s="357"/>
      <c r="AM878" s="357"/>
      <c r="JW878" s="1901"/>
      <c r="KB878" s="1901"/>
      <c r="KG878" s="1901"/>
      <c r="KL878" s="1901"/>
      <c r="KM878" s="1901"/>
      <c r="KN878" s="1901"/>
      <c r="KO878" s="1901"/>
      <c r="KP878" s="1901"/>
      <c r="KQ878" s="1901"/>
      <c r="KR878" s="1901"/>
      <c r="KS878" s="1901"/>
      <c r="KT878" s="1901"/>
      <c r="KU878" s="1901"/>
      <c r="KV878" s="1901"/>
      <c r="KW878" s="1901"/>
      <c r="KX878" s="1901"/>
      <c r="KY878" s="1901"/>
      <c r="KZ878" s="1901"/>
      <c r="LA878" s="1901"/>
      <c r="LB878" s="1901"/>
      <c r="LC878" s="1901"/>
      <c r="LD878" s="1901"/>
      <c r="LE878" s="1901"/>
      <c r="LF878" s="1901"/>
      <c r="LG878" s="1901"/>
    </row>
    <row r="879" spans="2:380" s="359" customFormat="1" ht="16.5" customHeight="1">
      <c r="B879" s="359" t="s">
        <v>1502</v>
      </c>
      <c r="D879" s="2293"/>
      <c r="F879" s="2289">
        <f>'Part V-Revenues &amp; Expenses'!F241</f>
        <v>30000</v>
      </c>
      <c r="G879" s="2289"/>
      <c r="K879" s="2291" t="s">
        <v>184</v>
      </c>
      <c r="L879" s="2271">
        <f>SUM(L873:L878)</f>
        <v>118800</v>
      </c>
      <c r="M879" s="2271"/>
      <c r="N879" s="2218"/>
      <c r="O879" s="2029" t="s">
        <v>6506</v>
      </c>
      <c r="P879" s="2301" t="str">
        <f>CONCATENATE(SUM(MP687:MT687)," units x $",'DCA Underwriting Assumptions'!$Q$30," =")</f>
        <v>0 units x $420 =</v>
      </c>
      <c r="Q879" s="2301">
        <f>SUM(MP687:MT687)*'DCA Underwriting Assumptions'!$Q$30</f>
        <v>0</v>
      </c>
      <c r="R879" s="2300"/>
      <c r="S879" s="2160"/>
      <c r="T879" s="2160"/>
      <c r="U879" s="2160"/>
      <c r="V879" s="2160"/>
      <c r="W879" s="2160"/>
      <c r="X879" s="357"/>
      <c r="AC879" s="357"/>
      <c r="AH879" s="357"/>
      <c r="AM879" s="357"/>
      <c r="JW879" s="1901"/>
      <c r="KB879" s="1901"/>
      <c r="KG879" s="1901"/>
      <c r="KL879" s="1901"/>
      <c r="KM879" s="1901"/>
      <c r="KN879" s="1901"/>
      <c r="KO879" s="1901"/>
      <c r="KP879" s="1901"/>
      <c r="KQ879" s="1901"/>
      <c r="KR879" s="1901"/>
      <c r="KS879" s="1901"/>
      <c r="KT879" s="1901"/>
      <c r="KU879" s="1901"/>
      <c r="KV879" s="1901"/>
      <c r="KW879" s="1901"/>
      <c r="KX879" s="1901"/>
      <c r="KY879" s="1901"/>
      <c r="KZ879" s="1901"/>
      <c r="LA879" s="1901"/>
      <c r="LB879" s="1901"/>
      <c r="LC879" s="1901"/>
      <c r="LD879" s="1901"/>
      <c r="LE879" s="1901"/>
      <c r="LF879" s="1901"/>
      <c r="LG879" s="1901"/>
    </row>
    <row r="880" spans="2:380" s="359" customFormat="1" ht="16.5" customHeight="1">
      <c r="B880" s="359" t="s">
        <v>940</v>
      </c>
      <c r="D880" s="2293"/>
      <c r="F880" s="2289">
        <f>'Part V-Revenues &amp; Expenses'!F242</f>
        <v>6720</v>
      </c>
      <c r="G880" s="2289"/>
      <c r="O880" s="2029" t="s">
        <v>3053</v>
      </c>
      <c r="P880" s="2301" t="str">
        <f>CONCATENATE(P763," units x $",'DCA Underwriting Assumptions'!$Q$31," =")</f>
        <v>0 units x $420 =</v>
      </c>
      <c r="Q880" s="2301">
        <f>P763*'DCA Underwriting Assumptions'!$Q$31</f>
        <v>0</v>
      </c>
      <c r="S880" s="2160"/>
      <c r="T880" s="2160"/>
      <c r="U880" s="2160"/>
      <c r="V880" s="2160"/>
      <c r="W880" s="2160"/>
      <c r="X880" s="357"/>
      <c r="AC880" s="357"/>
      <c r="AH880" s="357"/>
      <c r="AM880" s="357"/>
      <c r="JW880" s="1901"/>
      <c r="KB880" s="1901"/>
      <c r="KG880" s="1901"/>
      <c r="KL880" s="1901"/>
      <c r="KM880" s="1901"/>
      <c r="KN880" s="1901"/>
      <c r="KO880" s="1901"/>
      <c r="KP880" s="1901"/>
      <c r="KQ880" s="1901"/>
      <c r="KR880" s="1901"/>
      <c r="KS880" s="1901"/>
      <c r="KT880" s="1901"/>
      <c r="KU880" s="1901"/>
      <c r="KV880" s="1901"/>
      <c r="KW880" s="1901"/>
      <c r="KX880" s="1901"/>
      <c r="KY880" s="1901"/>
      <c r="KZ880" s="1901"/>
      <c r="LA880" s="1901"/>
      <c r="LB880" s="1901"/>
      <c r="LC880" s="1901"/>
      <c r="LD880" s="1901"/>
      <c r="LE880" s="1901"/>
      <c r="LF880" s="1901"/>
      <c r="LG880" s="1901"/>
      <c r="NP880" s="359" t="s">
        <v>6456</v>
      </c>
    </row>
    <row r="881" spans="1:380" s="359" customFormat="1" ht="16.5" customHeight="1">
      <c r="B881" s="359" t="s">
        <v>941</v>
      </c>
      <c r="D881" s="2293"/>
      <c r="F881" s="2289">
        <f>'Part V-Revenues &amp; Expenses'!F243</f>
        <v>24000</v>
      </c>
      <c r="G881" s="2289"/>
      <c r="I881" s="359" t="s">
        <v>1299</v>
      </c>
      <c r="O881" s="2239" t="s">
        <v>2469</v>
      </c>
      <c r="P881" s="2302">
        <f>SUM(MF687:MJ687)+SUM(MK687:MO687)+SUM(MP687:MT687)+P763</f>
        <v>120</v>
      </c>
      <c r="Q881" s="2302">
        <f>SUM(Q877:Q880)</f>
        <v>30000</v>
      </c>
      <c r="R881" s="2301"/>
      <c r="S881" s="2160"/>
      <c r="T881" s="2160"/>
      <c r="U881" s="2160"/>
      <c r="V881" s="2160"/>
      <c r="W881" s="2160"/>
      <c r="X881" s="357"/>
      <c r="AC881" s="357"/>
      <c r="AH881" s="357"/>
      <c r="AM881" s="357"/>
      <c r="JW881" s="1901"/>
      <c r="KB881" s="1901"/>
      <c r="KG881" s="1901"/>
      <c r="KL881" s="1901"/>
      <c r="KM881" s="1901"/>
      <c r="KN881" s="1901"/>
      <c r="KO881" s="1901"/>
      <c r="KP881" s="1901"/>
      <c r="KQ881" s="1901"/>
      <c r="KR881" s="1901"/>
      <c r="KS881" s="1901"/>
      <c r="KT881" s="1901"/>
      <c r="KU881" s="1901"/>
      <c r="KV881" s="1901"/>
      <c r="KW881" s="1901"/>
      <c r="KX881" s="1901"/>
      <c r="KY881" s="1901"/>
      <c r="KZ881" s="1901"/>
      <c r="LA881" s="1901"/>
      <c r="LB881" s="1901"/>
      <c r="LC881" s="1901"/>
      <c r="LD881" s="1901"/>
      <c r="LE881" s="1901"/>
      <c r="LF881" s="1901"/>
      <c r="LG881" s="1901"/>
    </row>
    <row r="882" spans="1:380" s="359" customFormat="1" ht="16.5" customHeight="1">
      <c r="B882" s="359" t="s">
        <v>942</v>
      </c>
      <c r="D882" s="2293"/>
      <c r="F882" s="2289">
        <f>'Part V-Revenues &amp; Expenses'!F244</f>
        <v>0</v>
      </c>
      <c r="G882" s="2289"/>
      <c r="I882" s="359" t="s">
        <v>6860</v>
      </c>
      <c r="L882" s="2289">
        <f>'Part V-Revenues &amp; Expenses'!L244</f>
        <v>5040</v>
      </c>
      <c r="M882" s="2289"/>
      <c r="R882" s="2301"/>
      <c r="S882" s="2160"/>
      <c r="T882" s="2160"/>
      <c r="U882" s="2160"/>
      <c r="V882" s="2160"/>
      <c r="W882" s="2160"/>
      <c r="X882" s="357"/>
      <c r="AC882" s="357"/>
      <c r="AH882" s="357"/>
      <c r="AM882" s="357"/>
      <c r="JW882" s="1901"/>
      <c r="KB882" s="1901"/>
      <c r="KG882" s="1901"/>
      <c r="KL882" s="1901"/>
      <c r="KM882" s="1901"/>
      <c r="KN882" s="1901"/>
      <c r="KO882" s="1901"/>
      <c r="KP882" s="1901"/>
      <c r="KQ882" s="1901"/>
      <c r="KR882" s="1901"/>
      <c r="KS882" s="1901"/>
      <c r="KT882" s="1901"/>
      <c r="KU882" s="1901"/>
      <c r="KV882" s="1901"/>
      <c r="KW882" s="1901"/>
      <c r="KX882" s="1901"/>
      <c r="KY882" s="1901"/>
      <c r="KZ882" s="1901"/>
      <c r="LA882" s="1901"/>
      <c r="LB882" s="1901"/>
      <c r="LC882" s="1901"/>
      <c r="LD882" s="1901"/>
      <c r="LE882" s="1901"/>
      <c r="LF882" s="1901"/>
      <c r="LG882" s="1901"/>
    </row>
    <row r="883" spans="1:380" s="359" customFormat="1" ht="16.5" customHeight="1">
      <c r="B883" s="359" t="s">
        <v>811</v>
      </c>
      <c r="D883" s="2293"/>
      <c r="F883" s="2289">
        <f>'Part V-Revenues &amp; Expenses'!F245</f>
        <v>30000</v>
      </c>
      <c r="G883" s="2289"/>
      <c r="I883" s="359" t="s">
        <v>140</v>
      </c>
      <c r="L883" s="2289">
        <f>'Part V-Revenues &amp; Expenses'!L245</f>
        <v>119280</v>
      </c>
      <c r="M883" s="2289"/>
      <c r="R883" s="2301"/>
      <c r="S883" s="2160"/>
      <c r="T883" s="2160"/>
      <c r="U883" s="2160"/>
      <c r="V883" s="2160"/>
      <c r="W883" s="2160"/>
      <c r="X883" s="357"/>
      <c r="AC883" s="357"/>
      <c r="AH883" s="357"/>
      <c r="AM883" s="357"/>
      <c r="JW883" s="1901"/>
      <c r="KB883" s="1901"/>
      <c r="KG883" s="1901"/>
      <c r="KL883" s="1901"/>
      <c r="KM883" s="1901"/>
      <c r="KN883" s="1901"/>
      <c r="KO883" s="1901"/>
      <c r="KP883" s="1901"/>
      <c r="KQ883" s="1901"/>
      <c r="KR883" s="1901"/>
      <c r="KS883" s="1901"/>
      <c r="KT883" s="1901"/>
      <c r="KU883" s="1901"/>
      <c r="KV883" s="1901"/>
      <c r="KW883" s="1901"/>
      <c r="KX883" s="1901"/>
      <c r="KY883" s="1901"/>
      <c r="KZ883" s="1901"/>
      <c r="LA883" s="1901"/>
      <c r="LB883" s="1901"/>
      <c r="LC883" s="1901"/>
      <c r="LD883" s="1901"/>
      <c r="LE883" s="1901"/>
      <c r="LF883" s="1901"/>
      <c r="LG883" s="1901"/>
    </row>
    <row r="884" spans="1:380" s="359" customFormat="1" ht="16.5" customHeight="1">
      <c r="B884" s="2282" t="str">
        <f>'Part V-Revenues &amp; Expenses'!B246</f>
        <v>Other (describe here)</v>
      </c>
      <c r="C884" s="2282"/>
      <c r="D884" s="2282"/>
      <c r="E884" s="2282"/>
      <c r="F884" s="2289">
        <f>'Part V-Revenues &amp; Expenses'!F246</f>
        <v>0</v>
      </c>
      <c r="G884" s="2289"/>
      <c r="I884" s="2294" t="str">
        <f>'Part V-Revenues &amp; Expenses'!I246</f>
        <v>Other (describe here)</v>
      </c>
      <c r="J884" s="2294"/>
      <c r="K884" s="2294"/>
      <c r="L884" s="2289">
        <f>'Part V-Revenues &amp; Expenses'!L246</f>
        <v>0</v>
      </c>
      <c r="M884" s="2289"/>
      <c r="R884" s="2301"/>
      <c r="S884" s="2160"/>
      <c r="T884" s="2160"/>
      <c r="U884" s="2160"/>
      <c r="V884" s="2160"/>
      <c r="W884" s="2160"/>
      <c r="X884" s="357"/>
      <c r="AC884" s="357"/>
      <c r="AH884" s="357"/>
      <c r="AM884" s="357"/>
      <c r="JW884" s="1901"/>
      <c r="KB884" s="1901"/>
      <c r="KG884" s="1901"/>
      <c r="KL884" s="1901"/>
      <c r="KM884" s="1901"/>
      <c r="KN884" s="1901"/>
      <c r="KO884" s="1901"/>
      <c r="KP884" s="1901"/>
      <c r="KQ884" s="1901"/>
      <c r="KR884" s="1901"/>
      <c r="KS884" s="1901"/>
      <c r="KT884" s="1901"/>
      <c r="KU884" s="1901"/>
      <c r="KV884" s="1901"/>
      <c r="KW884" s="1901"/>
      <c r="KX884" s="1901"/>
      <c r="KY884" s="1901"/>
      <c r="KZ884" s="1901"/>
      <c r="LA884" s="1901"/>
      <c r="LB884" s="1901"/>
      <c r="LC884" s="1901"/>
      <c r="LD884" s="1901"/>
      <c r="LE884" s="1901"/>
      <c r="LF884" s="1901"/>
      <c r="LG884" s="1901"/>
      <c r="NP884" s="359" t="s">
        <v>6457</v>
      </c>
    </row>
    <row r="885" spans="1:380" s="359" customFormat="1" ht="16.5" customHeight="1">
      <c r="E885" s="2291" t="s">
        <v>184</v>
      </c>
      <c r="F885" s="2269">
        <f>SUM(F877:G884)</f>
        <v>120720</v>
      </c>
      <c r="G885" s="2269"/>
      <c r="K885" s="2291" t="s">
        <v>184</v>
      </c>
      <c r="L885" s="2271">
        <f>SUM(L881:L884)</f>
        <v>124320</v>
      </c>
      <c r="M885" s="2271"/>
      <c r="O885" s="359" t="s">
        <v>2031</v>
      </c>
      <c r="Q885" s="2271">
        <f>Q866+Q872</f>
        <v>894075</v>
      </c>
      <c r="R885" s="2301"/>
      <c r="S885" s="2160"/>
      <c r="T885" s="2160"/>
      <c r="U885" s="2160"/>
      <c r="V885" s="2160"/>
      <c r="W885" s="2160"/>
      <c r="X885" s="357"/>
      <c r="AC885" s="357"/>
      <c r="AH885" s="357"/>
      <c r="AM885" s="357"/>
      <c r="JW885" s="1901"/>
      <c r="KB885" s="1901"/>
      <c r="KG885" s="1901"/>
      <c r="KL885" s="1901"/>
      <c r="KM885" s="1901"/>
      <c r="KN885" s="1901"/>
      <c r="KO885" s="1901"/>
      <c r="KP885" s="1901"/>
      <c r="KQ885" s="1901"/>
      <c r="KR885" s="1901"/>
      <c r="KS885" s="1901"/>
      <c r="KT885" s="1901"/>
      <c r="KU885" s="1901"/>
      <c r="KV885" s="1901"/>
      <c r="KW885" s="1901"/>
      <c r="KX885" s="1901"/>
      <c r="KY885" s="1901"/>
      <c r="KZ885" s="1901"/>
      <c r="LA885" s="1901"/>
      <c r="LB885" s="1901"/>
      <c r="LC885" s="1901"/>
      <c r="LD885" s="1901"/>
      <c r="LE885" s="1901"/>
      <c r="LF885" s="1901"/>
      <c r="LG885" s="1901"/>
    </row>
    <row r="886" spans="1:380" s="359" customFormat="1" ht="6" customHeight="1">
      <c r="C886" s="2291"/>
      <c r="F886" s="2251"/>
      <c r="G886" s="2251"/>
      <c r="K886" s="2251"/>
      <c r="X886" s="357"/>
      <c r="AC886" s="357"/>
      <c r="AH886" s="357"/>
      <c r="AM886" s="357"/>
      <c r="JW886" s="1901"/>
      <c r="KB886" s="1901"/>
      <c r="KG886" s="1901"/>
      <c r="KL886" s="1901"/>
      <c r="KM886" s="1901"/>
      <c r="KN886" s="1901"/>
      <c r="KO886" s="1901"/>
      <c r="KP886" s="1901"/>
      <c r="KQ886" s="1901"/>
      <c r="KR886" s="1901"/>
      <c r="KS886" s="1901"/>
      <c r="KT886" s="1901"/>
      <c r="KU886" s="1901"/>
      <c r="KV886" s="1901"/>
      <c r="KW886" s="1901"/>
      <c r="KX886" s="1901"/>
      <c r="KY886" s="1901"/>
      <c r="KZ886" s="1901"/>
      <c r="LA886" s="1901"/>
      <c r="LB886" s="1901"/>
      <c r="LC886" s="1901"/>
      <c r="LD886" s="1901"/>
      <c r="LE886" s="1901"/>
      <c r="LF886" s="1901"/>
      <c r="LG886" s="1901"/>
    </row>
    <row r="887" spans="1:380" s="359" customFormat="1" ht="15.6" customHeight="1">
      <c r="C887" s="2291"/>
      <c r="F887" s="2251"/>
      <c r="G887" s="2251"/>
      <c r="K887" s="2251"/>
      <c r="R887" s="2271"/>
      <c r="X887" s="357"/>
      <c r="AC887" s="357"/>
      <c r="AH887" s="357"/>
      <c r="AM887" s="357"/>
      <c r="JW887" s="1901"/>
      <c r="KB887" s="1901"/>
      <c r="KG887" s="1901"/>
      <c r="KL887" s="1901"/>
      <c r="KM887" s="1901"/>
      <c r="KN887" s="1901"/>
      <c r="KO887" s="1901"/>
      <c r="KP887" s="1901"/>
      <c r="KQ887" s="1901"/>
      <c r="KR887" s="1901"/>
      <c r="KS887" s="1901"/>
      <c r="KT887" s="1901"/>
      <c r="KU887" s="1901"/>
      <c r="KV887" s="1901"/>
      <c r="KW887" s="1901"/>
      <c r="KX887" s="1901"/>
      <c r="KY887" s="1901"/>
      <c r="KZ887" s="1901"/>
      <c r="LA887" s="1901"/>
      <c r="LB887" s="1901"/>
      <c r="LC887" s="1901"/>
      <c r="LD887" s="1901"/>
      <c r="LE887" s="1901"/>
      <c r="LF887" s="1901"/>
      <c r="LG887" s="1901"/>
    </row>
    <row r="888" spans="1:380" s="359" customFormat="1" ht="15" customHeight="1">
      <c r="C888" s="2291"/>
      <c r="F888" s="2251"/>
      <c r="G888" s="2251"/>
      <c r="K888" s="2251"/>
      <c r="Q888" s="2271"/>
      <c r="R888" s="2271"/>
      <c r="X888" s="357"/>
      <c r="AC888" s="357"/>
      <c r="AH888" s="357"/>
      <c r="AM888" s="357"/>
      <c r="JW888" s="1901"/>
      <c r="KB888" s="1901"/>
      <c r="KG888" s="1901"/>
      <c r="KL888" s="1901"/>
      <c r="KM888" s="1901"/>
      <c r="KN888" s="1901"/>
      <c r="KO888" s="1901"/>
      <c r="KP888" s="1901"/>
      <c r="KQ888" s="1901"/>
      <c r="KR888" s="1901"/>
      <c r="KS888" s="1901"/>
      <c r="KT888" s="1901"/>
      <c r="KU888" s="1901"/>
      <c r="KV888" s="1901"/>
      <c r="KW888" s="1901"/>
      <c r="KX888" s="1901"/>
      <c r="KY888" s="1901"/>
      <c r="KZ888" s="1901"/>
      <c r="LA888" s="1901"/>
      <c r="LB888" s="1901"/>
      <c r="LC888" s="1901"/>
      <c r="LD888" s="1901"/>
      <c r="LE888" s="1901"/>
      <c r="LF888" s="1901"/>
      <c r="LG888" s="1901"/>
    </row>
    <row r="889" spans="1:380" s="359" customFormat="1" ht="15" customHeight="1">
      <c r="A889" s="357" t="s">
        <v>3379</v>
      </c>
      <c r="B889" s="359" t="s">
        <v>3878</v>
      </c>
      <c r="C889" s="2291"/>
      <c r="H889" s="2251"/>
      <c r="I889" s="2303" t="s">
        <v>3879</v>
      </c>
      <c r="K889" s="2281">
        <f>'Part V-Revenues &amp; Expenses'!K251</f>
        <v>0</v>
      </c>
      <c r="L889" s="2281"/>
      <c r="M889" s="2206" t="s">
        <v>3906</v>
      </c>
      <c r="N889" s="2217">
        <f>'Part V-Revenues &amp; Expenses'!N251</f>
        <v>75</v>
      </c>
      <c r="O889" s="359" t="s">
        <v>3881</v>
      </c>
      <c r="Q889" s="2217">
        <f>'Part V-Revenues &amp; Expenses'!Q251</f>
        <v>0</v>
      </c>
      <c r="R889" s="2271"/>
      <c r="S889" s="2160"/>
      <c r="T889" s="2160"/>
      <c r="U889" s="2160"/>
      <c r="V889" s="2160"/>
      <c r="W889" s="2160"/>
      <c r="X889" s="357"/>
      <c r="AC889" s="357"/>
      <c r="AH889" s="357"/>
      <c r="AM889" s="357"/>
      <c r="JW889" s="1901"/>
      <c r="KB889" s="1901"/>
      <c r="KG889" s="1901"/>
      <c r="KL889" s="1901"/>
      <c r="KM889" s="1901"/>
      <c r="KN889" s="1901"/>
      <c r="KO889" s="1901"/>
      <c r="KP889" s="1901"/>
      <c r="KQ889" s="1901"/>
      <c r="KR889" s="1901"/>
      <c r="KS889" s="1901"/>
      <c r="KT889" s="1901"/>
      <c r="KU889" s="1901"/>
      <c r="KV889" s="1901"/>
      <c r="KW889" s="1901"/>
      <c r="KX889" s="1901"/>
      <c r="KY889" s="1901"/>
      <c r="KZ889" s="1901"/>
      <c r="LA889" s="1901"/>
      <c r="LB889" s="1901"/>
      <c r="LC889" s="1901"/>
      <c r="LD889" s="1901"/>
      <c r="LE889" s="1901"/>
      <c r="LF889" s="1901"/>
      <c r="LG889" s="1901"/>
    </row>
    <row r="890" spans="1:380" s="359" customFormat="1" ht="12" customHeight="1">
      <c r="C890" s="2291"/>
      <c r="F890" s="2251"/>
      <c r="G890" s="2251"/>
      <c r="K890" s="2251"/>
      <c r="Q890" s="2271"/>
      <c r="R890" s="2271"/>
      <c r="X890" s="357"/>
      <c r="AC890" s="357"/>
      <c r="AH890" s="357"/>
      <c r="AM890" s="357"/>
      <c r="JW890" s="1901"/>
      <c r="KB890" s="1901"/>
      <c r="KG890" s="1901"/>
      <c r="KL890" s="1901"/>
      <c r="KM890" s="1901"/>
      <c r="KN890" s="1901"/>
      <c r="KO890" s="1901"/>
      <c r="KP890" s="1901"/>
      <c r="KQ890" s="1901"/>
      <c r="KR890" s="1901"/>
      <c r="KS890" s="1901"/>
      <c r="KT890" s="1901"/>
      <c r="KU890" s="1901"/>
      <c r="KV890" s="1901"/>
      <c r="KW890" s="1901"/>
      <c r="KX890" s="1901"/>
      <c r="KY890" s="1901"/>
      <c r="KZ890" s="1901"/>
      <c r="LA890" s="1901"/>
      <c r="LB890" s="1901"/>
      <c r="LC890" s="1901"/>
      <c r="LD890" s="1901"/>
      <c r="LE890" s="1901"/>
      <c r="LF890" s="1901"/>
      <c r="LG890" s="1901"/>
    </row>
    <row r="891" spans="1:380" s="359" customFormat="1" ht="15" customHeight="1">
      <c r="B891" s="359" t="s">
        <v>3907</v>
      </c>
      <c r="C891" s="2291"/>
      <c r="F891" s="2251"/>
      <c r="G891" s="2251"/>
      <c r="J891" s="2210" t="str">
        <f>'Part V-Revenues &amp; Expenses'!J253</f>
        <v>No</v>
      </c>
      <c r="K891" s="2303" t="s">
        <v>3909</v>
      </c>
      <c r="L891" s="2210" t="str">
        <f>'Part V-Revenues &amp; Expenses'!L253</f>
        <v>No</v>
      </c>
      <c r="M891" s="1901" t="s">
        <v>3910</v>
      </c>
      <c r="N891" s="2217">
        <f>'Part V-Revenues &amp; Expenses'!N253</f>
        <v>0</v>
      </c>
      <c r="O891" s="359" t="s">
        <v>3908</v>
      </c>
      <c r="Q891" s="2217">
        <f>'Part V-Revenues &amp; Expenses'!Q253</f>
        <v>0</v>
      </c>
      <c r="R891" s="2271"/>
      <c r="S891" s="2160"/>
      <c r="T891" s="2160"/>
      <c r="U891" s="2160"/>
      <c r="V891" s="2160"/>
      <c r="W891" s="2160"/>
      <c r="X891" s="357"/>
      <c r="AC891" s="357"/>
      <c r="AH891" s="357"/>
      <c r="AM891" s="357"/>
      <c r="JW891" s="1901"/>
      <c r="KB891" s="1901"/>
      <c r="KG891" s="1901"/>
      <c r="KL891" s="1901"/>
      <c r="KM891" s="1901"/>
      <c r="KN891" s="1901"/>
      <c r="KO891" s="1901"/>
      <c r="KP891" s="1901"/>
      <c r="KQ891" s="1901"/>
      <c r="KR891" s="1901"/>
      <c r="KS891" s="1901"/>
      <c r="KT891" s="1901"/>
      <c r="KU891" s="1901"/>
      <c r="KV891" s="1901"/>
      <c r="KW891" s="1901"/>
      <c r="KX891" s="1901"/>
      <c r="KY891" s="1901"/>
      <c r="KZ891" s="1901"/>
      <c r="LA891" s="1901"/>
      <c r="LB891" s="1901"/>
      <c r="LC891" s="1901"/>
      <c r="LD891" s="1901"/>
      <c r="LE891" s="1901"/>
      <c r="LF891" s="1901"/>
      <c r="LG891" s="1901"/>
      <c r="NP891" s="359" t="s">
        <v>6458</v>
      </c>
    </row>
    <row r="892" spans="1:380" s="359" customFormat="1" ht="30.75" customHeight="1">
      <c r="C892" s="2291"/>
      <c r="F892" s="2251"/>
      <c r="G892" s="2251"/>
      <c r="K892" s="2251"/>
      <c r="Q892" s="2271"/>
      <c r="R892" s="2271"/>
      <c r="X892" s="357"/>
      <c r="AC892" s="357"/>
      <c r="AH892" s="357"/>
      <c r="AM892" s="357"/>
      <c r="JW892" s="1901"/>
      <c r="KB892" s="1901"/>
      <c r="KG892" s="1901"/>
      <c r="KL892" s="1901"/>
      <c r="KM892" s="1901"/>
      <c r="KN892" s="1901"/>
      <c r="KO892" s="1901"/>
      <c r="KP892" s="1901"/>
      <c r="KQ892" s="1901"/>
      <c r="KR892" s="1901"/>
      <c r="KS892" s="1901"/>
      <c r="KT892" s="1901"/>
      <c r="KU892" s="1901"/>
      <c r="KV892" s="1901"/>
      <c r="KW892" s="1901"/>
      <c r="KX892" s="1901"/>
      <c r="KY892" s="1901"/>
      <c r="KZ892" s="1901"/>
      <c r="LA892" s="1901"/>
      <c r="LB892" s="1901"/>
      <c r="LC892" s="1901"/>
      <c r="LD892" s="1901"/>
      <c r="LE892" s="1901"/>
      <c r="LF892" s="1901"/>
      <c r="LG892" s="1901"/>
    </row>
    <row r="893" spans="1:380" ht="12" customHeight="1">
      <c r="A893" s="357" t="s">
        <v>3877</v>
      </c>
      <c r="B893" s="357" t="s">
        <v>530</v>
      </c>
      <c r="N893" s="357" t="s">
        <v>6659</v>
      </c>
      <c r="JW893" s="1750"/>
      <c r="KB893" s="1750"/>
      <c r="KG893" s="1750"/>
      <c r="KL893" s="1750"/>
      <c r="KM893" s="1750"/>
      <c r="KN893" s="1750"/>
      <c r="KO893" s="1750"/>
      <c r="KP893" s="1750"/>
      <c r="KQ893" s="1750"/>
      <c r="KR893" s="1750"/>
      <c r="KS893" s="1750"/>
      <c r="KT893" s="1750"/>
      <c r="KU893" s="1750"/>
      <c r="KV893" s="1750"/>
      <c r="KW893" s="1750"/>
      <c r="KX893" s="1750"/>
      <c r="KY893" s="1750"/>
      <c r="KZ893" s="1750"/>
      <c r="LA893" s="1750"/>
      <c r="LB893" s="1750"/>
      <c r="LC893" s="1750"/>
      <c r="LD893" s="1750"/>
      <c r="LE893" s="1750"/>
      <c r="LF893" s="1750"/>
      <c r="LG893" s="1750"/>
      <c r="NP893" s="359"/>
    </row>
    <row r="894" spans="1:380" ht="15.75" customHeight="1">
      <c r="A894" s="2070" t="str">
        <f>'Part V-Revenues &amp; Expenses'!A256</f>
        <v>1. Current real estate taxes on the raw land is abated with GHA as the land owners.  The real estate is owned by The City of Gainesville Housing Authority and leased to the partnership, so will be exempt from property tax, and will simply pay some non-ad valorem municipal fees.  A legal opinion letter has been obtained and is available upon request.
2. The insurance was quoted by third party insurance providers, and consistent with existing insurance costs, and the applicants Waterside Oaks, and GHA's last tax credit deal.                    3. GHA will operate as the management company.  They have been accepted by DCA as an approved management company.  The salary, management fees, computer and software leasing, activities manager and activities/tenant services all come from previously owned transactions by GHA with historical reference.                                                                                                   4. Insurance, salaries, services, and professional services have all experienced significant inflationary escalations at properties throughout the principal portfolios, it is anticipated these costs will continue to stay escalated for the foreseeable future.                                                                                                                                                                                                   5. Tthe project will provide high speed internet and free Wifi in the common areas which will be an additional cost of the project.                                                                                           6.  The rents on the tax credit, non-subsidized 60% and 80% units were cut because GHA has some 60-80% renters who will be relocating over from their public housing property.  GHA tried to ensure the asking rents were at a level capable of accommodating those households.  The rents were not cut due to market concerns or recommendations for lower rents in the market area.</v>
      </c>
      <c r="B894" s="2070"/>
      <c r="C894" s="2070"/>
      <c r="D894" s="2070"/>
      <c r="E894" s="2070"/>
      <c r="F894" s="2070"/>
      <c r="G894" s="2070"/>
      <c r="H894" s="2070"/>
      <c r="I894" s="2070"/>
      <c r="J894" s="2070"/>
      <c r="K894" s="2070"/>
      <c r="L894" s="2070"/>
      <c r="M894" s="2070"/>
      <c r="N894" s="2070"/>
      <c r="O894" s="2070"/>
      <c r="P894" s="2070"/>
      <c r="Q894" s="2070"/>
      <c r="R894" s="2017" t="s">
        <v>3378</v>
      </c>
      <c r="S894" s="2017"/>
      <c r="T894" s="2017"/>
      <c r="U894" s="2017"/>
      <c r="JW894" s="1750"/>
      <c r="KB894" s="1750"/>
      <c r="KG894" s="1750"/>
      <c r="KL894" s="1750"/>
      <c r="KM894" s="1750"/>
      <c r="KN894" s="1750"/>
      <c r="KO894" s="1750"/>
      <c r="KP894" s="1750"/>
      <c r="KQ894" s="1750"/>
      <c r="KR894" s="1750"/>
      <c r="KS894" s="1750"/>
      <c r="KT894" s="1750"/>
      <c r="KU894" s="1750"/>
      <c r="KV894" s="1750"/>
      <c r="KW894" s="1750"/>
      <c r="KX894" s="1750"/>
      <c r="KY894" s="1750"/>
      <c r="KZ894" s="1750"/>
      <c r="LA894" s="1750"/>
      <c r="LB894" s="1750"/>
      <c r="LC894" s="1750"/>
      <c r="LD894" s="1750"/>
      <c r="LE894" s="1750"/>
      <c r="LF894" s="1750"/>
      <c r="LG894" s="1750"/>
      <c r="NP894" s="359"/>
    </row>
    <row r="897" spans="1:27" ht="14.1" customHeight="1">
      <c r="A897" s="359" t="str">
        <f>CONCATENATE("PART SIX - OPERATING PRO FORMA","  -  ",'Part I-Project Identification'!$O$7," ",'Part I-Project Identification'!$F$29,", ",'Part I-Project Identification'!F925,", ",'Part I-Project Identification'!J925," County")</f>
        <v>PART SIX - OPERATING PRO FORMA  -  2022-522 Harrison Village Apartments, ,  County</v>
      </c>
      <c r="L897" s="359"/>
      <c r="M897" s="359"/>
      <c r="N897" s="359" t="str">
        <f>A897</f>
        <v>PART SIX - OPERATING PRO FORMA  -  2022-522 Harrison Village Apartments, ,  County</v>
      </c>
      <c r="O897" s="359"/>
      <c r="P897" s="359"/>
      <c r="AA897" s="1750">
        <v>2</v>
      </c>
    </row>
    <row r="898" spans="1:27" ht="13.5" customHeight="1">
      <c r="N898" s="357" t="s">
        <v>1711</v>
      </c>
      <c r="AA898" s="1750">
        <v>3</v>
      </c>
    </row>
    <row r="899" spans="1:27" ht="13.5" customHeight="1">
      <c r="A899" s="357" t="s">
        <v>85</v>
      </c>
      <c r="C899" s="2218" t="str">
        <f>'Part I-Project Identification'!$A$6</f>
        <v>Sept 20, 2022 Core Application - 4% Only</v>
      </c>
      <c r="D899" s="357" t="s">
        <v>75</v>
      </c>
      <c r="E899" s="1901"/>
      <c r="F899" s="2023" t="s">
        <v>6771</v>
      </c>
      <c r="N899" s="357" t="str">
        <f>A899</f>
        <v>I.  OPERATING ASSUMPTIONS</v>
      </c>
      <c r="AA899" s="1750">
        <v>4</v>
      </c>
    </row>
    <row r="900" spans="1:27" ht="2.4500000000000002" customHeight="1">
      <c r="C900" s="2218"/>
      <c r="AA900" s="1750">
        <v>5</v>
      </c>
    </row>
    <row r="901" spans="1:27" ht="13.5" customHeight="1">
      <c r="A901" s="357" t="s">
        <v>2032</v>
      </c>
      <c r="B901" s="2304">
        <v>0.02</v>
      </c>
      <c r="C901" s="2218"/>
      <c r="D901" s="2258" t="s">
        <v>6861</v>
      </c>
      <c r="E901" s="2258"/>
      <c r="F901" s="2258"/>
      <c r="G901" s="2305">
        <f>'Part VI-Pro Forma'!G6</f>
        <v>5000</v>
      </c>
      <c r="H901" s="2219" t="s">
        <v>1768</v>
      </c>
      <c r="K901" s="2306" t="e">
        <f>IF(($B$15+$B$16+$B$17+$B$18)=0,"",B926/($B$15+$B$16+$B$17+$B$18))</f>
        <v>#VALUE!</v>
      </c>
      <c r="N901" s="2160"/>
      <c r="O901" s="2160"/>
      <c r="AA901" s="1750">
        <v>6</v>
      </c>
    </row>
    <row r="902" spans="1:27">
      <c r="A902" s="357" t="s">
        <v>2033</v>
      </c>
      <c r="B902" s="2304">
        <v>0.03</v>
      </c>
      <c r="C902" s="2218"/>
      <c r="D902" s="2258"/>
      <c r="E902" s="2258"/>
      <c r="F902" s="2258"/>
      <c r="G902" s="2307">
        <f>IF(OR('Part II-Sources of Funds'!E901="Yes",'Part II-Sources of Funds'!I901&gt;0),'DCA Underwriting Assumptions'!$Q$61,0)</f>
        <v>0</v>
      </c>
      <c r="N902" s="2160"/>
      <c r="O902" s="2160"/>
      <c r="AA902" s="1750">
        <v>7</v>
      </c>
    </row>
    <row r="903" spans="1:27">
      <c r="A903" s="357" t="s">
        <v>2035</v>
      </c>
      <c r="B903" s="2304">
        <v>0.03</v>
      </c>
      <c r="C903" s="2218"/>
      <c r="D903" s="359" t="s">
        <v>258</v>
      </c>
      <c r="G903" s="2308"/>
      <c r="H903" s="2219" t="s">
        <v>2192</v>
      </c>
      <c r="K903" s="2306" t="e">
        <f>IF(($B$15+$B$16+$B$17+$B$18)=0,"",-B917/($B$15+$B$16+$B$17+$B$18))</f>
        <v>#VALUE!</v>
      </c>
      <c r="N903" s="2160"/>
      <c r="O903" s="2160"/>
      <c r="AA903" s="1750">
        <v>8</v>
      </c>
    </row>
    <row r="904" spans="1:27" ht="13.35" customHeight="1">
      <c r="A904" s="357" t="s">
        <v>2034</v>
      </c>
      <c r="B904" s="2309">
        <f>'Part VI-Pro Forma'!B9</f>
        <v>7.0000000000000007E-2</v>
      </c>
      <c r="C904" s="1624" t="str">
        <f>IF(B904&lt;0.07, "Must be &gt;= 7%!","")</f>
        <v/>
      </c>
      <c r="D904" s="359" t="s">
        <v>2308</v>
      </c>
      <c r="G904" s="2310" t="str">
        <f>'Part VI-Pro Forma'!G9</f>
        <v>No</v>
      </c>
      <c r="H904" s="2311" t="s">
        <v>1356</v>
      </c>
      <c r="K904" s="2312">
        <f>'Part VI-Pro Forma'!K9</f>
        <v>0</v>
      </c>
      <c r="N904" s="2160"/>
      <c r="O904" s="2160"/>
      <c r="AA904" s="1750">
        <v>9</v>
      </c>
    </row>
    <row r="905" spans="1:27">
      <c r="A905" s="357" t="s">
        <v>1337</v>
      </c>
      <c r="B905" s="2304">
        <v>0.02</v>
      </c>
      <c r="D905" s="359" t="s">
        <v>1598</v>
      </c>
      <c r="G905" s="2310" t="str">
        <f>'Part VI-Pro Forma'!G10</f>
        <v>Yes</v>
      </c>
      <c r="H905" s="2311" t="s">
        <v>2175</v>
      </c>
      <c r="K905" s="2313">
        <f>'Part VI-Pro Forma'!K10</f>
        <v>6.5000000000000002E-2</v>
      </c>
      <c r="N905" s="2160"/>
      <c r="O905" s="2160"/>
      <c r="AA905" s="1750">
        <v>10</v>
      </c>
    </row>
    <row r="906" spans="1:27" ht="9" customHeight="1">
      <c r="AA906" s="1750">
        <v>11</v>
      </c>
    </row>
    <row r="907" spans="1:27">
      <c r="A907" s="357" t="s">
        <v>86</v>
      </c>
      <c r="D907" s="2206"/>
      <c r="N907" s="357" t="str">
        <f>A907</f>
        <v>II.  OPERATING PRO FORMA</v>
      </c>
      <c r="AA907" s="1750">
        <v>12</v>
      </c>
    </row>
    <row r="908" spans="1:27" ht="2.4500000000000002" customHeight="1">
      <c r="AA908" s="1750">
        <v>13</v>
      </c>
    </row>
    <row r="909" spans="1:27" ht="14.45" customHeight="1">
      <c r="A909" s="357" t="s">
        <v>2285</v>
      </c>
      <c r="B909" s="357">
        <v>1</v>
      </c>
      <c r="C909" s="357">
        <f t="shared" ref="C909:K909" si="379">B909+1</f>
        <v>2</v>
      </c>
      <c r="D909" s="357">
        <f t="shared" si="379"/>
        <v>3</v>
      </c>
      <c r="E909" s="357">
        <f t="shared" si="379"/>
        <v>4</v>
      </c>
      <c r="F909" s="357">
        <f t="shared" si="379"/>
        <v>5</v>
      </c>
      <c r="G909" s="357">
        <f t="shared" si="379"/>
        <v>6</v>
      </c>
      <c r="H909" s="357">
        <f t="shared" si="379"/>
        <v>7</v>
      </c>
      <c r="I909" s="357">
        <f t="shared" si="379"/>
        <v>8</v>
      </c>
      <c r="J909" s="357">
        <f t="shared" si="379"/>
        <v>9</v>
      </c>
      <c r="K909" s="357">
        <f t="shared" si="379"/>
        <v>10</v>
      </c>
      <c r="N909" s="357" t="s">
        <v>2412</v>
      </c>
      <c r="AA909" s="1750">
        <v>14</v>
      </c>
    </row>
    <row r="910" spans="1:27" ht="13.35" customHeight="1">
      <c r="A910" s="357" t="s">
        <v>2216</v>
      </c>
      <c r="B910" s="2314">
        <f>'Part VI-Pro Forma'!B15</f>
        <v>1876692</v>
      </c>
      <c r="C910" s="2314">
        <f>'Part VI-Pro Forma'!C15</f>
        <v>1914225.84</v>
      </c>
      <c r="D910" s="2314">
        <f>'Part VI-Pro Forma'!D15</f>
        <v>1952510.3568</v>
      </c>
      <c r="E910" s="2314">
        <f>'Part VI-Pro Forma'!E15</f>
        <v>1991560.5639359998</v>
      </c>
      <c r="F910" s="2314">
        <f>'Part VI-Pro Forma'!F15</f>
        <v>2031391.7752147201</v>
      </c>
      <c r="G910" s="2314">
        <f>'Part VI-Pro Forma'!G15</f>
        <v>2072019.6107190144</v>
      </c>
      <c r="H910" s="2314">
        <f>'Part VI-Pro Forma'!H15</f>
        <v>2113460.0029333946</v>
      </c>
      <c r="I910" s="2314">
        <f>'Part VI-Pro Forma'!I15</f>
        <v>2155729.2029920621</v>
      </c>
      <c r="J910" s="2314">
        <f>'Part VI-Pro Forma'!J15</f>
        <v>2198843.7870519035</v>
      </c>
      <c r="K910" s="2314">
        <f>'Part VI-Pro Forma'!K15</f>
        <v>2242820.6627929416</v>
      </c>
      <c r="N910" s="2160"/>
      <c r="O910" s="2160"/>
      <c r="S910" s="2213" t="s">
        <v>3413</v>
      </c>
      <c r="Z910" s="357" t="s">
        <v>6469</v>
      </c>
      <c r="AA910" s="1750">
        <v>15</v>
      </c>
    </row>
    <row r="911" spans="1:27" ht="13.35" customHeight="1">
      <c r="A911" s="357" t="s">
        <v>953</v>
      </c>
      <c r="B911" s="2314">
        <f>'Part VI-Pro Forma'!B16</f>
        <v>37533.840000000004</v>
      </c>
      <c r="C911" s="2314">
        <f>'Part VI-Pro Forma'!C16</f>
        <v>38284.516800000005</v>
      </c>
      <c r="D911" s="2314">
        <f>'Part VI-Pro Forma'!D16</f>
        <v>39050.207136000005</v>
      </c>
      <c r="E911" s="2314">
        <f>'Part VI-Pro Forma'!E16</f>
        <v>39831.211278720002</v>
      </c>
      <c r="F911" s="2314">
        <f>'Part VI-Pro Forma'!F16</f>
        <v>40627.835504294402</v>
      </c>
      <c r="G911" s="2314">
        <f>'Part VI-Pro Forma'!G16</f>
        <v>41440.392214380292</v>
      </c>
      <c r="H911" s="2314">
        <f>'Part VI-Pro Forma'!H16</f>
        <v>42269.200058667899</v>
      </c>
      <c r="I911" s="2314">
        <f>'Part VI-Pro Forma'!I16</f>
        <v>43114.584059841247</v>
      </c>
      <c r="J911" s="2314">
        <f>'Part VI-Pro Forma'!J16</f>
        <v>43976.875741038079</v>
      </c>
      <c r="K911" s="2314">
        <f>'Part VI-Pro Forma'!K16</f>
        <v>44856.413255858839</v>
      </c>
      <c r="N911" s="2160"/>
      <c r="O911" s="2160"/>
      <c r="S911" s="2213"/>
      <c r="Z911" s="357" t="s">
        <v>6469</v>
      </c>
      <c r="AA911" s="1750">
        <v>16</v>
      </c>
    </row>
    <row r="912" spans="1:27" ht="13.35" customHeight="1">
      <c r="A912" s="357" t="s">
        <v>2217</v>
      </c>
      <c r="B912" s="2314">
        <f>'Part VI-Pro Forma'!B17</f>
        <v>-133995.80880000003</v>
      </c>
      <c r="C912" s="2314">
        <f>'Part VI-Pro Forma'!C17</f>
        <v>-136675.72497600003</v>
      </c>
      <c r="D912" s="2314">
        <f>'Part VI-Pro Forma'!D17</f>
        <v>-139409.23947552001</v>
      </c>
      <c r="E912" s="2314">
        <f>'Part VI-Pro Forma'!E17</f>
        <v>-142197.42426503039</v>
      </c>
      <c r="F912" s="2314">
        <f>'Part VI-Pro Forma'!F17</f>
        <v>-145041.37275033104</v>
      </c>
      <c r="G912" s="2314">
        <f>'Part VI-Pro Forma'!G17</f>
        <v>-147942.20020533763</v>
      </c>
      <c r="H912" s="2314">
        <f>'Part VI-Pro Forma'!H17</f>
        <v>-150901.0442094444</v>
      </c>
      <c r="I912" s="2314">
        <f>'Part VI-Pro Forma'!I17</f>
        <v>-153919.06509363325</v>
      </c>
      <c r="J912" s="2314">
        <f>'Part VI-Pro Forma'!J17</f>
        <v>-156997.44639550592</v>
      </c>
      <c r="K912" s="2314">
        <f>'Part VI-Pro Forma'!K17</f>
        <v>-160137.39532341604</v>
      </c>
      <c r="N912" s="2160"/>
      <c r="O912" s="2160"/>
      <c r="Q912" s="2213" t="s">
        <v>3303</v>
      </c>
      <c r="R912" s="2213" t="s">
        <v>3412</v>
      </c>
      <c r="S912" s="2213"/>
      <c r="Z912" s="357" t="s">
        <v>6469</v>
      </c>
      <c r="AA912" s="1750">
        <v>17</v>
      </c>
    </row>
    <row r="913" spans="1:27" ht="13.35" customHeight="1">
      <c r="A913" s="357" t="s">
        <v>47</v>
      </c>
      <c r="B913" s="2314">
        <f>'Part VI-Pro Forma'!B18</f>
        <v>0</v>
      </c>
      <c r="C913" s="2314">
        <f>'Part VI-Pro Forma'!C18</f>
        <v>0</v>
      </c>
      <c r="D913" s="2314">
        <f>'Part VI-Pro Forma'!D18</f>
        <v>0</v>
      </c>
      <c r="E913" s="2314">
        <f>'Part VI-Pro Forma'!E18</f>
        <v>0</v>
      </c>
      <c r="F913" s="2314">
        <f>'Part VI-Pro Forma'!F18</f>
        <v>0</v>
      </c>
      <c r="G913" s="2314">
        <f>'Part VI-Pro Forma'!G18</f>
        <v>0</v>
      </c>
      <c r="H913" s="2314">
        <f>'Part VI-Pro Forma'!H18</f>
        <v>0</v>
      </c>
      <c r="I913" s="2314">
        <f>'Part VI-Pro Forma'!I18</f>
        <v>0</v>
      </c>
      <c r="J913" s="2314">
        <f>'Part VI-Pro Forma'!J18</f>
        <v>0</v>
      </c>
      <c r="K913" s="2314">
        <f>'Part VI-Pro Forma'!K18</f>
        <v>0</v>
      </c>
      <c r="N913" s="2160"/>
      <c r="O913" s="2160"/>
      <c r="Q913" s="2213"/>
      <c r="R913" s="2213"/>
      <c r="S913" s="2213"/>
      <c r="Z913" s="357" t="s">
        <v>6469</v>
      </c>
      <c r="AA913" s="1750">
        <v>18</v>
      </c>
    </row>
    <row r="914" spans="1:27" ht="13.35" customHeight="1">
      <c r="A914" s="357" t="s">
        <v>48</v>
      </c>
      <c r="B914" s="2314">
        <f>'Part VI-Pro Forma'!B19</f>
        <v>0</v>
      </c>
      <c r="C914" s="2314">
        <f>'Part VI-Pro Forma'!C19</f>
        <v>0</v>
      </c>
      <c r="D914" s="2314">
        <f>'Part VI-Pro Forma'!D19</f>
        <v>0</v>
      </c>
      <c r="E914" s="2314">
        <f>'Part VI-Pro Forma'!E19</f>
        <v>0</v>
      </c>
      <c r="F914" s="2314">
        <f>'Part VI-Pro Forma'!F19</f>
        <v>0</v>
      </c>
      <c r="G914" s="2314">
        <f>'Part VI-Pro Forma'!G19</f>
        <v>0</v>
      </c>
      <c r="H914" s="2314">
        <f>'Part VI-Pro Forma'!H19</f>
        <v>0</v>
      </c>
      <c r="I914" s="2314">
        <f>'Part VI-Pro Forma'!I19</f>
        <v>0</v>
      </c>
      <c r="J914" s="2314">
        <f>'Part VI-Pro Forma'!J19</f>
        <v>0</v>
      </c>
      <c r="K914" s="2314">
        <f>'Part VI-Pro Forma'!K19</f>
        <v>0</v>
      </c>
      <c r="N914" s="2160"/>
      <c r="O914" s="2160"/>
      <c r="Z914" s="357" t="s">
        <v>6469</v>
      </c>
      <c r="AA914" s="1750">
        <v>19</v>
      </c>
    </row>
    <row r="915" spans="1:27" ht="13.35" customHeight="1">
      <c r="A915" s="357" t="s">
        <v>3843</v>
      </c>
      <c r="B915" s="2314">
        <f>SUM(B910:B914)</f>
        <v>1780230.0312000001</v>
      </c>
      <c r="C915" s="2314">
        <f t="shared" ref="C915:K915" si="380">SUM(C910:C914)</f>
        <v>1815834.6318240003</v>
      </c>
      <c r="D915" s="2314">
        <f t="shared" si="380"/>
        <v>1852151.3244604799</v>
      </c>
      <c r="E915" s="2314">
        <f t="shared" si="380"/>
        <v>1889194.3509496895</v>
      </c>
      <c r="F915" s="2314">
        <f t="shared" si="380"/>
        <v>1926978.2379686835</v>
      </c>
      <c r="G915" s="2314">
        <f t="shared" si="380"/>
        <v>1965517.8027280569</v>
      </c>
      <c r="H915" s="2314">
        <f t="shared" si="380"/>
        <v>2004828.1587826181</v>
      </c>
      <c r="I915" s="2314">
        <f t="shared" si="380"/>
        <v>2044924.7219582703</v>
      </c>
      <c r="J915" s="2314">
        <f t="shared" si="380"/>
        <v>2085823.2163974356</v>
      </c>
      <c r="K915" s="2314">
        <f t="shared" si="380"/>
        <v>2127539.680725384</v>
      </c>
      <c r="N915" s="2160"/>
      <c r="O915" s="2160"/>
      <c r="Z915" s="357" t="s">
        <v>6469</v>
      </c>
      <c r="AA915" s="1750">
        <v>20</v>
      </c>
    </row>
    <row r="916" spans="1:27" ht="13.35" customHeight="1">
      <c r="A916" s="357" t="s">
        <v>572</v>
      </c>
      <c r="B916" s="2314">
        <f>'Part VI-Pro Forma'!B21</f>
        <v>-748360</v>
      </c>
      <c r="C916" s="2314">
        <f>'Part VI-Pro Forma'!C21</f>
        <v>-770810.8</v>
      </c>
      <c r="D916" s="2314">
        <f>'Part VI-Pro Forma'!D21</f>
        <v>-793935.12399999995</v>
      </c>
      <c r="E916" s="2314">
        <f>'Part VI-Pro Forma'!E21</f>
        <v>-817753.17772000004</v>
      </c>
      <c r="F916" s="2314">
        <f>'Part VI-Pro Forma'!F21</f>
        <v>-842285.77305159997</v>
      </c>
      <c r="G916" s="2314">
        <f>'Part VI-Pro Forma'!G21</f>
        <v>-867554.34624314785</v>
      </c>
      <c r="H916" s="2314">
        <f>'Part VI-Pro Forma'!H21</f>
        <v>-893580.97663044243</v>
      </c>
      <c r="I916" s="2314">
        <f>'Part VI-Pro Forma'!I21</f>
        <v>-920388.40592935565</v>
      </c>
      <c r="J916" s="2314">
        <f>'Part VI-Pro Forma'!J21</f>
        <v>-948000.05810723628</v>
      </c>
      <c r="K916" s="2314">
        <f>'Part VI-Pro Forma'!K21</f>
        <v>-976440.0598504534</v>
      </c>
      <c r="N916" s="2160"/>
      <c r="O916" s="2160"/>
      <c r="Q916" s="1750">
        <v>1</v>
      </c>
      <c r="R916" s="1903">
        <f>-B927</f>
        <v>0</v>
      </c>
      <c r="S916" s="1903">
        <f>B928+R916</f>
        <v>169796.1532004833</v>
      </c>
      <c r="Z916" s="357" t="s">
        <v>6469</v>
      </c>
      <c r="AA916" s="1750">
        <v>21</v>
      </c>
    </row>
    <row r="917" spans="1:27" ht="13.35" customHeight="1">
      <c r="A917" s="357" t="s">
        <v>1051</v>
      </c>
      <c r="B917" s="2314">
        <f>'Part VI-Pro Forma'!B22</f>
        <v>-115715</v>
      </c>
      <c r="C917" s="2314">
        <f>'Part VI-Pro Forma'!C22</f>
        <v>-118029</v>
      </c>
      <c r="D917" s="2314">
        <f>'Part VI-Pro Forma'!D22</f>
        <v>-120390</v>
      </c>
      <c r="E917" s="2314">
        <f>'Part VI-Pro Forma'!E22</f>
        <v>-122798</v>
      </c>
      <c r="F917" s="2314">
        <f>'Part VI-Pro Forma'!F22</f>
        <v>-125254</v>
      </c>
      <c r="G917" s="2314">
        <f>'Part VI-Pro Forma'!G22</f>
        <v>-127759</v>
      </c>
      <c r="H917" s="2314">
        <f>'Part VI-Pro Forma'!H22</f>
        <v>-130314</v>
      </c>
      <c r="I917" s="2314">
        <f>'Part VI-Pro Forma'!I22</f>
        <v>-132920</v>
      </c>
      <c r="J917" s="2314">
        <f>'Part VI-Pro Forma'!J22</f>
        <v>-135579</v>
      </c>
      <c r="K917" s="2314">
        <f>'Part VI-Pro Forma'!K22</f>
        <v>-138290</v>
      </c>
      <c r="N917" s="2160"/>
      <c r="O917" s="2160"/>
      <c r="Q917" s="1750">
        <v>2</v>
      </c>
      <c r="R917" s="1903">
        <f>-SUM(B927:C927)</f>
        <v>0</v>
      </c>
      <c r="S917" s="1903">
        <f>SUM(B928:C928)+R917</f>
        <v>349532.10702496674</v>
      </c>
      <c r="Z917" s="357" t="s">
        <v>6469</v>
      </c>
      <c r="AA917" s="1750">
        <v>22</v>
      </c>
    </row>
    <row r="918" spans="1:27" ht="13.35" customHeight="1">
      <c r="A918" s="357" t="s">
        <v>1129</v>
      </c>
      <c r="B918" s="2314">
        <f>'Part VI-Pro Forma'!B23</f>
        <v>-30000</v>
      </c>
      <c r="C918" s="2314">
        <f>'Part VI-Pro Forma'!C23</f>
        <v>-30900</v>
      </c>
      <c r="D918" s="2314">
        <f>'Part VI-Pro Forma'!D23</f>
        <v>-31827</v>
      </c>
      <c r="E918" s="2314">
        <f>'Part VI-Pro Forma'!E23</f>
        <v>-32781.81</v>
      </c>
      <c r="F918" s="2314">
        <f>'Part VI-Pro Forma'!F23</f>
        <v>-33765.264299999995</v>
      </c>
      <c r="G918" s="2314">
        <f>'Part VI-Pro Forma'!G23</f>
        <v>-34778.222228999992</v>
      </c>
      <c r="H918" s="2314">
        <f>'Part VI-Pro Forma'!H23</f>
        <v>-35821.568895869998</v>
      </c>
      <c r="I918" s="2314">
        <f>'Part VI-Pro Forma'!I23</f>
        <v>-36896.215962746101</v>
      </c>
      <c r="J918" s="2314">
        <f>'Part VI-Pro Forma'!J23</f>
        <v>-38003.102441628478</v>
      </c>
      <c r="K918" s="2314">
        <f>'Part VI-Pro Forma'!K23</f>
        <v>-39143.195514877334</v>
      </c>
      <c r="N918" s="2160"/>
      <c r="O918" s="2160"/>
      <c r="Q918" s="1750">
        <v>3</v>
      </c>
      <c r="R918" s="1903">
        <f>-SUM(B927:D927)</f>
        <v>0</v>
      </c>
      <c r="S918" s="1903">
        <f>SUM(B928:D928)+R918</f>
        <v>539172.42948593001</v>
      </c>
      <c r="Z918" s="357" t="s">
        <v>6469</v>
      </c>
      <c r="AA918" s="1750">
        <v>23</v>
      </c>
    </row>
    <row r="919" spans="1:27" ht="13.35" customHeight="1">
      <c r="A919" s="357" t="s">
        <v>3842</v>
      </c>
      <c r="B919" s="2315">
        <f>'Part VI-Pro Forma'!B24</f>
        <v>0</v>
      </c>
      <c r="C919" s="2315">
        <f>'Part VI-Pro Forma'!C24</f>
        <v>0</v>
      </c>
      <c r="D919" s="2315">
        <f>'Part VI-Pro Forma'!D24</f>
        <v>0</v>
      </c>
      <c r="E919" s="2315">
        <f>'Part VI-Pro Forma'!E24</f>
        <v>0</v>
      </c>
      <c r="F919" s="2315">
        <f>'Part VI-Pro Forma'!F24</f>
        <v>0</v>
      </c>
      <c r="G919" s="2315">
        <f>'Part VI-Pro Forma'!G24</f>
        <v>0</v>
      </c>
      <c r="H919" s="2315">
        <f>'Part VI-Pro Forma'!H24</f>
        <v>0</v>
      </c>
      <c r="I919" s="2315">
        <f>'Part VI-Pro Forma'!I24</f>
        <v>0</v>
      </c>
      <c r="J919" s="2315">
        <f>'Part VI-Pro Forma'!J24</f>
        <v>0</v>
      </c>
      <c r="K919" s="2315">
        <f>'Part VI-Pro Forma'!K24</f>
        <v>0</v>
      </c>
      <c r="N919" s="2160"/>
      <c r="O919" s="2160"/>
      <c r="Q919" s="1750">
        <v>4</v>
      </c>
      <c r="R919" s="1903">
        <f>-SUM(B927:E927)</f>
        <v>0</v>
      </c>
      <c r="S919" s="1903">
        <f>SUM(B928:E928)+R919</f>
        <v>738674.91471610265</v>
      </c>
      <c r="Z919" s="357" t="s">
        <v>6469</v>
      </c>
      <c r="AA919" s="1750">
        <v>24</v>
      </c>
    </row>
    <row r="920" spans="1:27" ht="13.35" customHeight="1">
      <c r="A920" s="357" t="s">
        <v>1130</v>
      </c>
      <c r="B920" s="2314">
        <f>SUM(B915:B919)</f>
        <v>886155.03120000008</v>
      </c>
      <c r="C920" s="2314">
        <f t="shared" ref="C920:K920" si="381">SUM(C915:C919)</f>
        <v>896094.83182400023</v>
      </c>
      <c r="D920" s="2314">
        <f t="shared" si="381"/>
        <v>905999.20046048006</v>
      </c>
      <c r="E920" s="2314">
        <f t="shared" si="381"/>
        <v>915861.36322968942</v>
      </c>
      <c r="F920" s="2314">
        <f t="shared" si="381"/>
        <v>925673.20061708346</v>
      </c>
      <c r="G920" s="2314">
        <f t="shared" si="381"/>
        <v>935426.23425590922</v>
      </c>
      <c r="H920" s="2314">
        <f t="shared" si="381"/>
        <v>945111.61325630581</v>
      </c>
      <c r="I920" s="2314">
        <f t="shared" si="381"/>
        <v>954720.10006616858</v>
      </c>
      <c r="J920" s="2314">
        <f t="shared" si="381"/>
        <v>964241.05584857101</v>
      </c>
      <c r="K920" s="2314">
        <f t="shared" si="381"/>
        <v>973666.42536005331</v>
      </c>
      <c r="N920" s="2160"/>
      <c r="O920" s="2160"/>
      <c r="Q920" s="1750">
        <v>5</v>
      </c>
      <c r="R920" s="1903">
        <f>-SUM(B927:F927)</f>
        <v>0</v>
      </c>
      <c r="S920" s="1903">
        <f>SUM(B928:F928)+R920</f>
        <v>947989.23733366933</v>
      </c>
      <c r="Z920" s="357" t="s">
        <v>6469</v>
      </c>
      <c r="AA920" s="1750">
        <v>25</v>
      </c>
    </row>
    <row r="921" spans="1:27" ht="13.35" customHeight="1">
      <c r="A921" s="357" t="s">
        <v>1487</v>
      </c>
      <c r="B921" s="2315">
        <f>'Part VI-Pro Forma'!B26</f>
        <v>-711358.87799951679</v>
      </c>
      <c r="C921" s="2315">
        <f>'Part VI-Pro Forma'!C26</f>
        <v>-711358.87799951679</v>
      </c>
      <c r="D921" s="2315">
        <f>'Part VI-Pro Forma'!D26</f>
        <v>-711358.87799951679</v>
      </c>
      <c r="E921" s="2315">
        <f>'Part VI-Pro Forma'!E26</f>
        <v>-711358.87799951679</v>
      </c>
      <c r="F921" s="2315">
        <f>'Part VI-Pro Forma'!F26</f>
        <v>-711358.87799951679</v>
      </c>
      <c r="G921" s="2315">
        <f>'Part VI-Pro Forma'!G26</f>
        <v>-711358.87799951679</v>
      </c>
      <c r="H921" s="2315">
        <f>'Part VI-Pro Forma'!H26</f>
        <v>-711358.87799951679</v>
      </c>
      <c r="I921" s="2315">
        <f>'Part VI-Pro Forma'!I26</f>
        <v>-711358.87799951679</v>
      </c>
      <c r="J921" s="2315">
        <f>'Part VI-Pro Forma'!J26</f>
        <v>-711358.87799951679</v>
      </c>
      <c r="K921" s="2315">
        <f>'Part VI-Pro Forma'!K26</f>
        <v>-711358.87799951679</v>
      </c>
      <c r="N921" s="2160"/>
      <c r="O921" s="2160"/>
      <c r="Q921" s="1750">
        <v>6</v>
      </c>
      <c r="R921" s="1903">
        <f>-SUM(B927:G927)</f>
        <v>0</v>
      </c>
      <c r="S921" s="1903">
        <f>SUM(B928:G928)+R921</f>
        <v>1167056.5935900616</v>
      </c>
      <c r="Z921" s="357" t="s">
        <v>6469</v>
      </c>
      <c r="AA921" s="1750">
        <v>26</v>
      </c>
    </row>
    <row r="922" spans="1:27" ht="13.35" customHeight="1">
      <c r="A922" s="357" t="s">
        <v>1488</v>
      </c>
      <c r="B922" s="2315">
        <f>'Part VI-Pro Forma'!B27</f>
        <v>0</v>
      </c>
      <c r="C922" s="2315">
        <f>'Part VI-Pro Forma'!C27</f>
        <v>0</v>
      </c>
      <c r="D922" s="2315">
        <f>'Part VI-Pro Forma'!D27</f>
        <v>0</v>
      </c>
      <c r="E922" s="2315">
        <f>'Part VI-Pro Forma'!E27</f>
        <v>0</v>
      </c>
      <c r="F922" s="2315">
        <f>'Part VI-Pro Forma'!F27</f>
        <v>0</v>
      </c>
      <c r="G922" s="2315">
        <f>'Part VI-Pro Forma'!G27</f>
        <v>0</v>
      </c>
      <c r="H922" s="2315">
        <f>'Part VI-Pro Forma'!H27</f>
        <v>0</v>
      </c>
      <c r="I922" s="2315">
        <f>'Part VI-Pro Forma'!I27</f>
        <v>0</v>
      </c>
      <c r="J922" s="2315">
        <f>'Part VI-Pro Forma'!J27</f>
        <v>0</v>
      </c>
      <c r="K922" s="2315">
        <f>'Part VI-Pro Forma'!K27</f>
        <v>0</v>
      </c>
      <c r="N922" s="2160"/>
      <c r="O922" s="2160"/>
      <c r="Q922" s="1750">
        <v>7</v>
      </c>
      <c r="R922" s="1903">
        <f>-SUM(B927:H927)</f>
        <v>0</v>
      </c>
      <c r="S922" s="1903">
        <f>SUM(B928:H928)+R922</f>
        <v>1395809.3288468507</v>
      </c>
      <c r="Z922" s="357" t="s">
        <v>6469</v>
      </c>
      <c r="AA922" s="1750">
        <v>27</v>
      </c>
    </row>
    <row r="923" spans="1:27" ht="13.35" customHeight="1">
      <c r="A923" s="357" t="s">
        <v>1489</v>
      </c>
      <c r="B923" s="2315">
        <f>'Part VI-Pro Forma'!B28</f>
        <v>0</v>
      </c>
      <c r="C923" s="2315">
        <f>'Part VI-Pro Forma'!C28</f>
        <v>0</v>
      </c>
      <c r="D923" s="2315">
        <f>'Part VI-Pro Forma'!D28</f>
        <v>0</v>
      </c>
      <c r="E923" s="2315">
        <f>'Part VI-Pro Forma'!E28</f>
        <v>0</v>
      </c>
      <c r="F923" s="2315">
        <f>'Part VI-Pro Forma'!F28</f>
        <v>0</v>
      </c>
      <c r="G923" s="2315">
        <f>'Part VI-Pro Forma'!G28</f>
        <v>0</v>
      </c>
      <c r="H923" s="2315">
        <f>'Part VI-Pro Forma'!H28</f>
        <v>0</v>
      </c>
      <c r="I923" s="2315">
        <f>'Part VI-Pro Forma'!I28</f>
        <v>0</v>
      </c>
      <c r="J923" s="2315">
        <f>'Part VI-Pro Forma'!J28</f>
        <v>0</v>
      </c>
      <c r="K923" s="2315">
        <f>'Part VI-Pro Forma'!K28</f>
        <v>0</v>
      </c>
      <c r="N923" s="2160"/>
      <c r="O923" s="2160"/>
      <c r="Q923" s="1750">
        <v>8</v>
      </c>
      <c r="R923" s="1903">
        <f>-SUM(B927:I927)</f>
        <v>0</v>
      </c>
      <c r="S923" s="1903">
        <f>SUM(B928:I928)+R923</f>
        <v>1634170.5509135025</v>
      </c>
      <c r="Z923" s="357" t="s">
        <v>6469</v>
      </c>
      <c r="AA923" s="1750">
        <v>28</v>
      </c>
    </row>
    <row r="924" spans="1:27" ht="13.35" customHeight="1">
      <c r="A924" s="357" t="s">
        <v>3288</v>
      </c>
      <c r="B924" s="2315">
        <f>'Part VI-Pro Forma'!B29</f>
        <v>0</v>
      </c>
      <c r="C924" s="2315">
        <f>'Part VI-Pro Forma'!C29</f>
        <v>0</v>
      </c>
      <c r="D924" s="2315">
        <f>'Part VI-Pro Forma'!D29</f>
        <v>0</v>
      </c>
      <c r="E924" s="2315">
        <f>'Part VI-Pro Forma'!E29</f>
        <v>0</v>
      </c>
      <c r="F924" s="2315">
        <f>'Part VI-Pro Forma'!F29</f>
        <v>0</v>
      </c>
      <c r="G924" s="2315">
        <f>'Part VI-Pro Forma'!G29</f>
        <v>0</v>
      </c>
      <c r="H924" s="2315">
        <f>'Part VI-Pro Forma'!H29</f>
        <v>0</v>
      </c>
      <c r="I924" s="2315">
        <f>'Part VI-Pro Forma'!I29</f>
        <v>0</v>
      </c>
      <c r="J924" s="2315">
        <f>'Part VI-Pro Forma'!J29</f>
        <v>0</v>
      </c>
      <c r="K924" s="2315">
        <f>'Part VI-Pro Forma'!K29</f>
        <v>0</v>
      </c>
      <c r="N924" s="2160"/>
      <c r="O924" s="2160"/>
      <c r="Q924" s="1750">
        <v>9</v>
      </c>
      <c r="R924" s="1903">
        <f>-SUM(B927:J927)</f>
        <v>0</v>
      </c>
      <c r="S924" s="1903">
        <f>SUM(B928:J928)+R924</f>
        <v>1882052.7287625568</v>
      </c>
      <c r="Z924" s="357" t="s">
        <v>6469</v>
      </c>
      <c r="AA924" s="1750">
        <v>29</v>
      </c>
    </row>
    <row r="925" spans="1:27" ht="13.35" customHeight="1">
      <c r="A925" s="357" t="s">
        <v>711</v>
      </c>
      <c r="B925" s="2315">
        <f>'Part VI-Pro Forma'!B30</f>
        <v>0</v>
      </c>
      <c r="C925" s="2315">
        <f>'Part VI-Pro Forma'!C30</f>
        <v>0</v>
      </c>
      <c r="D925" s="2315">
        <f>'Part VI-Pro Forma'!D30</f>
        <v>0</v>
      </c>
      <c r="E925" s="2315">
        <f>'Part VI-Pro Forma'!E30</f>
        <v>0</v>
      </c>
      <c r="F925" s="2315">
        <f>'Part VI-Pro Forma'!F30</f>
        <v>0</v>
      </c>
      <c r="G925" s="2315">
        <f>'Part VI-Pro Forma'!G30</f>
        <v>0</v>
      </c>
      <c r="H925" s="2315">
        <f>'Part VI-Pro Forma'!H30</f>
        <v>0</v>
      </c>
      <c r="I925" s="2315">
        <f>'Part VI-Pro Forma'!I30</f>
        <v>0</v>
      </c>
      <c r="J925" s="2315">
        <f>'Part VI-Pro Forma'!J30</f>
        <v>0</v>
      </c>
      <c r="K925" s="2315">
        <f>'Part VI-Pro Forma'!K30</f>
        <v>0</v>
      </c>
      <c r="N925" s="2160"/>
      <c r="O925" s="2160"/>
      <c r="Q925" s="1750">
        <v>10</v>
      </c>
      <c r="R925" s="1903">
        <f>-SUM(B927:K927)</f>
        <v>0</v>
      </c>
      <c r="S925" s="1903">
        <f>SUM(B928:K928)+R925</f>
        <v>2139360.2761230934</v>
      </c>
      <c r="Z925" s="357" t="s">
        <v>6469</v>
      </c>
      <c r="AA925" s="1750">
        <v>30</v>
      </c>
    </row>
    <row r="926" spans="1:27" ht="13.35" customHeight="1">
      <c r="A926" s="357" t="s">
        <v>1096</v>
      </c>
      <c r="B926" s="2315">
        <f>'Part VI-Pro Forma'!B31</f>
        <v>-5000</v>
      </c>
      <c r="C926" s="2315">
        <f>'Part VI-Pro Forma'!C31</f>
        <v>-5000</v>
      </c>
      <c r="D926" s="2315">
        <f>'Part VI-Pro Forma'!D31</f>
        <v>-5000</v>
      </c>
      <c r="E926" s="2315">
        <f>'Part VI-Pro Forma'!E31</f>
        <v>-5000</v>
      </c>
      <c r="F926" s="2315">
        <f>'Part VI-Pro Forma'!F31</f>
        <v>-5000</v>
      </c>
      <c r="G926" s="2315">
        <f>'Part VI-Pro Forma'!G31</f>
        <v>-5000</v>
      </c>
      <c r="H926" s="2315">
        <f>'Part VI-Pro Forma'!H31</f>
        <v>-5000</v>
      </c>
      <c r="I926" s="2315">
        <f>'Part VI-Pro Forma'!I31</f>
        <v>-5000</v>
      </c>
      <c r="J926" s="2315">
        <f>'Part VI-Pro Forma'!J31</f>
        <v>-5000</v>
      </c>
      <c r="K926" s="2315">
        <f>'Part VI-Pro Forma'!K31</f>
        <v>-5000</v>
      </c>
      <c r="N926" s="2160"/>
      <c r="O926" s="2160"/>
      <c r="Q926" s="1750">
        <v>11</v>
      </c>
      <c r="R926" s="1903">
        <f>-SUM(B927:K927)-B959</f>
        <v>0</v>
      </c>
      <c r="S926" s="1903">
        <f>SUM(B928:K928)+B960+R926</f>
        <v>2405985.1194371781</v>
      </c>
      <c r="Z926" s="357" t="s">
        <v>6469</v>
      </c>
      <c r="AA926" s="1750">
        <v>31</v>
      </c>
    </row>
    <row r="927" spans="1:27" ht="13.35" customHeight="1">
      <c r="A927" s="357" t="s">
        <v>3366</v>
      </c>
      <c r="B927" s="2315">
        <f>'Part VI-Pro Forma'!B32</f>
        <v>0</v>
      </c>
      <c r="C927" s="2315">
        <f>'Part VI-Pro Forma'!C32</f>
        <v>0</v>
      </c>
      <c r="D927" s="2315">
        <f>'Part VI-Pro Forma'!D32</f>
        <v>0</v>
      </c>
      <c r="E927" s="2315">
        <f>'Part VI-Pro Forma'!E32</f>
        <v>0</v>
      </c>
      <c r="F927" s="2315">
        <f>'Part VI-Pro Forma'!F32</f>
        <v>0</v>
      </c>
      <c r="G927" s="2315">
        <f>'Part VI-Pro Forma'!G32</f>
        <v>0</v>
      </c>
      <c r="H927" s="2315">
        <f>'Part VI-Pro Forma'!H32</f>
        <v>0</v>
      </c>
      <c r="I927" s="2315">
        <f>'Part VI-Pro Forma'!I32</f>
        <v>0</v>
      </c>
      <c r="J927" s="2315">
        <f>'Part VI-Pro Forma'!J32</f>
        <v>0</v>
      </c>
      <c r="K927" s="2315">
        <f>'Part VI-Pro Forma'!K32</f>
        <v>0</v>
      </c>
      <c r="N927" s="2160"/>
      <c r="O927" s="2160"/>
      <c r="Q927" s="1750">
        <v>12</v>
      </c>
      <c r="R927" s="1903">
        <f>-SUM(B927:K927) - SUM(B959:C959)</f>
        <v>0</v>
      </c>
      <c r="S927" s="1903">
        <f>SUM(B928:K928) + SUM(B960:C960)+R927</f>
        <v>2681809.2496472718</v>
      </c>
      <c r="Z927" s="357" t="s">
        <v>6469</v>
      </c>
      <c r="AA927" s="1750">
        <v>32</v>
      </c>
    </row>
    <row r="928" spans="1:27" ht="13.35" customHeight="1">
      <c r="A928" s="357" t="s">
        <v>1097</v>
      </c>
      <c r="B928" s="2314">
        <f t="shared" ref="B928:K928" si="382">SUM(B920:B927)</f>
        <v>169796.1532004833</v>
      </c>
      <c r="C928" s="2314">
        <f t="shared" si="382"/>
        <v>179735.95382448344</v>
      </c>
      <c r="D928" s="2314">
        <f t="shared" si="382"/>
        <v>189640.32246096327</v>
      </c>
      <c r="E928" s="2314">
        <f t="shared" si="382"/>
        <v>199502.48523017264</v>
      </c>
      <c r="F928" s="2314">
        <f t="shared" si="382"/>
        <v>209314.32261756668</v>
      </c>
      <c r="G928" s="2314">
        <f t="shared" si="382"/>
        <v>219067.35625639244</v>
      </c>
      <c r="H928" s="2314">
        <f t="shared" si="382"/>
        <v>228752.73525678902</v>
      </c>
      <c r="I928" s="2314">
        <f t="shared" si="382"/>
        <v>238361.2220666518</v>
      </c>
      <c r="J928" s="2314">
        <f t="shared" si="382"/>
        <v>247882.17784905422</v>
      </c>
      <c r="K928" s="2314">
        <f t="shared" si="382"/>
        <v>257307.54736053653</v>
      </c>
      <c r="N928" s="2160"/>
      <c r="O928" s="2160"/>
      <c r="Q928" s="1750">
        <v>13</v>
      </c>
      <c r="R928" s="1903">
        <f>-SUM(B927:K927) - SUM(B959:D959)</f>
        <v>0</v>
      </c>
      <c r="S928" s="1903">
        <f>SUM(B928:K928) + SUM(B960:D960)+R928</f>
        <v>2966702.2572653871</v>
      </c>
      <c r="Z928" s="357" t="s">
        <v>6469</v>
      </c>
      <c r="AA928" s="1750">
        <v>33</v>
      </c>
    </row>
    <row r="929" spans="1:27" ht="13.35" customHeight="1">
      <c r="A929" s="357" t="str">
        <f>IF('Part II-Sources of Funds'!$E$40 = "Neither", "", "DCR Mortgage A")</f>
        <v>DCR Mortgage A</v>
      </c>
      <c r="B929" s="2316">
        <f t="shared" ref="B929:K929" si="383">IF(B921=0,"",-B920/B921)</f>
        <v>1.2457214756242938</v>
      </c>
      <c r="C929" s="2316">
        <f t="shared" si="383"/>
        <v>1.2596944517568935</v>
      </c>
      <c r="D929" s="2316">
        <f t="shared" si="383"/>
        <v>1.2736176190115609</v>
      </c>
      <c r="E929" s="2316">
        <f t="shared" si="383"/>
        <v>1.2874814549377305</v>
      </c>
      <c r="F929" s="2316">
        <f t="shared" si="383"/>
        <v>1.3012745454449959</v>
      </c>
      <c r="G929" s="2316">
        <f t="shared" si="383"/>
        <v>1.314984971982798</v>
      </c>
      <c r="H929" s="2316">
        <f t="shared" si="383"/>
        <v>1.3286002923224187</v>
      </c>
      <c r="I929" s="2316">
        <f t="shared" si="383"/>
        <v>1.3421075206807458</v>
      </c>
      <c r="J929" s="2316">
        <f t="shared" si="383"/>
        <v>1.3554917014042327</v>
      </c>
      <c r="K929" s="2316">
        <f t="shared" si="383"/>
        <v>1.3687415107522067</v>
      </c>
      <c r="N929" s="2160"/>
      <c r="O929" s="2160"/>
      <c r="Q929" s="1750">
        <v>14</v>
      </c>
      <c r="R929" s="1903">
        <f>-SUM(B927:K927) - SUM(B959:E959)</f>
        <v>0</v>
      </c>
      <c r="S929" s="1903">
        <f>SUM(B928:K928) + SUM(B960:E960)+R929</f>
        <v>3260522.8501569992</v>
      </c>
      <c r="Z929" s="357" t="s">
        <v>6469</v>
      </c>
      <c r="AA929" s="1750">
        <v>34</v>
      </c>
    </row>
    <row r="930" spans="1:27" ht="13.35" customHeight="1">
      <c r="A930" s="357" t="str">
        <f>IF('Part II-Sources of Funds'!$E$40 = "Neither", "", "DCR Mortgage B")</f>
        <v>DCR Mortgage B</v>
      </c>
      <c r="B930" s="2316" t="str">
        <f t="shared" ref="B930:K930" si="384">IF(B922=0,"",-(B920+B921)/B922)</f>
        <v/>
      </c>
      <c r="C930" s="2316" t="str">
        <f t="shared" si="384"/>
        <v/>
      </c>
      <c r="D930" s="2316" t="str">
        <f t="shared" si="384"/>
        <v/>
      </c>
      <c r="E930" s="2316" t="str">
        <f t="shared" si="384"/>
        <v/>
      </c>
      <c r="F930" s="2316" t="str">
        <f t="shared" si="384"/>
        <v/>
      </c>
      <c r="G930" s="2316" t="str">
        <f t="shared" si="384"/>
        <v/>
      </c>
      <c r="H930" s="2316" t="str">
        <f t="shared" si="384"/>
        <v/>
      </c>
      <c r="I930" s="2316" t="str">
        <f t="shared" si="384"/>
        <v/>
      </c>
      <c r="J930" s="2316" t="str">
        <f t="shared" si="384"/>
        <v/>
      </c>
      <c r="K930" s="2316" t="str">
        <f t="shared" si="384"/>
        <v/>
      </c>
      <c r="N930" s="2160"/>
      <c r="O930" s="2160"/>
      <c r="Q930" s="1750">
        <v>15</v>
      </c>
      <c r="R930" s="1903">
        <f>-SUM(B927:K927) - SUM(B959:F959)</f>
        <v>0</v>
      </c>
      <c r="S930" s="1903">
        <f>SUM(B928:K928) + SUM(B960:F960)+R930</f>
        <v>3563117.3534544124</v>
      </c>
      <c r="Z930" s="357" t="s">
        <v>6469</v>
      </c>
      <c r="AA930" s="1750">
        <v>35</v>
      </c>
    </row>
    <row r="931" spans="1:27" ht="13.35" customHeight="1">
      <c r="A931" s="357" t="str">
        <f>IF('Part II-Sources of Funds'!$E$40 = "Neither", "DCR First Mortgage", "DCR Mortgage C")</f>
        <v>DCR Mortgage C</v>
      </c>
      <c r="B931" s="2316" t="str">
        <f t="shared" ref="B931:K931" si="385">IF(B923=0,"",-(B920+B921+B922)/B923)</f>
        <v/>
      </c>
      <c r="C931" s="2316" t="str">
        <f t="shared" si="385"/>
        <v/>
      </c>
      <c r="D931" s="2316" t="str">
        <f t="shared" si="385"/>
        <v/>
      </c>
      <c r="E931" s="2316" t="str">
        <f t="shared" si="385"/>
        <v/>
      </c>
      <c r="F931" s="2316" t="str">
        <f t="shared" si="385"/>
        <v/>
      </c>
      <c r="G931" s="2316" t="str">
        <f t="shared" si="385"/>
        <v/>
      </c>
      <c r="H931" s="2316" t="str">
        <f t="shared" si="385"/>
        <v/>
      </c>
      <c r="I931" s="2316" t="str">
        <f t="shared" si="385"/>
        <v/>
      </c>
      <c r="J931" s="2316" t="str">
        <f t="shared" si="385"/>
        <v/>
      </c>
      <c r="K931" s="2316" t="str">
        <f t="shared" si="385"/>
        <v/>
      </c>
      <c r="N931" s="2160"/>
      <c r="O931" s="2160"/>
      <c r="Q931" s="1750">
        <v>16</v>
      </c>
      <c r="R931" s="1903">
        <f>-SUM(B927:K927) - SUM(B959:G959)</f>
        <v>0</v>
      </c>
      <c r="S931" s="1903">
        <f>SUM(B928:K928) + SUM(B960:G960)+R931</f>
        <v>3874317.1909953812</v>
      </c>
      <c r="Z931" s="357" t="s">
        <v>6469</v>
      </c>
      <c r="AA931" s="1750">
        <v>36</v>
      </c>
    </row>
    <row r="932" spans="1:27" ht="13.35" customHeight="1">
      <c r="A932" s="357" t="s">
        <v>729</v>
      </c>
      <c r="B932" s="2316" t="str">
        <f t="shared" ref="B932:K932" si="386">IF(B924=0,"",-(B920+B921+B922+B923)/B924)</f>
        <v/>
      </c>
      <c r="C932" s="2316" t="str">
        <f t="shared" si="386"/>
        <v/>
      </c>
      <c r="D932" s="2316" t="str">
        <f t="shared" si="386"/>
        <v/>
      </c>
      <c r="E932" s="2316" t="str">
        <f t="shared" si="386"/>
        <v/>
      </c>
      <c r="F932" s="2316" t="str">
        <f t="shared" si="386"/>
        <v/>
      </c>
      <c r="G932" s="2316" t="str">
        <f t="shared" si="386"/>
        <v/>
      </c>
      <c r="H932" s="2316" t="str">
        <f t="shared" si="386"/>
        <v/>
      </c>
      <c r="I932" s="2316" t="str">
        <f t="shared" si="386"/>
        <v/>
      </c>
      <c r="J932" s="2316" t="str">
        <f t="shared" si="386"/>
        <v/>
      </c>
      <c r="K932" s="2316" t="str">
        <f t="shared" si="386"/>
        <v/>
      </c>
      <c r="N932" s="2160"/>
      <c r="O932" s="2160"/>
      <c r="Q932" s="1750">
        <v>17</v>
      </c>
      <c r="R932" s="1903">
        <f>-SUM(B927:K927) - SUM(B959:H959)</f>
        <v>0</v>
      </c>
      <c r="S932" s="1903">
        <f>SUM(B928:K928) + SUM(B960:H960)+R932</f>
        <v>4193941.3476633071</v>
      </c>
      <c r="Z932" s="357" t="s">
        <v>6469</v>
      </c>
      <c r="AA932" s="1750">
        <v>37</v>
      </c>
    </row>
    <row r="933" spans="1:27" ht="13.35" customHeight="1">
      <c r="A933" s="357" t="s">
        <v>3217</v>
      </c>
      <c r="B933" s="2316">
        <f t="shared" ref="B933:K933" si="387">IF(AND(B921=0,B922=0,B923=0,B924=0),"",-B920/(B921+B922+B923+B924))</f>
        <v>1.2457214756242938</v>
      </c>
      <c r="C933" s="2316">
        <f t="shared" si="387"/>
        <v>1.2596944517568935</v>
      </c>
      <c r="D933" s="2316">
        <f t="shared" si="387"/>
        <v>1.2736176190115609</v>
      </c>
      <c r="E933" s="2316">
        <f t="shared" si="387"/>
        <v>1.2874814549377305</v>
      </c>
      <c r="F933" s="2316">
        <f t="shared" si="387"/>
        <v>1.3012745454449959</v>
      </c>
      <c r="G933" s="2316">
        <f t="shared" si="387"/>
        <v>1.314984971982798</v>
      </c>
      <c r="H933" s="2316">
        <f t="shared" si="387"/>
        <v>1.3286002923224187</v>
      </c>
      <c r="I933" s="2316">
        <f t="shared" si="387"/>
        <v>1.3421075206807458</v>
      </c>
      <c r="J933" s="2316">
        <f t="shared" si="387"/>
        <v>1.3554917014042327</v>
      </c>
      <c r="K933" s="2316">
        <f t="shared" si="387"/>
        <v>1.3687415107522067</v>
      </c>
      <c r="N933" s="2160"/>
      <c r="O933" s="2160"/>
      <c r="Q933" s="1750">
        <v>18</v>
      </c>
      <c r="R933" s="1903">
        <f>-SUM(B927:K927) - SUM(B959:I959)</f>
        <v>0</v>
      </c>
      <c r="S933" s="1903">
        <f>SUM(B928:K928) + SUM(B960:I960)+R933</f>
        <v>4521794.8119852124</v>
      </c>
      <c r="Z933" s="357" t="s">
        <v>6469</v>
      </c>
      <c r="AA933" s="1750">
        <v>38</v>
      </c>
    </row>
    <row r="934" spans="1:27" ht="13.35" customHeight="1">
      <c r="A934" s="357" t="s">
        <v>718</v>
      </c>
      <c r="B934" s="2317">
        <f>'Part VI-Pro Forma'!B39</f>
        <v>1.9911417176411377</v>
      </c>
      <c r="C934" s="2317">
        <f>'Part VI-Pro Forma'!C39</f>
        <v>1.9742916766502876</v>
      </c>
      <c r="D934" s="2317">
        <f>'Part VI-Pro Forma'!D39</f>
        <v>1.9575618734862978</v>
      </c>
      <c r="E934" s="2317">
        <f>'Part VI-Pro Forma'!E39</f>
        <v>1.9409537894889024</v>
      </c>
      <c r="F934" s="2317">
        <f>'Part VI-Pro Forma'!F39</f>
        <v>1.9244667369949933</v>
      </c>
      <c r="G934" s="2317">
        <f>'Part VI-Pro Forma'!G39</f>
        <v>1.9081000785622892</v>
      </c>
      <c r="H934" s="2317">
        <f>'Part VI-Pro Forma'!H39</f>
        <v>1.8918532198503255</v>
      </c>
      <c r="I934" s="2317">
        <f>'Part VI-Pro Forma'!I39</f>
        <v>1.8757256031525591</v>
      </c>
      <c r="J934" s="2317">
        <f>'Part VI-Pro Forma'!J39</f>
        <v>1.8597150434139424</v>
      </c>
      <c r="K934" s="2317">
        <f>'Part VI-Pro Forma'!K39</f>
        <v>1.8438244155782761</v>
      </c>
      <c r="N934" s="2160"/>
      <c r="O934" s="2160"/>
      <c r="Q934" s="1750">
        <v>19</v>
      </c>
      <c r="R934" s="1903">
        <f>-SUM(B927:K927) - SUM(B959:J959)</f>
        <v>0</v>
      </c>
      <c r="S934" s="1903">
        <f>SUM(B928:K928) + SUM(B960:J960)+R934</f>
        <v>4857667.9983229954</v>
      </c>
      <c r="Z934" s="357" t="s">
        <v>6469</v>
      </c>
      <c r="AA934" s="1750">
        <v>39</v>
      </c>
    </row>
    <row r="935" spans="1:27" ht="13.35" customHeight="1">
      <c r="A935" s="357" t="s">
        <v>2406</v>
      </c>
      <c r="B935" s="2315">
        <f>'Part VI-Pro Forma'!B40</f>
        <v>10438434.797528258</v>
      </c>
      <c r="C935" s="2315">
        <f>'Part VI-Pro Forma'!C40</f>
        <v>10372938.937054643</v>
      </c>
      <c r="D935" s="2315">
        <f>'Part VI-Pro Forma'!D40</f>
        <v>10303261.4639537</v>
      </c>
      <c r="E935" s="2315">
        <f>'Part VI-Pro Forma'!E40</f>
        <v>10229135.401289195</v>
      </c>
      <c r="F935" s="2315">
        <f>'Part VI-Pro Forma'!F40</f>
        <v>10150276.726862499</v>
      </c>
      <c r="G935" s="2315">
        <f>'Part VI-Pro Forma'!G40</f>
        <v>10066383.284950154</v>
      </c>
      <c r="H935" s="2315">
        <f>'Part VI-Pro Forma'!H40</f>
        <v>9977133.6285608299</v>
      </c>
      <c r="I935" s="2315">
        <f>'Part VI-Pro Forma'!I40</f>
        <v>9882185.7877756711</v>
      </c>
      <c r="J935" s="2315">
        <f>'Part VI-Pro Forma'!J40</f>
        <v>9781175.9594527669</v>
      </c>
      <c r="K935" s="2315">
        <f>'Part VI-Pro Forma'!K40</f>
        <v>9673717.1132752188</v>
      </c>
      <c r="N935" s="2160"/>
      <c r="O935" s="2160"/>
      <c r="Q935" s="1750">
        <v>20</v>
      </c>
      <c r="R935" s="1903">
        <f>-SUM(B927:K927) - SUM(B959:K959)</f>
        <v>0</v>
      </c>
      <c r="S935" s="1903">
        <f>SUM(B928:K928) + SUM(B960:K960)+R935</f>
        <v>5201334.1479720576</v>
      </c>
      <c r="Z935" s="357" t="s">
        <v>6469</v>
      </c>
      <c r="AA935" s="1750">
        <v>40</v>
      </c>
    </row>
    <row r="936" spans="1:27" ht="13.35" customHeight="1">
      <c r="A936" s="357" t="s">
        <v>2407</v>
      </c>
      <c r="B936" s="2315" t="str">
        <f>'Part VI-Pro Forma'!B41</f>
        <v/>
      </c>
      <c r="C936" s="2315" t="str">
        <f>'Part VI-Pro Forma'!C41</f>
        <v/>
      </c>
      <c r="D936" s="2315" t="str">
        <f>'Part VI-Pro Forma'!D41</f>
        <v/>
      </c>
      <c r="E936" s="2315" t="str">
        <f>'Part VI-Pro Forma'!E41</f>
        <v/>
      </c>
      <c r="F936" s="2315" t="str">
        <f>'Part VI-Pro Forma'!F41</f>
        <v/>
      </c>
      <c r="G936" s="2315" t="str">
        <f>'Part VI-Pro Forma'!G41</f>
        <v/>
      </c>
      <c r="H936" s="2315" t="str">
        <f>'Part VI-Pro Forma'!H41</f>
        <v/>
      </c>
      <c r="I936" s="2315" t="str">
        <f>'Part VI-Pro Forma'!I41</f>
        <v/>
      </c>
      <c r="J936" s="2315" t="str">
        <f>'Part VI-Pro Forma'!J41</f>
        <v/>
      </c>
      <c r="K936" s="2315" t="str">
        <f>'Part VI-Pro Forma'!K41</f>
        <v/>
      </c>
      <c r="N936" s="2160"/>
      <c r="O936" s="2160"/>
      <c r="Z936" s="357" t="s">
        <v>6469</v>
      </c>
      <c r="AA936" s="1750">
        <v>41</v>
      </c>
    </row>
    <row r="937" spans="1:27" ht="13.35" customHeight="1">
      <c r="A937" s="357" t="s">
        <v>2408</v>
      </c>
      <c r="B937" s="2315" t="str">
        <f>'Part VI-Pro Forma'!B42</f>
        <v/>
      </c>
      <c r="C937" s="2315" t="str">
        <f>'Part VI-Pro Forma'!C42</f>
        <v/>
      </c>
      <c r="D937" s="2315" t="str">
        <f>'Part VI-Pro Forma'!D42</f>
        <v/>
      </c>
      <c r="E937" s="2315" t="str">
        <f>'Part VI-Pro Forma'!E42</f>
        <v/>
      </c>
      <c r="F937" s="2315" t="str">
        <f>'Part VI-Pro Forma'!F42</f>
        <v/>
      </c>
      <c r="G937" s="2315" t="str">
        <f>'Part VI-Pro Forma'!G42</f>
        <v/>
      </c>
      <c r="H937" s="2315" t="str">
        <f>'Part VI-Pro Forma'!H42</f>
        <v/>
      </c>
      <c r="I937" s="2315" t="str">
        <f>'Part VI-Pro Forma'!I42</f>
        <v/>
      </c>
      <c r="J937" s="2315" t="str">
        <f>'Part VI-Pro Forma'!J42</f>
        <v/>
      </c>
      <c r="K937" s="2315" t="str">
        <f>'Part VI-Pro Forma'!K42</f>
        <v/>
      </c>
      <c r="N937" s="2160"/>
      <c r="O937" s="2160"/>
      <c r="Z937" s="357" t="s">
        <v>6469</v>
      </c>
      <c r="AA937" s="1750">
        <v>42</v>
      </c>
    </row>
    <row r="938" spans="1:27" ht="13.35" customHeight="1">
      <c r="A938" s="357" t="s">
        <v>730</v>
      </c>
      <c r="B938" s="2315" t="str">
        <f>'Part VI-Pro Forma'!B43</f>
        <v/>
      </c>
      <c r="C938" s="2315" t="str">
        <f>'Part VI-Pro Forma'!C43</f>
        <v/>
      </c>
      <c r="D938" s="2315" t="str">
        <f>'Part VI-Pro Forma'!D43</f>
        <v/>
      </c>
      <c r="E938" s="2315" t="str">
        <f>'Part VI-Pro Forma'!E43</f>
        <v/>
      </c>
      <c r="F938" s="2315" t="str">
        <f>'Part VI-Pro Forma'!F43</f>
        <v/>
      </c>
      <c r="G938" s="2315" t="str">
        <f>'Part VI-Pro Forma'!G43</f>
        <v/>
      </c>
      <c r="H938" s="2315" t="str">
        <f>'Part VI-Pro Forma'!H43</f>
        <v/>
      </c>
      <c r="I938" s="2315" t="str">
        <f>'Part VI-Pro Forma'!I43</f>
        <v/>
      </c>
      <c r="J938" s="2315" t="str">
        <f>'Part VI-Pro Forma'!J43</f>
        <v/>
      </c>
      <c r="K938" s="2315" t="str">
        <f>'Part VI-Pro Forma'!K43</f>
        <v/>
      </c>
      <c r="N938" s="2160"/>
      <c r="O938" s="2160"/>
      <c r="Z938" s="357" t="s">
        <v>6469</v>
      </c>
      <c r="AA938" s="1750">
        <v>43</v>
      </c>
    </row>
    <row r="939" spans="1:27" ht="13.35" customHeight="1">
      <c r="A939" s="357" t="s">
        <v>3367</v>
      </c>
      <c r="B939" s="2315" t="str">
        <f>'Part VI-Pro Forma'!B44</f>
        <v/>
      </c>
      <c r="C939" s="2315" t="str">
        <f>'Part VI-Pro Forma'!C44</f>
        <v/>
      </c>
      <c r="D939" s="2315" t="str">
        <f>'Part VI-Pro Forma'!D44</f>
        <v/>
      </c>
      <c r="E939" s="2315" t="str">
        <f>'Part VI-Pro Forma'!E44</f>
        <v/>
      </c>
      <c r="F939" s="2315" t="str">
        <f>'Part VI-Pro Forma'!F44</f>
        <v/>
      </c>
      <c r="G939" s="2315" t="str">
        <f>'Part VI-Pro Forma'!G44</f>
        <v/>
      </c>
      <c r="H939" s="2315" t="str">
        <f>'Part VI-Pro Forma'!H44</f>
        <v/>
      </c>
      <c r="I939" s="2315" t="str">
        <f>'Part VI-Pro Forma'!I44</f>
        <v/>
      </c>
      <c r="J939" s="2315" t="str">
        <f>'Part VI-Pro Forma'!J44</f>
        <v/>
      </c>
      <c r="K939" s="2315" t="str">
        <f>'Part VI-Pro Forma'!K44</f>
        <v/>
      </c>
      <c r="N939" s="2160"/>
      <c r="O939" s="2160"/>
      <c r="Z939" s="357" t="s">
        <v>6469</v>
      </c>
      <c r="AA939" s="1750">
        <v>44</v>
      </c>
    </row>
    <row r="940" spans="1:27" ht="4.3499999999999996" customHeight="1">
      <c r="B940" s="2314"/>
      <c r="C940" s="2314"/>
      <c r="D940" s="2314"/>
      <c r="E940" s="2314"/>
      <c r="F940" s="2314"/>
      <c r="G940" s="2314"/>
      <c r="H940" s="2314"/>
      <c r="I940" s="2314"/>
      <c r="J940" s="2314"/>
      <c r="K940" s="2314"/>
      <c r="AA940" s="1750">
        <v>45</v>
      </c>
    </row>
    <row r="941" spans="1:27" ht="14.45" customHeight="1">
      <c r="A941" s="357" t="s">
        <v>2285</v>
      </c>
      <c r="B941" s="2314">
        <f>K909+1</f>
        <v>11</v>
      </c>
      <c r="C941" s="2314">
        <f t="shared" ref="C941:K941" si="388">B941+1</f>
        <v>12</v>
      </c>
      <c r="D941" s="2314">
        <f t="shared" si="388"/>
        <v>13</v>
      </c>
      <c r="E941" s="2314">
        <f t="shared" si="388"/>
        <v>14</v>
      </c>
      <c r="F941" s="2314">
        <f t="shared" si="388"/>
        <v>15</v>
      </c>
      <c r="G941" s="2314">
        <f t="shared" si="388"/>
        <v>16</v>
      </c>
      <c r="H941" s="2314">
        <f t="shared" si="388"/>
        <v>17</v>
      </c>
      <c r="I941" s="2314">
        <f t="shared" si="388"/>
        <v>18</v>
      </c>
      <c r="J941" s="2314">
        <f t="shared" si="388"/>
        <v>19</v>
      </c>
      <c r="K941" s="2314">
        <f t="shared" si="388"/>
        <v>20</v>
      </c>
      <c r="N941" s="357" t="s">
        <v>2410</v>
      </c>
      <c r="AA941" s="1750">
        <v>46</v>
      </c>
    </row>
    <row r="942" spans="1:27" ht="13.35" customHeight="1">
      <c r="A942" s="357" t="s">
        <v>2216</v>
      </c>
      <c r="B942" s="2314">
        <f>'Part VI-Pro Forma'!B47</f>
        <v>2287677.0760488007</v>
      </c>
      <c r="C942" s="2314">
        <f>'Part VI-Pro Forma'!C47</f>
        <v>2333430.6175697763</v>
      </c>
      <c r="D942" s="2314">
        <f>'Part VI-Pro Forma'!D47</f>
        <v>2380099.2299211724</v>
      </c>
      <c r="E942" s="2314">
        <f>'Part VI-Pro Forma'!E47</f>
        <v>2427701.2145195953</v>
      </c>
      <c r="F942" s="2314">
        <f>'Part VI-Pro Forma'!F47</f>
        <v>2476255.2388099874</v>
      </c>
      <c r="G942" s="2314">
        <f>'Part VI-Pro Forma'!G47</f>
        <v>2525780.3435861869</v>
      </c>
      <c r="H942" s="2314">
        <f>'Part VI-Pro Forma'!H47</f>
        <v>2576295.950457911</v>
      </c>
      <c r="I942" s="2314">
        <f>'Part VI-Pro Forma'!I47</f>
        <v>2627821.8694670694</v>
      </c>
      <c r="J942" s="2314">
        <f>'Part VI-Pro Forma'!J47</f>
        <v>2680378.3068564106</v>
      </c>
      <c r="K942" s="2314">
        <f>'Part VI-Pro Forma'!K47</f>
        <v>2733985.8729935386</v>
      </c>
      <c r="N942" s="2160"/>
      <c r="O942" s="2160"/>
      <c r="Z942" s="357" t="s">
        <v>6470</v>
      </c>
      <c r="AA942" s="1750">
        <v>47</v>
      </c>
    </row>
    <row r="943" spans="1:27" ht="13.35" customHeight="1">
      <c r="A943" s="357" t="s">
        <v>953</v>
      </c>
      <c r="B943" s="2314">
        <f>'Part VI-Pro Forma'!B48</f>
        <v>45753.541520976018</v>
      </c>
      <c r="C943" s="2314">
        <f>'Part VI-Pro Forma'!C48</f>
        <v>46668.612351395532</v>
      </c>
      <c r="D943" s="2314">
        <f>'Part VI-Pro Forma'!D48</f>
        <v>47601.984598423449</v>
      </c>
      <c r="E943" s="2314">
        <f>'Part VI-Pro Forma'!E48</f>
        <v>48554.024290391913</v>
      </c>
      <c r="F943" s="2314">
        <f>'Part VI-Pro Forma'!F48</f>
        <v>49525.104776199762</v>
      </c>
      <c r="G943" s="2314">
        <f>'Part VI-Pro Forma'!G48</f>
        <v>50515.606871723736</v>
      </c>
      <c r="H943" s="2314">
        <f>'Part VI-Pro Forma'!H48</f>
        <v>51525.91900915822</v>
      </c>
      <c r="I943" s="2314">
        <f>'Part VI-Pro Forma'!I48</f>
        <v>52556.437389341394</v>
      </c>
      <c r="J943" s="2314">
        <f>'Part VI-Pro Forma'!J48</f>
        <v>53607.566137128211</v>
      </c>
      <c r="K943" s="2314">
        <f>'Part VI-Pro Forma'!K48</f>
        <v>54679.717459870779</v>
      </c>
      <c r="N943" s="2160"/>
      <c r="O943" s="2160"/>
      <c r="Z943" s="357" t="s">
        <v>6470</v>
      </c>
      <c r="AA943" s="1750">
        <v>48</v>
      </c>
    </row>
    <row r="944" spans="1:27" ht="13.35" customHeight="1">
      <c r="A944" s="357" t="s">
        <v>2217</v>
      </c>
      <c r="B944" s="2314">
        <f>'Part VI-Pro Forma'!B49</f>
        <v>-163340.14322988439</v>
      </c>
      <c r="C944" s="2314">
        <f>'Part VI-Pro Forma'!C49</f>
        <v>-166606.94609448206</v>
      </c>
      <c r="D944" s="2314">
        <f>'Part VI-Pro Forma'!D49</f>
        <v>-169939.08501637171</v>
      </c>
      <c r="E944" s="2314">
        <f>'Part VI-Pro Forma'!E49</f>
        <v>-173337.86671669909</v>
      </c>
      <c r="F944" s="2314">
        <f>'Part VI-Pro Forma'!F49</f>
        <v>-176804.62405103314</v>
      </c>
      <c r="G944" s="2314">
        <f>'Part VI-Pro Forma'!G49</f>
        <v>-180340.71653205375</v>
      </c>
      <c r="H944" s="2314">
        <f>'Part VI-Pro Forma'!H49</f>
        <v>-183947.53086269487</v>
      </c>
      <c r="I944" s="2314">
        <f>'Part VI-Pro Forma'!I49</f>
        <v>-187626.48147994876</v>
      </c>
      <c r="J944" s="2314">
        <f>'Part VI-Pro Forma'!J49</f>
        <v>-191379.01110954772</v>
      </c>
      <c r="K944" s="2314">
        <f>'Part VI-Pro Forma'!K49</f>
        <v>-195206.59133173869</v>
      </c>
      <c r="N944" s="2160"/>
      <c r="O944" s="2160"/>
      <c r="Z944" s="357" t="s">
        <v>6470</v>
      </c>
      <c r="AA944" s="1750">
        <v>49</v>
      </c>
    </row>
    <row r="945" spans="1:27" ht="13.35" customHeight="1">
      <c r="A945" s="357" t="s">
        <v>47</v>
      </c>
      <c r="B945" s="2314">
        <f>'Part VI-Pro Forma'!B50</f>
        <v>0</v>
      </c>
      <c r="C945" s="2314">
        <f>'Part VI-Pro Forma'!C50</f>
        <v>0</v>
      </c>
      <c r="D945" s="2314">
        <f>'Part VI-Pro Forma'!D50</f>
        <v>0</v>
      </c>
      <c r="E945" s="2314">
        <f>'Part VI-Pro Forma'!E50</f>
        <v>0</v>
      </c>
      <c r="F945" s="2314">
        <f>'Part VI-Pro Forma'!F50</f>
        <v>0</v>
      </c>
      <c r="G945" s="2314">
        <f>'Part VI-Pro Forma'!G50</f>
        <v>0</v>
      </c>
      <c r="H945" s="2314">
        <f>'Part VI-Pro Forma'!H50</f>
        <v>0</v>
      </c>
      <c r="I945" s="2314">
        <f>'Part VI-Pro Forma'!I50</f>
        <v>0</v>
      </c>
      <c r="J945" s="2314">
        <f>'Part VI-Pro Forma'!J50</f>
        <v>0</v>
      </c>
      <c r="K945" s="2314">
        <f>'Part VI-Pro Forma'!K50</f>
        <v>0</v>
      </c>
      <c r="N945" s="2160"/>
      <c r="O945" s="2160"/>
      <c r="Z945" s="357" t="s">
        <v>6470</v>
      </c>
      <c r="AA945" s="1750">
        <v>50</v>
      </c>
    </row>
    <row r="946" spans="1:27" ht="13.35" customHeight="1">
      <c r="A946" s="357" t="s">
        <v>48</v>
      </c>
      <c r="B946" s="2314">
        <f>'Part VI-Pro Forma'!B51</f>
        <v>0</v>
      </c>
      <c r="C946" s="2314">
        <f>'Part VI-Pro Forma'!C51</f>
        <v>0</v>
      </c>
      <c r="D946" s="2314">
        <f>'Part VI-Pro Forma'!D51</f>
        <v>0</v>
      </c>
      <c r="E946" s="2314">
        <f>'Part VI-Pro Forma'!E51</f>
        <v>0</v>
      </c>
      <c r="F946" s="2314">
        <f>'Part VI-Pro Forma'!F51</f>
        <v>0</v>
      </c>
      <c r="G946" s="2314">
        <f>'Part VI-Pro Forma'!G51</f>
        <v>0</v>
      </c>
      <c r="H946" s="2314">
        <f>'Part VI-Pro Forma'!H51</f>
        <v>0</v>
      </c>
      <c r="I946" s="2314">
        <f>'Part VI-Pro Forma'!I51</f>
        <v>0</v>
      </c>
      <c r="J946" s="2314">
        <f>'Part VI-Pro Forma'!J51</f>
        <v>0</v>
      </c>
      <c r="K946" s="2314">
        <f>'Part VI-Pro Forma'!K51</f>
        <v>0</v>
      </c>
      <c r="N946" s="2160"/>
      <c r="O946" s="2160"/>
      <c r="Z946" s="357" t="s">
        <v>6470</v>
      </c>
      <c r="AA946" s="1750">
        <v>51</v>
      </c>
    </row>
    <row r="947" spans="1:27" ht="13.35" customHeight="1">
      <c r="A947" s="357" t="s">
        <v>3843</v>
      </c>
      <c r="B947" s="2314">
        <f t="shared" ref="B947:K947" si="389">SUM(B942:B946)</f>
        <v>2170090.4743398922</v>
      </c>
      <c r="C947" s="2314">
        <f t="shared" si="389"/>
        <v>2213492.2838266897</v>
      </c>
      <c r="D947" s="2314">
        <f t="shared" si="389"/>
        <v>2257762.129503224</v>
      </c>
      <c r="E947" s="2314">
        <f t="shared" si="389"/>
        <v>2302917.3720932878</v>
      </c>
      <c r="F947" s="2314">
        <f t="shared" si="389"/>
        <v>2348975.7195351543</v>
      </c>
      <c r="G947" s="2314">
        <f t="shared" si="389"/>
        <v>2395955.2339258566</v>
      </c>
      <c r="H947" s="2314">
        <f t="shared" si="389"/>
        <v>2443874.3386043743</v>
      </c>
      <c r="I947" s="2314">
        <f t="shared" si="389"/>
        <v>2492751.8253764617</v>
      </c>
      <c r="J947" s="2314">
        <f t="shared" si="389"/>
        <v>2542606.8618839909</v>
      </c>
      <c r="K947" s="2314">
        <f t="shared" si="389"/>
        <v>2593458.9991216711</v>
      </c>
      <c r="N947" s="2160"/>
      <c r="O947" s="2160"/>
      <c r="Z947" s="357" t="s">
        <v>6470</v>
      </c>
      <c r="AA947" s="1750">
        <v>52</v>
      </c>
    </row>
    <row r="948" spans="1:27" ht="13.35" customHeight="1">
      <c r="A948" s="357" t="s">
        <v>572</v>
      </c>
      <c r="B948" s="2314">
        <f>'Part VI-Pro Forma'!B53</f>
        <v>-1005733.261645967</v>
      </c>
      <c r="C948" s="2314">
        <f>'Part VI-Pro Forma'!C53</f>
        <v>-1035905.259495346</v>
      </c>
      <c r="D948" s="2314">
        <f>'Part VI-Pro Forma'!D53</f>
        <v>-1066982.4172802062</v>
      </c>
      <c r="E948" s="2314">
        <f>'Part VI-Pro Forma'!E53</f>
        <v>-1098991.8897986123</v>
      </c>
      <c r="F948" s="2314">
        <f>'Part VI-Pro Forma'!F53</f>
        <v>-1131961.6464925709</v>
      </c>
      <c r="G948" s="2314">
        <f>'Part VI-Pro Forma'!G53</f>
        <v>-1165920.495887348</v>
      </c>
      <c r="H948" s="2314">
        <f>'Part VI-Pro Forma'!H53</f>
        <v>-1200898.1107639682</v>
      </c>
      <c r="I948" s="2314">
        <f>'Part VI-Pro Forma'!I53</f>
        <v>-1236925.0540868873</v>
      </c>
      <c r="J948" s="2314">
        <f>'Part VI-Pro Forma'!J53</f>
        <v>-1274032.805709494</v>
      </c>
      <c r="K948" s="2314">
        <f>'Part VI-Pro Forma'!K53</f>
        <v>-1312253.7898807789</v>
      </c>
      <c r="N948" s="2160"/>
      <c r="O948" s="2160"/>
      <c r="Z948" s="357" t="s">
        <v>6470</v>
      </c>
      <c r="AA948" s="1750">
        <v>53</v>
      </c>
    </row>
    <row r="949" spans="1:27" ht="13.35" customHeight="1">
      <c r="A949" s="357" t="s">
        <v>1051</v>
      </c>
      <c r="B949" s="2314">
        <f>'Part VI-Pro Forma'!B54</f>
        <v>-141056</v>
      </c>
      <c r="C949" s="2314">
        <f>'Part VI-Pro Forma'!C54</f>
        <v>-143877</v>
      </c>
      <c r="D949" s="2314">
        <f>'Part VI-Pro Forma'!D54</f>
        <v>-146755</v>
      </c>
      <c r="E949" s="2314">
        <f>'Part VI-Pro Forma'!E54</f>
        <v>-149690</v>
      </c>
      <c r="F949" s="2314">
        <f>'Part VI-Pro Forma'!F54</f>
        <v>-152683</v>
      </c>
      <c r="G949" s="2314">
        <f>'Part VI-Pro Forma'!G54</f>
        <v>-155737</v>
      </c>
      <c r="H949" s="2314">
        <f>'Part VI-Pro Forma'!H54</f>
        <v>-158852</v>
      </c>
      <c r="I949" s="2314">
        <f>'Part VI-Pro Forma'!I54</f>
        <v>-162029</v>
      </c>
      <c r="J949" s="2314">
        <f>'Part VI-Pro Forma'!J54</f>
        <v>-165269</v>
      </c>
      <c r="K949" s="2314">
        <f>'Part VI-Pro Forma'!K54</f>
        <v>-168575</v>
      </c>
      <c r="N949" s="2160"/>
      <c r="O949" s="2160"/>
      <c r="Z949" s="357" t="s">
        <v>6470</v>
      </c>
      <c r="AA949" s="1750">
        <v>54</v>
      </c>
    </row>
    <row r="950" spans="1:27" ht="13.35" customHeight="1">
      <c r="A950" s="357" t="s">
        <v>1129</v>
      </c>
      <c r="B950" s="2314">
        <f>'Part VI-Pro Forma'!B55</f>
        <v>-40317.491380323656</v>
      </c>
      <c r="C950" s="2314">
        <f>'Part VI-Pro Forma'!C55</f>
        <v>-41527.016121733366</v>
      </c>
      <c r="D950" s="2314">
        <f>'Part VI-Pro Forma'!D55</f>
        <v>-42772.826605385359</v>
      </c>
      <c r="E950" s="2314">
        <f>'Part VI-Pro Forma'!E55</f>
        <v>-44056.011403546916</v>
      </c>
      <c r="F950" s="2314">
        <f>'Part VI-Pro Forma'!F55</f>
        <v>-45377.691745653334</v>
      </c>
      <c r="G950" s="2314">
        <f>'Part VI-Pro Forma'!G55</f>
        <v>-46739.022498022932</v>
      </c>
      <c r="H950" s="2314">
        <f>'Part VI-Pro Forma'!H55</f>
        <v>-48141.193172963613</v>
      </c>
      <c r="I950" s="2314">
        <f>'Part VI-Pro Forma'!I55</f>
        <v>-49585.428968152519</v>
      </c>
      <c r="J950" s="2314">
        <f>'Part VI-Pro Forma'!J55</f>
        <v>-51072.9918371971</v>
      </c>
      <c r="K950" s="2314">
        <f>'Part VI-Pro Forma'!K55</f>
        <v>-52605.181592313005</v>
      </c>
      <c r="N950" s="2160"/>
      <c r="O950" s="2160"/>
      <c r="Q950" s="1750">
        <v>10</v>
      </c>
      <c r="R950" s="1903">
        <f>-SUM(B956:K956)</f>
        <v>0</v>
      </c>
      <c r="S950" s="1903">
        <f>SUM(B957:K957)+R950</f>
        <v>0</v>
      </c>
      <c r="Z950" s="357" t="s">
        <v>6470</v>
      </c>
      <c r="AA950" s="1750">
        <v>55</v>
      </c>
    </row>
    <row r="951" spans="1:27" ht="13.35" customHeight="1">
      <c r="A951" s="357" t="s">
        <v>3842</v>
      </c>
      <c r="B951" s="2315">
        <f>'Part VI-Pro Forma'!B56</f>
        <v>0</v>
      </c>
      <c r="C951" s="2315">
        <f>'Part VI-Pro Forma'!C56</f>
        <v>0</v>
      </c>
      <c r="D951" s="2315">
        <f>'Part VI-Pro Forma'!D56</f>
        <v>0</v>
      </c>
      <c r="E951" s="2315">
        <f>'Part VI-Pro Forma'!E56</f>
        <v>0</v>
      </c>
      <c r="F951" s="2315">
        <f>'Part VI-Pro Forma'!F56</f>
        <v>0</v>
      </c>
      <c r="G951" s="2315">
        <f>'Part VI-Pro Forma'!G56</f>
        <v>0</v>
      </c>
      <c r="H951" s="2315">
        <f>'Part VI-Pro Forma'!H56</f>
        <v>0</v>
      </c>
      <c r="I951" s="2315">
        <f>'Part VI-Pro Forma'!I56</f>
        <v>0</v>
      </c>
      <c r="J951" s="2315">
        <f>'Part VI-Pro Forma'!J56</f>
        <v>0</v>
      </c>
      <c r="K951" s="2315">
        <f>'Part VI-Pro Forma'!K56</f>
        <v>0</v>
      </c>
      <c r="N951" s="2160"/>
      <c r="O951" s="2160"/>
      <c r="Z951" s="357" t="s">
        <v>6470</v>
      </c>
      <c r="AA951" s="1750">
        <v>56</v>
      </c>
    </row>
    <row r="952" spans="1:27" ht="13.35" customHeight="1">
      <c r="A952" s="357" t="s">
        <v>1130</v>
      </c>
      <c r="B952" s="2314">
        <f t="shared" ref="B952:K952" si="390">SUM(B947:B951)</f>
        <v>982983.72131360136</v>
      </c>
      <c r="C952" s="2314">
        <f t="shared" si="390"/>
        <v>992183.00820961047</v>
      </c>
      <c r="D952" s="2314">
        <f t="shared" si="390"/>
        <v>1001251.8856176324</v>
      </c>
      <c r="E952" s="2314">
        <f t="shared" si="390"/>
        <v>1010179.4708911285</v>
      </c>
      <c r="F952" s="2314">
        <f t="shared" si="390"/>
        <v>1018953.3812969301</v>
      </c>
      <c r="G952" s="2314">
        <f t="shared" si="390"/>
        <v>1027558.7155404858</v>
      </c>
      <c r="H952" s="2314">
        <f t="shared" si="390"/>
        <v>1035983.0346674426</v>
      </c>
      <c r="I952" s="2314">
        <f t="shared" si="390"/>
        <v>1044212.342321422</v>
      </c>
      <c r="J952" s="2314">
        <f t="shared" si="390"/>
        <v>1052232.0643372997</v>
      </c>
      <c r="K952" s="2314">
        <f t="shared" si="390"/>
        <v>1060025.0276485791</v>
      </c>
      <c r="N952" s="2160"/>
      <c r="O952" s="2160"/>
      <c r="Z952" s="357" t="s">
        <v>6470</v>
      </c>
      <c r="AA952" s="1750">
        <v>57</v>
      </c>
    </row>
    <row r="953" spans="1:27" ht="13.35" customHeight="1">
      <c r="A953" s="357" t="str">
        <f>$A921</f>
        <v>Mortgage A</v>
      </c>
      <c r="B953" s="2315">
        <f>'Part VI-Pro Forma'!B58</f>
        <v>-711358.87799951679</v>
      </c>
      <c r="C953" s="2315">
        <f>'Part VI-Pro Forma'!C58</f>
        <v>-711358.87799951679</v>
      </c>
      <c r="D953" s="2315">
        <f>'Part VI-Pro Forma'!D58</f>
        <v>-711358.87799951679</v>
      </c>
      <c r="E953" s="2315">
        <f>'Part VI-Pro Forma'!E58</f>
        <v>-711358.87799951679</v>
      </c>
      <c r="F953" s="2315">
        <f>'Part VI-Pro Forma'!F58</f>
        <v>-711358.87799951679</v>
      </c>
      <c r="G953" s="2315">
        <f>'Part VI-Pro Forma'!G58</f>
        <v>-711358.87799951679</v>
      </c>
      <c r="H953" s="2315">
        <f>'Part VI-Pro Forma'!H58</f>
        <v>-711358.87799951679</v>
      </c>
      <c r="I953" s="2315">
        <f>'Part VI-Pro Forma'!I58</f>
        <v>-711358.87799951679</v>
      </c>
      <c r="J953" s="2315">
        <f>'Part VI-Pro Forma'!J58</f>
        <v>-711358.87799951679</v>
      </c>
      <c r="K953" s="2315">
        <f>'Part VI-Pro Forma'!K58</f>
        <v>-711358.87799951679</v>
      </c>
      <c r="N953" s="2160"/>
      <c r="O953" s="2160"/>
      <c r="Z953" s="357" t="s">
        <v>6470</v>
      </c>
      <c r="AA953" s="1750">
        <v>58</v>
      </c>
    </row>
    <row r="954" spans="1:27" ht="13.35" customHeight="1">
      <c r="A954" s="357" t="str">
        <f>$A922</f>
        <v>Mortgage B</v>
      </c>
      <c r="B954" s="2315">
        <f>'Part VI-Pro Forma'!B59</f>
        <v>0</v>
      </c>
      <c r="C954" s="2315">
        <f>'Part VI-Pro Forma'!C59</f>
        <v>0</v>
      </c>
      <c r="D954" s="2315">
        <f>'Part VI-Pro Forma'!D59</f>
        <v>0</v>
      </c>
      <c r="E954" s="2315">
        <f>'Part VI-Pro Forma'!E59</f>
        <v>0</v>
      </c>
      <c r="F954" s="2315">
        <f>'Part VI-Pro Forma'!F59</f>
        <v>0</v>
      </c>
      <c r="G954" s="2315">
        <f>'Part VI-Pro Forma'!G59</f>
        <v>0</v>
      </c>
      <c r="H954" s="2315">
        <f>'Part VI-Pro Forma'!H59</f>
        <v>0</v>
      </c>
      <c r="I954" s="2315">
        <f>'Part VI-Pro Forma'!I59</f>
        <v>0</v>
      </c>
      <c r="J954" s="2315">
        <f>'Part VI-Pro Forma'!J59</f>
        <v>0</v>
      </c>
      <c r="K954" s="2315">
        <f>'Part VI-Pro Forma'!K59</f>
        <v>0</v>
      </c>
      <c r="N954" s="2160"/>
      <c r="O954" s="2160"/>
      <c r="Z954" s="357" t="s">
        <v>6470</v>
      </c>
      <c r="AA954" s="1750">
        <v>59</v>
      </c>
    </row>
    <row r="955" spans="1:27" ht="13.35" customHeight="1">
      <c r="A955" s="357" t="str">
        <f>$A923</f>
        <v>Mortgage C</v>
      </c>
      <c r="B955" s="2315">
        <f>'Part VI-Pro Forma'!B60</f>
        <v>0</v>
      </c>
      <c r="C955" s="2315">
        <f>'Part VI-Pro Forma'!C60</f>
        <v>0</v>
      </c>
      <c r="D955" s="2315">
        <f>'Part VI-Pro Forma'!D60</f>
        <v>0</v>
      </c>
      <c r="E955" s="2315">
        <f>'Part VI-Pro Forma'!E60</f>
        <v>0</v>
      </c>
      <c r="F955" s="2315">
        <f>'Part VI-Pro Forma'!F60</f>
        <v>0</v>
      </c>
      <c r="G955" s="2315">
        <f>'Part VI-Pro Forma'!G60</f>
        <v>0</v>
      </c>
      <c r="H955" s="2315">
        <f>'Part VI-Pro Forma'!H60</f>
        <v>0</v>
      </c>
      <c r="I955" s="2315">
        <f>'Part VI-Pro Forma'!I60</f>
        <v>0</v>
      </c>
      <c r="J955" s="2315">
        <f>'Part VI-Pro Forma'!J60</f>
        <v>0</v>
      </c>
      <c r="K955" s="2315">
        <f>'Part VI-Pro Forma'!K60</f>
        <v>0</v>
      </c>
      <c r="N955" s="2160"/>
      <c r="O955" s="2160"/>
      <c r="Z955" s="357" t="s">
        <v>6470</v>
      </c>
      <c r="AA955" s="1750">
        <v>60</v>
      </c>
    </row>
    <row r="956" spans="1:27" ht="13.35" customHeight="1">
      <c r="A956" s="357" t="str">
        <f>$A924</f>
        <v>D/S Other Source,not DDF</v>
      </c>
      <c r="B956" s="2315">
        <f>'Part VI-Pro Forma'!B61</f>
        <v>0</v>
      </c>
      <c r="C956" s="2315">
        <f>'Part VI-Pro Forma'!C61</f>
        <v>0</v>
      </c>
      <c r="D956" s="2315">
        <f>'Part VI-Pro Forma'!D61</f>
        <v>0</v>
      </c>
      <c r="E956" s="2315">
        <f>'Part VI-Pro Forma'!E61</f>
        <v>0</v>
      </c>
      <c r="F956" s="2315">
        <f>'Part VI-Pro Forma'!F61</f>
        <v>0</v>
      </c>
      <c r="G956" s="2315">
        <f>'Part VI-Pro Forma'!G61</f>
        <v>0</v>
      </c>
      <c r="H956" s="2315">
        <f>'Part VI-Pro Forma'!H61</f>
        <v>0</v>
      </c>
      <c r="I956" s="2315">
        <f>'Part VI-Pro Forma'!I61</f>
        <v>0</v>
      </c>
      <c r="J956" s="2315">
        <f>'Part VI-Pro Forma'!J61</f>
        <v>0</v>
      </c>
      <c r="K956" s="2315">
        <f>'Part VI-Pro Forma'!K61</f>
        <v>0</v>
      </c>
      <c r="N956" s="2160"/>
      <c r="O956" s="2160"/>
      <c r="Z956" s="357" t="s">
        <v>6470</v>
      </c>
      <c r="AA956" s="1750">
        <v>61</v>
      </c>
    </row>
    <row r="957" spans="1:27" ht="13.35" customHeight="1">
      <c r="A957" s="357" t="s">
        <v>711</v>
      </c>
      <c r="B957" s="2315">
        <f>'Part VI-Pro Forma'!B62</f>
        <v>0</v>
      </c>
      <c r="C957" s="2315">
        <f>'Part VI-Pro Forma'!C62</f>
        <v>0</v>
      </c>
      <c r="D957" s="2315">
        <f>'Part VI-Pro Forma'!D62</f>
        <v>0</v>
      </c>
      <c r="E957" s="2315">
        <f>'Part VI-Pro Forma'!E62</f>
        <v>0</v>
      </c>
      <c r="F957" s="2315">
        <f>'Part VI-Pro Forma'!F62</f>
        <v>0</v>
      </c>
      <c r="G957" s="2315">
        <f>'Part VI-Pro Forma'!G62</f>
        <v>0</v>
      </c>
      <c r="H957" s="2315">
        <f>'Part VI-Pro Forma'!H62</f>
        <v>0</v>
      </c>
      <c r="I957" s="2315">
        <f>'Part VI-Pro Forma'!I62</f>
        <v>0</v>
      </c>
      <c r="J957" s="2315">
        <f>'Part VI-Pro Forma'!J62</f>
        <v>0</v>
      </c>
      <c r="K957" s="2315">
        <f>'Part VI-Pro Forma'!K62</f>
        <v>0</v>
      </c>
      <c r="N957" s="2160"/>
      <c r="O957" s="2160"/>
      <c r="Q957" s="1750"/>
      <c r="R957" s="1903"/>
      <c r="Z957" s="357" t="s">
        <v>6470</v>
      </c>
      <c r="AA957" s="1750">
        <v>62</v>
      </c>
    </row>
    <row r="958" spans="1:27" ht="13.35" customHeight="1">
      <c r="A958" s="357" t="s">
        <v>1096</v>
      </c>
      <c r="B958" s="2315">
        <f>'Part VI-Pro Forma'!B63</f>
        <v>-5000</v>
      </c>
      <c r="C958" s="2315">
        <f>'Part VI-Pro Forma'!C63</f>
        <v>-5000</v>
      </c>
      <c r="D958" s="2315">
        <f>'Part VI-Pro Forma'!D63</f>
        <v>-5000</v>
      </c>
      <c r="E958" s="2315">
        <f>'Part VI-Pro Forma'!E63</f>
        <v>-5000</v>
      </c>
      <c r="F958" s="2315">
        <f>'Part VI-Pro Forma'!F63</f>
        <v>-5000</v>
      </c>
      <c r="G958" s="2315">
        <f>'Part VI-Pro Forma'!G63</f>
        <v>-5000</v>
      </c>
      <c r="H958" s="2315">
        <f>'Part VI-Pro Forma'!H63</f>
        <v>-5000</v>
      </c>
      <c r="I958" s="2315">
        <f>'Part VI-Pro Forma'!I63</f>
        <v>-5000</v>
      </c>
      <c r="J958" s="2315">
        <f>'Part VI-Pro Forma'!J63</f>
        <v>-5000</v>
      </c>
      <c r="K958" s="2315">
        <f>'Part VI-Pro Forma'!K63</f>
        <v>-5000</v>
      </c>
      <c r="N958" s="2160"/>
      <c r="O958" s="2160"/>
      <c r="Z958" s="357" t="s">
        <v>6470</v>
      </c>
      <c r="AA958" s="1750">
        <v>63</v>
      </c>
    </row>
    <row r="959" spans="1:27" ht="13.35" customHeight="1">
      <c r="A959" s="357" t="s">
        <v>3366</v>
      </c>
      <c r="B959" s="2315">
        <f>'Part VI-Pro Forma'!B64</f>
        <v>0</v>
      </c>
      <c r="C959" s="2315">
        <f>'Part VI-Pro Forma'!C64</f>
        <v>0</v>
      </c>
      <c r="D959" s="2315">
        <f>'Part VI-Pro Forma'!D64</f>
        <v>0</v>
      </c>
      <c r="E959" s="2315">
        <f>'Part VI-Pro Forma'!E64</f>
        <v>0</v>
      </c>
      <c r="F959" s="2315">
        <f>'Part VI-Pro Forma'!F64</f>
        <v>0</v>
      </c>
      <c r="G959" s="2315">
        <f>'Part VI-Pro Forma'!G64</f>
        <v>0</v>
      </c>
      <c r="H959" s="2315">
        <f>'Part VI-Pro Forma'!H64</f>
        <v>0</v>
      </c>
      <c r="I959" s="2315">
        <f>'Part VI-Pro Forma'!I64</f>
        <v>0</v>
      </c>
      <c r="J959" s="2315">
        <f>'Part VI-Pro Forma'!J64</f>
        <v>0</v>
      </c>
      <c r="K959" s="2315">
        <f>'Part VI-Pro Forma'!K64</f>
        <v>0</v>
      </c>
      <c r="N959" s="2160"/>
      <c r="O959" s="2160"/>
      <c r="Z959" s="357" t="s">
        <v>6470</v>
      </c>
      <c r="AA959" s="1750">
        <v>64</v>
      </c>
    </row>
    <row r="960" spans="1:27" ht="13.35" customHeight="1">
      <c r="A960" s="357" t="s">
        <v>1097</v>
      </c>
      <c r="B960" s="2314">
        <f t="shared" ref="B960:K960" si="391">SUM(B952:B959)</f>
        <v>266624.84331408457</v>
      </c>
      <c r="C960" s="2314">
        <f t="shared" si="391"/>
        <v>275824.13021009369</v>
      </c>
      <c r="D960" s="2314">
        <f t="shared" si="391"/>
        <v>284893.00761811563</v>
      </c>
      <c r="E960" s="2314">
        <f t="shared" si="391"/>
        <v>293820.59289161174</v>
      </c>
      <c r="F960" s="2314">
        <f t="shared" si="391"/>
        <v>302594.50329741335</v>
      </c>
      <c r="G960" s="2314">
        <f t="shared" si="391"/>
        <v>311199.83754096902</v>
      </c>
      <c r="H960" s="2314">
        <f t="shared" si="391"/>
        <v>319624.15666792577</v>
      </c>
      <c r="I960" s="2314">
        <f t="shared" si="391"/>
        <v>327853.46432190516</v>
      </c>
      <c r="J960" s="2314">
        <f t="shared" si="391"/>
        <v>335873.18633778288</v>
      </c>
      <c r="K960" s="2314">
        <f t="shared" si="391"/>
        <v>343666.14964906231</v>
      </c>
      <c r="N960" s="2160"/>
      <c r="O960" s="2160"/>
      <c r="Z960" s="357" t="s">
        <v>6470</v>
      </c>
      <c r="AA960" s="1750">
        <v>65</v>
      </c>
    </row>
    <row r="961" spans="1:27" ht="13.35" customHeight="1">
      <c r="A961" s="357" t="str">
        <f>$A929</f>
        <v>DCR Mortgage A</v>
      </c>
      <c r="B961" s="2316">
        <f t="shared" ref="B961:K961" si="392">IF(B953=0,"",-B952/B953)</f>
        <v>1.381839394593553</v>
      </c>
      <c r="C961" s="2316">
        <f t="shared" si="392"/>
        <v>1.3947713859983406</v>
      </c>
      <c r="D961" s="2316">
        <f t="shared" si="392"/>
        <v>1.4075200529349583</v>
      </c>
      <c r="E961" s="2316">
        <f t="shared" si="392"/>
        <v>1.4200700970120101</v>
      </c>
      <c r="F961" s="2316">
        <f t="shared" si="392"/>
        <v>1.4324041110760162</v>
      </c>
      <c r="G961" s="2316">
        <f t="shared" si="392"/>
        <v>1.4445011474801384</v>
      </c>
      <c r="H961" s="2316">
        <f t="shared" si="392"/>
        <v>1.4563437200373934</v>
      </c>
      <c r="I961" s="2316">
        <f t="shared" si="392"/>
        <v>1.4679121532270119</v>
      </c>
      <c r="J961" s="2316">
        <f t="shared" si="392"/>
        <v>1.4791859592676855</v>
      </c>
      <c r="K961" s="2316">
        <f t="shared" si="392"/>
        <v>1.4901409969459876</v>
      </c>
      <c r="N961" s="2160"/>
      <c r="O961" s="2160"/>
      <c r="Z961" s="357" t="s">
        <v>6470</v>
      </c>
      <c r="AA961" s="1750">
        <v>66</v>
      </c>
    </row>
    <row r="962" spans="1:27" ht="13.35" customHeight="1">
      <c r="A962" s="357" t="str">
        <f>$A930</f>
        <v>DCR Mortgage B</v>
      </c>
      <c r="B962" s="2316" t="str">
        <f t="shared" ref="B962:K962" si="393">IF(B954=0,"",-(B952+B953)/B954)</f>
        <v/>
      </c>
      <c r="C962" s="2316" t="str">
        <f t="shared" si="393"/>
        <v/>
      </c>
      <c r="D962" s="2316" t="str">
        <f t="shared" si="393"/>
        <v/>
      </c>
      <c r="E962" s="2316" t="str">
        <f t="shared" si="393"/>
        <v/>
      </c>
      <c r="F962" s="2316" t="str">
        <f t="shared" si="393"/>
        <v/>
      </c>
      <c r="G962" s="2316" t="str">
        <f t="shared" si="393"/>
        <v/>
      </c>
      <c r="H962" s="2316" t="str">
        <f t="shared" si="393"/>
        <v/>
      </c>
      <c r="I962" s="2316" t="str">
        <f t="shared" si="393"/>
        <v/>
      </c>
      <c r="J962" s="2316" t="str">
        <f t="shared" si="393"/>
        <v/>
      </c>
      <c r="K962" s="2316" t="str">
        <f t="shared" si="393"/>
        <v/>
      </c>
      <c r="N962" s="2160"/>
      <c r="O962" s="2160"/>
      <c r="Z962" s="357" t="s">
        <v>6470</v>
      </c>
      <c r="AA962" s="1750">
        <v>67</v>
      </c>
    </row>
    <row r="963" spans="1:27" ht="13.35" customHeight="1">
      <c r="A963" s="357" t="str">
        <f>$A931</f>
        <v>DCR Mortgage C</v>
      </c>
      <c r="B963" s="2316" t="str">
        <f t="shared" ref="B963:K963" si="394">IF(B955=0,"",-(B952+B953+B954)/B955)</f>
        <v/>
      </c>
      <c r="C963" s="2316" t="str">
        <f t="shared" si="394"/>
        <v/>
      </c>
      <c r="D963" s="2316" t="str">
        <f t="shared" si="394"/>
        <v/>
      </c>
      <c r="E963" s="2316" t="str">
        <f t="shared" si="394"/>
        <v/>
      </c>
      <c r="F963" s="2316" t="str">
        <f t="shared" si="394"/>
        <v/>
      </c>
      <c r="G963" s="2316" t="str">
        <f t="shared" si="394"/>
        <v/>
      </c>
      <c r="H963" s="2316" t="str">
        <f t="shared" si="394"/>
        <v/>
      </c>
      <c r="I963" s="2316" t="str">
        <f t="shared" si="394"/>
        <v/>
      </c>
      <c r="J963" s="2316" t="str">
        <f t="shared" si="394"/>
        <v/>
      </c>
      <c r="K963" s="2316" t="str">
        <f t="shared" si="394"/>
        <v/>
      </c>
      <c r="N963" s="2160"/>
      <c r="O963" s="2160"/>
      <c r="Z963" s="357" t="s">
        <v>6470</v>
      </c>
      <c r="AA963" s="1750">
        <v>68</v>
      </c>
    </row>
    <row r="964" spans="1:27" ht="13.35" customHeight="1">
      <c r="A964" s="357" t="str">
        <f>$A932</f>
        <v>DCR Other Source</v>
      </c>
      <c r="B964" s="2316" t="str">
        <f t="shared" ref="B964:K964" si="395">IF(B956=0,"",-(B952+B953+B954+B955)/B956)</f>
        <v/>
      </c>
      <c r="C964" s="2316" t="str">
        <f t="shared" si="395"/>
        <v/>
      </c>
      <c r="D964" s="2316" t="str">
        <f t="shared" si="395"/>
        <v/>
      </c>
      <c r="E964" s="2316" t="str">
        <f t="shared" si="395"/>
        <v/>
      </c>
      <c r="F964" s="2316" t="str">
        <f t="shared" si="395"/>
        <v/>
      </c>
      <c r="G964" s="2316" t="str">
        <f t="shared" si="395"/>
        <v/>
      </c>
      <c r="H964" s="2316" t="str">
        <f t="shared" si="395"/>
        <v/>
      </c>
      <c r="I964" s="2316" t="str">
        <f t="shared" si="395"/>
        <v/>
      </c>
      <c r="J964" s="2316" t="str">
        <f t="shared" si="395"/>
        <v/>
      </c>
      <c r="K964" s="2316" t="str">
        <f t="shared" si="395"/>
        <v/>
      </c>
      <c r="N964" s="2160"/>
      <c r="O964" s="2160"/>
      <c r="Z964" s="357" t="s">
        <v>6470</v>
      </c>
      <c r="AA964" s="1750">
        <v>69</v>
      </c>
    </row>
    <row r="965" spans="1:27" ht="13.35" customHeight="1">
      <c r="A965" s="357" t="s">
        <v>3217</v>
      </c>
      <c r="B965" s="2316">
        <f t="shared" ref="B965:K965" si="396">IF(AND(B953=0,B954=0,B955=0,B956=0),"",-B952/(B953+B954+B955+B956))</f>
        <v>1.381839394593553</v>
      </c>
      <c r="C965" s="2316">
        <f t="shared" si="396"/>
        <v>1.3947713859983406</v>
      </c>
      <c r="D965" s="2316">
        <f t="shared" si="396"/>
        <v>1.4075200529349583</v>
      </c>
      <c r="E965" s="2316">
        <f t="shared" si="396"/>
        <v>1.4200700970120101</v>
      </c>
      <c r="F965" s="2316">
        <f t="shared" si="396"/>
        <v>1.4324041110760162</v>
      </c>
      <c r="G965" s="2316">
        <f t="shared" si="396"/>
        <v>1.4445011474801384</v>
      </c>
      <c r="H965" s="2316">
        <f t="shared" si="396"/>
        <v>1.4563437200373934</v>
      </c>
      <c r="I965" s="2316">
        <f t="shared" si="396"/>
        <v>1.4679121532270119</v>
      </c>
      <c r="J965" s="2316">
        <f t="shared" si="396"/>
        <v>1.4791859592676855</v>
      </c>
      <c r="K965" s="2316">
        <f t="shared" si="396"/>
        <v>1.4901409969459876</v>
      </c>
      <c r="N965" s="2160"/>
      <c r="O965" s="2160"/>
      <c r="Z965" s="357" t="s">
        <v>6470</v>
      </c>
      <c r="AA965" s="1750">
        <v>70</v>
      </c>
    </row>
    <row r="966" spans="1:27" ht="13.35" customHeight="1">
      <c r="A966" s="357" t="s">
        <v>718</v>
      </c>
      <c r="B966" s="2317">
        <f>'Part VI-Pro Forma'!B71</f>
        <v>1.8280499784940836</v>
      </c>
      <c r="C966" s="2317">
        <f>'Part VI-Pro Forma'!C71</f>
        <v>1.8123929196462538</v>
      </c>
      <c r="D966" s="2317">
        <f>'Part VI-Pro Forma'!D71</f>
        <v>1.7968513511846855</v>
      </c>
      <c r="E966" s="2317">
        <f>'Part VI-Pro Forma'!E71</f>
        <v>1.7814263587009629</v>
      </c>
      <c r="F966" s="2317">
        <f>'Part VI-Pro Forma'!F71</f>
        <v>1.76611749442243</v>
      </c>
      <c r="G966" s="2317">
        <f>'Part VI-Pro Forma'!G71</f>
        <v>1.7509217553059444</v>
      </c>
      <c r="H966" s="2317">
        <f>'Part VI-Pro Forma'!H71</f>
        <v>1.7358402113646769</v>
      </c>
      <c r="I966" s="2317">
        <f>'Part VI-Pro Forma'!I71</f>
        <v>1.7208725440601229</v>
      </c>
      <c r="J966" s="2317">
        <f>'Part VI-Pro Forma'!J71</f>
        <v>1.7060184230633668</v>
      </c>
      <c r="K966" s="2317">
        <f>'Part VI-Pro Forma'!K71</f>
        <v>1.691275299340256</v>
      </c>
      <c r="N966" s="2160"/>
      <c r="O966" s="2160"/>
      <c r="Z966" s="357" t="s">
        <v>6470</v>
      </c>
      <c r="AA966" s="1750">
        <v>71</v>
      </c>
    </row>
    <row r="967" spans="1:27" ht="13.35" customHeight="1">
      <c r="A967" s="357" t="s">
        <v>2406</v>
      </c>
      <c r="B967" s="2315">
        <f>'Part VI-Pro Forma'!B72</f>
        <v>9559397.5088017248</v>
      </c>
      <c r="C967" s="2315">
        <f>'Part VI-Pro Forma'!C72</f>
        <v>9437779.1178375892</v>
      </c>
      <c r="D967" s="2315">
        <f>'Part VI-Pro Forma'!D72</f>
        <v>9308395.9460812975</v>
      </c>
      <c r="E967" s="2315">
        <f>'Part VI-Pro Forma'!E72</f>
        <v>9170752.2476158682</v>
      </c>
      <c r="F967" s="2315">
        <f>'Part VI-Pro Forma'!F72</f>
        <v>9024320.6254036035</v>
      </c>
      <c r="G967" s="2315">
        <f>'Part VI-Pro Forma'!G72</f>
        <v>8868540.0105060674</v>
      </c>
      <c r="H967" s="2315">
        <f>'Part VI-Pro Forma'!H72</f>
        <v>8702813.5122864656</v>
      </c>
      <c r="I967" s="2315">
        <f>'Part VI-Pro Forma'!I72</f>
        <v>8526506.1313572228</v>
      </c>
      <c r="J967" s="2315">
        <f>'Part VI-Pro Forma'!J72</f>
        <v>8338942.3265096704</v>
      </c>
      <c r="K967" s="2315">
        <f>'Part VI-Pro Forma'!K72</f>
        <v>8139403.4263032796</v>
      </c>
      <c r="N967" s="2160"/>
      <c r="O967" s="2160"/>
      <c r="Z967" s="357" t="s">
        <v>6470</v>
      </c>
      <c r="AA967" s="1750">
        <v>72</v>
      </c>
    </row>
    <row r="968" spans="1:27" ht="13.35" customHeight="1">
      <c r="A968" s="357" t="s">
        <v>2407</v>
      </c>
      <c r="B968" s="2315" t="str">
        <f>'Part VI-Pro Forma'!B73</f>
        <v/>
      </c>
      <c r="C968" s="2315" t="str">
        <f>'Part VI-Pro Forma'!C73</f>
        <v/>
      </c>
      <c r="D968" s="2315" t="str">
        <f>'Part VI-Pro Forma'!D73</f>
        <v/>
      </c>
      <c r="E968" s="2315" t="str">
        <f>'Part VI-Pro Forma'!E73</f>
        <v/>
      </c>
      <c r="F968" s="2315" t="str">
        <f>'Part VI-Pro Forma'!F73</f>
        <v/>
      </c>
      <c r="G968" s="2315" t="str">
        <f>'Part VI-Pro Forma'!G73</f>
        <v/>
      </c>
      <c r="H968" s="2315" t="str">
        <f>'Part VI-Pro Forma'!H73</f>
        <v/>
      </c>
      <c r="I968" s="2315" t="str">
        <f>'Part VI-Pro Forma'!I73</f>
        <v/>
      </c>
      <c r="J968" s="2315" t="str">
        <f>'Part VI-Pro Forma'!J73</f>
        <v/>
      </c>
      <c r="K968" s="2315" t="str">
        <f>'Part VI-Pro Forma'!K73</f>
        <v/>
      </c>
      <c r="N968" s="2160"/>
      <c r="O968" s="2160"/>
      <c r="Z968" s="357" t="s">
        <v>6470</v>
      </c>
      <c r="AA968" s="1750">
        <v>73</v>
      </c>
    </row>
    <row r="969" spans="1:27" ht="13.35" customHeight="1">
      <c r="A969" s="357" t="s">
        <v>2408</v>
      </c>
      <c r="B969" s="2315" t="str">
        <f>'Part VI-Pro Forma'!B74</f>
        <v/>
      </c>
      <c r="C969" s="2315" t="str">
        <f>'Part VI-Pro Forma'!C74</f>
        <v/>
      </c>
      <c r="D969" s="2315" t="str">
        <f>'Part VI-Pro Forma'!D74</f>
        <v/>
      </c>
      <c r="E969" s="2315" t="str">
        <f>'Part VI-Pro Forma'!E74</f>
        <v/>
      </c>
      <c r="F969" s="2315" t="str">
        <f>'Part VI-Pro Forma'!F74</f>
        <v/>
      </c>
      <c r="G969" s="2315" t="str">
        <f>'Part VI-Pro Forma'!G74</f>
        <v/>
      </c>
      <c r="H969" s="2315" t="str">
        <f>'Part VI-Pro Forma'!H74</f>
        <v/>
      </c>
      <c r="I969" s="2315" t="str">
        <f>'Part VI-Pro Forma'!I74</f>
        <v/>
      </c>
      <c r="J969" s="2315" t="str">
        <f>'Part VI-Pro Forma'!J74</f>
        <v/>
      </c>
      <c r="K969" s="2315" t="str">
        <f>'Part VI-Pro Forma'!K74</f>
        <v/>
      </c>
      <c r="N969" s="2160"/>
      <c r="O969" s="2160"/>
      <c r="Z969" s="357" t="s">
        <v>6470</v>
      </c>
      <c r="AA969" s="1750">
        <v>74</v>
      </c>
    </row>
    <row r="970" spans="1:27" ht="13.35" customHeight="1">
      <c r="A970" s="357" t="s">
        <v>730</v>
      </c>
      <c r="B970" s="2315" t="str">
        <f>'Part VI-Pro Forma'!B75</f>
        <v/>
      </c>
      <c r="C970" s="2315" t="str">
        <f>'Part VI-Pro Forma'!C75</f>
        <v/>
      </c>
      <c r="D970" s="2315" t="str">
        <f>'Part VI-Pro Forma'!D75</f>
        <v/>
      </c>
      <c r="E970" s="2315" t="str">
        <f>'Part VI-Pro Forma'!E75</f>
        <v/>
      </c>
      <c r="F970" s="2315" t="str">
        <f>'Part VI-Pro Forma'!F75</f>
        <v/>
      </c>
      <c r="G970" s="2315" t="str">
        <f>'Part VI-Pro Forma'!G75</f>
        <v/>
      </c>
      <c r="H970" s="2315" t="str">
        <f>'Part VI-Pro Forma'!H75</f>
        <v/>
      </c>
      <c r="I970" s="2315" t="str">
        <f>'Part VI-Pro Forma'!I75</f>
        <v/>
      </c>
      <c r="J970" s="2315" t="str">
        <f>'Part VI-Pro Forma'!J75</f>
        <v/>
      </c>
      <c r="K970" s="2315" t="str">
        <f>'Part VI-Pro Forma'!K75</f>
        <v/>
      </c>
      <c r="N970" s="2160"/>
      <c r="O970" s="2160"/>
      <c r="Z970" s="357" t="s">
        <v>6470</v>
      </c>
      <c r="AA970" s="1750">
        <v>75</v>
      </c>
    </row>
    <row r="971" spans="1:27" ht="13.35" customHeight="1">
      <c r="A971" s="357" t="s">
        <v>3367</v>
      </c>
      <c r="B971" s="2315" t="str">
        <f>'Part VI-Pro Forma'!B76</f>
        <v/>
      </c>
      <c r="C971" s="2315" t="str">
        <f>'Part VI-Pro Forma'!C76</f>
        <v/>
      </c>
      <c r="D971" s="2315" t="str">
        <f>'Part VI-Pro Forma'!D76</f>
        <v/>
      </c>
      <c r="E971" s="2315" t="str">
        <f>'Part VI-Pro Forma'!E76</f>
        <v/>
      </c>
      <c r="F971" s="2315" t="str">
        <f>'Part VI-Pro Forma'!F76</f>
        <v/>
      </c>
      <c r="G971" s="2315" t="str">
        <f>'Part VI-Pro Forma'!G76</f>
        <v/>
      </c>
      <c r="H971" s="2315" t="str">
        <f>'Part VI-Pro Forma'!H76</f>
        <v/>
      </c>
      <c r="I971" s="2315" t="str">
        <f>'Part VI-Pro Forma'!I76</f>
        <v/>
      </c>
      <c r="J971" s="2315" t="str">
        <f>'Part VI-Pro Forma'!J76</f>
        <v/>
      </c>
      <c r="K971" s="2315" t="str">
        <f>'Part VI-Pro Forma'!K76</f>
        <v/>
      </c>
      <c r="N971" s="2160"/>
      <c r="O971" s="2160"/>
      <c r="Z971" s="357" t="s">
        <v>6470</v>
      </c>
      <c r="AA971" s="1750">
        <v>76</v>
      </c>
    </row>
    <row r="972" spans="1:27" ht="4.3499999999999996" customHeight="1">
      <c r="B972" s="2314"/>
      <c r="C972" s="2314"/>
      <c r="D972" s="2314"/>
      <c r="E972" s="2314"/>
      <c r="F972" s="2314"/>
      <c r="G972" s="2314"/>
      <c r="H972" s="2314"/>
      <c r="I972" s="2314"/>
      <c r="J972" s="2314"/>
      <c r="K972" s="2314"/>
      <c r="AA972" s="1750">
        <v>77</v>
      </c>
    </row>
    <row r="973" spans="1:27" ht="14.45" customHeight="1">
      <c r="A973" s="357" t="s">
        <v>2285</v>
      </c>
      <c r="B973" s="2314">
        <f>K941+1</f>
        <v>21</v>
      </c>
      <c r="C973" s="2314">
        <f t="shared" ref="C973:K973" si="397">B973+1</f>
        <v>22</v>
      </c>
      <c r="D973" s="2314">
        <f t="shared" si="397"/>
        <v>23</v>
      </c>
      <c r="E973" s="2314">
        <f t="shared" si="397"/>
        <v>24</v>
      </c>
      <c r="F973" s="2314">
        <f t="shared" si="397"/>
        <v>25</v>
      </c>
      <c r="G973" s="2314">
        <f t="shared" si="397"/>
        <v>26</v>
      </c>
      <c r="H973" s="2314">
        <f t="shared" si="397"/>
        <v>27</v>
      </c>
      <c r="I973" s="2314">
        <f t="shared" si="397"/>
        <v>28</v>
      </c>
      <c r="J973" s="2314">
        <f t="shared" si="397"/>
        <v>29</v>
      </c>
      <c r="K973" s="2314">
        <f t="shared" si="397"/>
        <v>30</v>
      </c>
      <c r="N973" s="357" t="s">
        <v>2411</v>
      </c>
      <c r="AA973" s="1750">
        <v>78</v>
      </c>
    </row>
    <row r="974" spans="1:27" ht="13.35" customHeight="1">
      <c r="A974" s="357" t="s">
        <v>2216</v>
      </c>
      <c r="B974" s="2314">
        <f>'Part VI-Pro Forma'!B79</f>
        <v>2788665.5904534096</v>
      </c>
      <c r="C974" s="2314">
        <f>'Part VI-Pro Forma'!C79</f>
        <v>2844438.9022624777</v>
      </c>
      <c r="D974" s="2314">
        <f>'Part VI-Pro Forma'!D79</f>
        <v>2901327.6803077273</v>
      </c>
      <c r="E974" s="2314">
        <f>'Part VI-Pro Forma'!E79</f>
        <v>2959354.2339138812</v>
      </c>
      <c r="F974" s="2314">
        <f>'Part VI-Pro Forma'!F79</f>
        <v>3018541.3185921591</v>
      </c>
      <c r="G974" s="2314">
        <f>'Part VI-Pro Forma'!G79</f>
        <v>3078912.1449640021</v>
      </c>
      <c r="H974" s="2314">
        <f>'Part VI-Pro Forma'!H79</f>
        <v>3140490.3878632826</v>
      </c>
      <c r="I974" s="2314">
        <f>'Part VI-Pro Forma'!I79</f>
        <v>3203300.1956205475</v>
      </c>
      <c r="J974" s="2314">
        <f>'Part VI-Pro Forma'!J79</f>
        <v>3267366.1995329591</v>
      </c>
      <c r="K974" s="2314">
        <f>'Part VI-Pro Forma'!K79</f>
        <v>3332713.523523618</v>
      </c>
      <c r="N974" s="2160"/>
      <c r="O974" s="2160"/>
      <c r="Z974" s="357" t="s">
        <v>6471</v>
      </c>
      <c r="AA974" s="1750">
        <v>79</v>
      </c>
    </row>
    <row r="975" spans="1:27" ht="13.35" customHeight="1">
      <c r="A975" s="357" t="s">
        <v>953</v>
      </c>
      <c r="B975" s="2314">
        <f>'Part VI-Pro Forma'!B80</f>
        <v>55773.311809068196</v>
      </c>
      <c r="C975" s="2314">
        <f>'Part VI-Pro Forma'!C80</f>
        <v>56888.778045249557</v>
      </c>
      <c r="D975" s="2314">
        <f>'Part VI-Pro Forma'!D80</f>
        <v>58026.55360615455</v>
      </c>
      <c r="E975" s="2314">
        <f>'Part VI-Pro Forma'!E80</f>
        <v>59187.084678277628</v>
      </c>
      <c r="F975" s="2314">
        <f>'Part VI-Pro Forma'!F80</f>
        <v>60370.826371843184</v>
      </c>
      <c r="G975" s="2314">
        <f>'Part VI-Pro Forma'!G80</f>
        <v>61578.242899280049</v>
      </c>
      <c r="H975" s="2314">
        <f>'Part VI-Pro Forma'!H80</f>
        <v>62809.807757265662</v>
      </c>
      <c r="I975" s="2314">
        <f>'Part VI-Pro Forma'!I80</f>
        <v>64066.003912410961</v>
      </c>
      <c r="J975" s="2314">
        <f>'Part VI-Pro Forma'!J80</f>
        <v>65347.323990659192</v>
      </c>
      <c r="K975" s="2314">
        <f>'Part VI-Pro Forma'!K80</f>
        <v>66654.270470472373</v>
      </c>
      <c r="N975" s="2160"/>
      <c r="O975" s="2160"/>
      <c r="Z975" s="357" t="s">
        <v>6471</v>
      </c>
      <c r="AA975" s="1750">
        <v>80</v>
      </c>
    </row>
    <row r="976" spans="1:27" ht="13.35" customHeight="1">
      <c r="A976" s="357" t="s">
        <v>2217</v>
      </c>
      <c r="B976" s="2314">
        <f>'Part VI-Pro Forma'!B81</f>
        <v>-199110.72315837347</v>
      </c>
      <c r="C976" s="2314">
        <f>'Part VI-Pro Forma'!C81</f>
        <v>-203092.93762154094</v>
      </c>
      <c r="D976" s="2314">
        <f>'Part VI-Pro Forma'!D81</f>
        <v>-207154.79637397174</v>
      </c>
      <c r="E976" s="2314">
        <f>'Part VI-Pro Forma'!E81</f>
        <v>-211297.89230145115</v>
      </c>
      <c r="F976" s="2314">
        <f>'Part VI-Pro Forma'!F81</f>
        <v>-215523.85014748017</v>
      </c>
      <c r="G976" s="2314">
        <f>'Part VI-Pro Forma'!G81</f>
        <v>-219834.32715042977</v>
      </c>
      <c r="H976" s="2314">
        <f>'Part VI-Pro Forma'!H81</f>
        <v>-224231.01369343841</v>
      </c>
      <c r="I976" s="2314">
        <f>'Part VI-Pro Forma'!I81</f>
        <v>-228715.63396730713</v>
      </c>
      <c r="J976" s="2314">
        <f>'Part VI-Pro Forma'!J81</f>
        <v>-233289.94664665332</v>
      </c>
      <c r="K976" s="2314">
        <f>'Part VI-Pro Forma'!K81</f>
        <v>-237955.74557958636</v>
      </c>
      <c r="N976" s="2160"/>
      <c r="O976" s="2160"/>
      <c r="Z976" s="357" t="s">
        <v>6471</v>
      </c>
      <c r="AA976" s="1750">
        <v>81</v>
      </c>
    </row>
    <row r="977" spans="1:27" ht="13.35" customHeight="1">
      <c r="A977" s="357" t="s">
        <v>47</v>
      </c>
      <c r="B977" s="2314">
        <f>'Part VI-Pro Forma'!B82</f>
        <v>0</v>
      </c>
      <c r="C977" s="2314">
        <f>'Part VI-Pro Forma'!C82</f>
        <v>0</v>
      </c>
      <c r="D977" s="2314">
        <f>'Part VI-Pro Forma'!D82</f>
        <v>0</v>
      </c>
      <c r="E977" s="2314">
        <f>'Part VI-Pro Forma'!E82</f>
        <v>0</v>
      </c>
      <c r="F977" s="2314">
        <f>'Part VI-Pro Forma'!F82</f>
        <v>0</v>
      </c>
      <c r="G977" s="2314">
        <f>'Part VI-Pro Forma'!G82</f>
        <v>0</v>
      </c>
      <c r="H977" s="2314">
        <f>'Part VI-Pro Forma'!H82</f>
        <v>0</v>
      </c>
      <c r="I977" s="2314">
        <f>'Part VI-Pro Forma'!I82</f>
        <v>0</v>
      </c>
      <c r="J977" s="2314">
        <f>'Part VI-Pro Forma'!J82</f>
        <v>0</v>
      </c>
      <c r="K977" s="2314">
        <f>'Part VI-Pro Forma'!K82</f>
        <v>0</v>
      </c>
      <c r="N977" s="2160"/>
      <c r="O977" s="2160"/>
      <c r="Z977" s="357" t="s">
        <v>6471</v>
      </c>
      <c r="AA977" s="1750">
        <v>82</v>
      </c>
    </row>
    <row r="978" spans="1:27" ht="13.35" customHeight="1">
      <c r="A978" s="357" t="s">
        <v>48</v>
      </c>
      <c r="B978" s="2314">
        <f>'Part VI-Pro Forma'!B83</f>
        <v>0</v>
      </c>
      <c r="C978" s="2314">
        <f>'Part VI-Pro Forma'!C83</f>
        <v>0</v>
      </c>
      <c r="D978" s="2314">
        <f>'Part VI-Pro Forma'!D83</f>
        <v>0</v>
      </c>
      <c r="E978" s="2314">
        <f>'Part VI-Pro Forma'!E83</f>
        <v>0</v>
      </c>
      <c r="F978" s="2314">
        <f>'Part VI-Pro Forma'!F83</f>
        <v>0</v>
      </c>
      <c r="G978" s="2314">
        <f>'Part VI-Pro Forma'!G83</f>
        <v>0</v>
      </c>
      <c r="H978" s="2314">
        <f>'Part VI-Pro Forma'!H83</f>
        <v>0</v>
      </c>
      <c r="I978" s="2314">
        <f>'Part VI-Pro Forma'!I83</f>
        <v>0</v>
      </c>
      <c r="J978" s="2314">
        <f>'Part VI-Pro Forma'!J83</f>
        <v>0</v>
      </c>
      <c r="K978" s="2314">
        <f>'Part VI-Pro Forma'!K83</f>
        <v>0</v>
      </c>
      <c r="N978" s="2160"/>
      <c r="O978" s="2160"/>
      <c r="Z978" s="357" t="s">
        <v>6471</v>
      </c>
      <c r="AA978" s="1750">
        <v>83</v>
      </c>
    </row>
    <row r="979" spans="1:27" ht="13.35" customHeight="1">
      <c r="A979" s="357" t="s">
        <v>3843</v>
      </c>
      <c r="B979" s="2314">
        <f t="shared" ref="B979:K979" si="398">SUM(B974:B978)</f>
        <v>2645328.1791041042</v>
      </c>
      <c r="C979" s="2314">
        <f t="shared" si="398"/>
        <v>2698234.7426861865</v>
      </c>
      <c r="D979" s="2314">
        <f t="shared" si="398"/>
        <v>2752199.43753991</v>
      </c>
      <c r="E979" s="2314">
        <f t="shared" si="398"/>
        <v>2807243.4262907081</v>
      </c>
      <c r="F979" s="2314">
        <f t="shared" si="398"/>
        <v>2863388.2948165219</v>
      </c>
      <c r="G979" s="2314">
        <f t="shared" si="398"/>
        <v>2920656.0607128525</v>
      </c>
      <c r="H979" s="2314">
        <f t="shared" si="398"/>
        <v>2979069.1819271101</v>
      </c>
      <c r="I979" s="2314">
        <f t="shared" si="398"/>
        <v>3038650.5655656517</v>
      </c>
      <c r="J979" s="2314">
        <f t="shared" si="398"/>
        <v>3099423.5768769654</v>
      </c>
      <c r="K979" s="2314">
        <f t="shared" si="398"/>
        <v>3161412.0484145042</v>
      </c>
      <c r="N979" s="2160"/>
      <c r="O979" s="2160"/>
      <c r="Z979" s="357" t="s">
        <v>6471</v>
      </c>
      <c r="AA979" s="1750">
        <v>84</v>
      </c>
    </row>
    <row r="980" spans="1:27" ht="13.35" customHeight="1">
      <c r="A980" s="357" t="s">
        <v>572</v>
      </c>
      <c r="B980" s="2314">
        <f>'Part VI-Pro Forma'!B85</f>
        <v>-1351621.403577202</v>
      </c>
      <c r="C980" s="2314">
        <f>'Part VI-Pro Forma'!C85</f>
        <v>-1392170.0456845181</v>
      </c>
      <c r="D980" s="2314">
        <f>'Part VI-Pro Forma'!D85</f>
        <v>-1433935.1470550536</v>
      </c>
      <c r="E980" s="2314">
        <f>'Part VI-Pro Forma'!E85</f>
        <v>-1476953.2014667054</v>
      </c>
      <c r="F980" s="2314">
        <f>'Part VI-Pro Forma'!F85</f>
        <v>-1521261.7975107064</v>
      </c>
      <c r="G980" s="2314">
        <f>'Part VI-Pro Forma'!G85</f>
        <v>-1566899.6514360274</v>
      </c>
      <c r="H980" s="2314">
        <f>'Part VI-Pro Forma'!H85</f>
        <v>-1613906.6409791086</v>
      </c>
      <c r="I980" s="2314">
        <f>'Part VI-Pro Forma'!I85</f>
        <v>-1662323.8402084815</v>
      </c>
      <c r="J980" s="2314">
        <f>'Part VI-Pro Forma'!J85</f>
        <v>-1712193.555414736</v>
      </c>
      <c r="K980" s="2314">
        <f>'Part VI-Pro Forma'!K85</f>
        <v>-1763559.362077178</v>
      </c>
      <c r="N980" s="2160"/>
      <c r="O980" s="2160"/>
      <c r="Z980" s="357" t="s">
        <v>6471</v>
      </c>
      <c r="AA980" s="1750">
        <v>85</v>
      </c>
    </row>
    <row r="981" spans="1:27" ht="13.35" customHeight="1">
      <c r="A981" s="357" t="s">
        <v>1051</v>
      </c>
      <c r="B981" s="2314">
        <f>'Part VI-Pro Forma'!B86</f>
        <v>-171946</v>
      </c>
      <c r="C981" s="2314">
        <f>'Part VI-Pro Forma'!C86</f>
        <v>-175385</v>
      </c>
      <c r="D981" s="2314">
        <f>'Part VI-Pro Forma'!D86</f>
        <v>-178893</v>
      </c>
      <c r="E981" s="2314">
        <f>'Part VI-Pro Forma'!E86</f>
        <v>-182471</v>
      </c>
      <c r="F981" s="2314">
        <f>'Part VI-Pro Forma'!F86</f>
        <v>-186120</v>
      </c>
      <c r="G981" s="2314">
        <f>'Part VI-Pro Forma'!G86</f>
        <v>-189843</v>
      </c>
      <c r="H981" s="2314">
        <f>'Part VI-Pro Forma'!H86</f>
        <v>-193639</v>
      </c>
      <c r="I981" s="2314">
        <f>'Part VI-Pro Forma'!I86</f>
        <v>-197512</v>
      </c>
      <c r="J981" s="2314">
        <f>'Part VI-Pro Forma'!J86</f>
        <v>-201463</v>
      </c>
      <c r="K981" s="2314">
        <f>'Part VI-Pro Forma'!K86</f>
        <v>-205492</v>
      </c>
      <c r="N981" s="2160"/>
      <c r="O981" s="2160"/>
      <c r="Z981" s="357" t="s">
        <v>6471</v>
      </c>
      <c r="AA981" s="1750">
        <v>86</v>
      </c>
    </row>
    <row r="982" spans="1:27" ht="13.35" customHeight="1">
      <c r="A982" s="357" t="s">
        <v>1129</v>
      </c>
      <c r="B982" s="2314">
        <f>'Part VI-Pro Forma'!B87</f>
        <v>-54183.337040082399</v>
      </c>
      <c r="C982" s="2314">
        <f>'Part VI-Pro Forma'!C87</f>
        <v>-55808.837151284861</v>
      </c>
      <c r="D982" s="2314">
        <f>'Part VI-Pro Forma'!D87</f>
        <v>-57483.102265823414</v>
      </c>
      <c r="E982" s="2314">
        <f>'Part VI-Pro Forma'!E87</f>
        <v>-59207.595333798119</v>
      </c>
      <c r="F982" s="2314">
        <f>'Part VI-Pro Forma'!F87</f>
        <v>-60983.823193812052</v>
      </c>
      <c r="G982" s="2314">
        <f>'Part VI-Pro Forma'!G87</f>
        <v>-62813.337889626418</v>
      </c>
      <c r="H982" s="2314">
        <f>'Part VI-Pro Forma'!H87</f>
        <v>-64697.738026315215</v>
      </c>
      <c r="I982" s="2314">
        <f>'Part VI-Pro Forma'!I87</f>
        <v>-66638.670167104661</v>
      </c>
      <c r="J982" s="2314">
        <f>'Part VI-Pro Forma'!J87</f>
        <v>-68637.830272117804</v>
      </c>
      <c r="K982" s="2314">
        <f>'Part VI-Pro Forma'!K87</f>
        <v>-70696.965180281331</v>
      </c>
      <c r="N982" s="2160"/>
      <c r="O982" s="2160"/>
      <c r="Q982" s="1750">
        <v>10</v>
      </c>
      <c r="R982" s="1903">
        <f>-SUM(B988:K988)</f>
        <v>0</v>
      </c>
      <c r="S982" s="1903">
        <f>SUM(B989:K989)+R982</f>
        <v>0</v>
      </c>
      <c r="Z982" s="357" t="s">
        <v>6471</v>
      </c>
      <c r="AA982" s="1750">
        <v>87</v>
      </c>
    </row>
    <row r="983" spans="1:27" ht="13.35" customHeight="1">
      <c r="A983" s="357" t="s">
        <v>3842</v>
      </c>
      <c r="B983" s="2315">
        <f>'Part VI-Pro Forma'!B88</f>
        <v>0</v>
      </c>
      <c r="C983" s="2315">
        <f>'Part VI-Pro Forma'!C88</f>
        <v>0</v>
      </c>
      <c r="D983" s="2315">
        <f>'Part VI-Pro Forma'!D88</f>
        <v>0</v>
      </c>
      <c r="E983" s="2315">
        <f>'Part VI-Pro Forma'!E88</f>
        <v>0</v>
      </c>
      <c r="F983" s="2315">
        <f>'Part VI-Pro Forma'!F88</f>
        <v>0</v>
      </c>
      <c r="G983" s="2315">
        <f>'Part VI-Pro Forma'!G88</f>
        <v>0</v>
      </c>
      <c r="H983" s="2315">
        <f>'Part VI-Pro Forma'!H88</f>
        <v>0</v>
      </c>
      <c r="I983" s="2315">
        <f>'Part VI-Pro Forma'!I88</f>
        <v>0</v>
      </c>
      <c r="J983" s="2315">
        <f>'Part VI-Pro Forma'!J88</f>
        <v>0</v>
      </c>
      <c r="K983" s="2315">
        <f>'Part VI-Pro Forma'!K88</f>
        <v>0</v>
      </c>
      <c r="N983" s="2160"/>
      <c r="O983" s="2160"/>
      <c r="Z983" s="357" t="s">
        <v>6471</v>
      </c>
      <c r="AA983" s="1750">
        <v>88</v>
      </c>
    </row>
    <row r="984" spans="1:27" ht="13.35" customHeight="1">
      <c r="A984" s="357" t="s">
        <v>1130</v>
      </c>
      <c r="B984" s="2314">
        <f t="shared" ref="B984:K984" si="399">SUM(B979:B983)</f>
        <v>1067577.4384868199</v>
      </c>
      <c r="C984" s="2314">
        <f t="shared" si="399"/>
        <v>1074870.8598503836</v>
      </c>
      <c r="D984" s="2314">
        <f t="shared" si="399"/>
        <v>1081888.1882190329</v>
      </c>
      <c r="E984" s="2314">
        <f t="shared" si="399"/>
        <v>1088611.6294902046</v>
      </c>
      <c r="F984" s="2314">
        <f t="shared" si="399"/>
        <v>1095022.6741120035</v>
      </c>
      <c r="G984" s="2314">
        <f t="shared" si="399"/>
        <v>1101100.0713871988</v>
      </c>
      <c r="H984" s="2314">
        <f t="shared" si="399"/>
        <v>1106825.8029216863</v>
      </c>
      <c r="I984" s="2314">
        <f t="shared" si="399"/>
        <v>1112176.0551900656</v>
      </c>
      <c r="J984" s="2314">
        <f t="shared" si="399"/>
        <v>1117129.1911901115</v>
      </c>
      <c r="K984" s="2314">
        <f t="shared" si="399"/>
        <v>1121663.7211570449</v>
      </c>
      <c r="N984" s="2160"/>
      <c r="O984" s="2160"/>
      <c r="Z984" s="357" t="s">
        <v>6471</v>
      </c>
      <c r="AA984" s="1750">
        <v>89</v>
      </c>
    </row>
    <row r="985" spans="1:27" ht="13.35" customHeight="1">
      <c r="A985" s="357" t="str">
        <f>$A953</f>
        <v>Mortgage A</v>
      </c>
      <c r="B985" s="2315">
        <f>'Part VI-Pro Forma'!B90</f>
        <v>-711358.87799951679</v>
      </c>
      <c r="C985" s="2315">
        <f>'Part VI-Pro Forma'!C90</f>
        <v>-711358.87799951679</v>
      </c>
      <c r="D985" s="2315">
        <f>'Part VI-Pro Forma'!D90</f>
        <v>-711358.87799951679</v>
      </c>
      <c r="E985" s="2315">
        <f>'Part VI-Pro Forma'!E90</f>
        <v>-711358.87799951679</v>
      </c>
      <c r="F985" s="2315">
        <f>'Part VI-Pro Forma'!F90</f>
        <v>-711358.87799951679</v>
      </c>
      <c r="G985" s="2315">
        <f>'Part VI-Pro Forma'!G90</f>
        <v>-711358.87799951679</v>
      </c>
      <c r="H985" s="2315">
        <f>'Part VI-Pro Forma'!H90</f>
        <v>-711358.87799951679</v>
      </c>
      <c r="I985" s="2315">
        <f>'Part VI-Pro Forma'!I90</f>
        <v>-711358.87799951679</v>
      </c>
      <c r="J985" s="2315">
        <f>'Part VI-Pro Forma'!J90</f>
        <v>-711358.87799951679</v>
      </c>
      <c r="K985" s="2315">
        <f>'Part VI-Pro Forma'!K90</f>
        <v>-711358.87799951679</v>
      </c>
      <c r="N985" s="2160"/>
      <c r="O985" s="2160"/>
      <c r="Z985" s="357" t="s">
        <v>6471</v>
      </c>
      <c r="AA985" s="1750">
        <v>90</v>
      </c>
    </row>
    <row r="986" spans="1:27" ht="13.35" customHeight="1">
      <c r="A986" s="357" t="str">
        <f>$A954</f>
        <v>Mortgage B</v>
      </c>
      <c r="B986" s="2315">
        <f>'Part VI-Pro Forma'!B91</f>
        <v>0</v>
      </c>
      <c r="C986" s="2315">
        <f>'Part VI-Pro Forma'!C91</f>
        <v>0</v>
      </c>
      <c r="D986" s="2315">
        <f>'Part VI-Pro Forma'!D91</f>
        <v>0</v>
      </c>
      <c r="E986" s="2315">
        <f>'Part VI-Pro Forma'!E91</f>
        <v>0</v>
      </c>
      <c r="F986" s="2315">
        <f>'Part VI-Pro Forma'!F91</f>
        <v>0</v>
      </c>
      <c r="G986" s="2315">
        <f>'Part VI-Pro Forma'!G91</f>
        <v>0</v>
      </c>
      <c r="H986" s="2315">
        <f>'Part VI-Pro Forma'!H91</f>
        <v>0</v>
      </c>
      <c r="I986" s="2315">
        <f>'Part VI-Pro Forma'!I91</f>
        <v>0</v>
      </c>
      <c r="J986" s="2315">
        <f>'Part VI-Pro Forma'!J91</f>
        <v>0</v>
      </c>
      <c r="K986" s="2315">
        <f>'Part VI-Pro Forma'!K91</f>
        <v>0</v>
      </c>
      <c r="N986" s="2160"/>
      <c r="O986" s="2160"/>
      <c r="Z986" s="357" t="s">
        <v>6471</v>
      </c>
      <c r="AA986" s="1750">
        <v>91</v>
      </c>
    </row>
    <row r="987" spans="1:27" ht="13.35" customHeight="1">
      <c r="A987" s="357" t="str">
        <f>$A955</f>
        <v>Mortgage C</v>
      </c>
      <c r="B987" s="2315">
        <f>'Part VI-Pro Forma'!B92</f>
        <v>0</v>
      </c>
      <c r="C987" s="2315">
        <f>'Part VI-Pro Forma'!C92</f>
        <v>0</v>
      </c>
      <c r="D987" s="2315">
        <f>'Part VI-Pro Forma'!D92</f>
        <v>0</v>
      </c>
      <c r="E987" s="2315">
        <f>'Part VI-Pro Forma'!E92</f>
        <v>0</v>
      </c>
      <c r="F987" s="2315">
        <f>'Part VI-Pro Forma'!F92</f>
        <v>0</v>
      </c>
      <c r="G987" s="2315">
        <f>'Part VI-Pro Forma'!G92</f>
        <v>0</v>
      </c>
      <c r="H987" s="2315">
        <f>'Part VI-Pro Forma'!H92</f>
        <v>0</v>
      </c>
      <c r="I987" s="2315">
        <f>'Part VI-Pro Forma'!I92</f>
        <v>0</v>
      </c>
      <c r="J987" s="2315">
        <f>'Part VI-Pro Forma'!J92</f>
        <v>0</v>
      </c>
      <c r="K987" s="2315">
        <f>'Part VI-Pro Forma'!K92</f>
        <v>0</v>
      </c>
      <c r="N987" s="2160"/>
      <c r="O987" s="2160"/>
      <c r="Z987" s="357" t="s">
        <v>6471</v>
      </c>
      <c r="AA987" s="1750">
        <v>92</v>
      </c>
    </row>
    <row r="988" spans="1:27" ht="13.35" customHeight="1">
      <c r="A988" s="357" t="str">
        <f>$A956</f>
        <v>D/S Other Source,not DDF</v>
      </c>
      <c r="B988" s="2315">
        <f>'Part VI-Pro Forma'!B93</f>
        <v>0</v>
      </c>
      <c r="C988" s="2315">
        <f>'Part VI-Pro Forma'!C93</f>
        <v>0</v>
      </c>
      <c r="D988" s="2315">
        <f>'Part VI-Pro Forma'!D93</f>
        <v>0</v>
      </c>
      <c r="E988" s="2315">
        <f>'Part VI-Pro Forma'!E93</f>
        <v>0</v>
      </c>
      <c r="F988" s="2315">
        <f>'Part VI-Pro Forma'!F93</f>
        <v>0</v>
      </c>
      <c r="G988" s="2315">
        <f>'Part VI-Pro Forma'!G93</f>
        <v>0</v>
      </c>
      <c r="H988" s="2315">
        <f>'Part VI-Pro Forma'!H93</f>
        <v>0</v>
      </c>
      <c r="I988" s="2315">
        <f>'Part VI-Pro Forma'!I93</f>
        <v>0</v>
      </c>
      <c r="J988" s="2315">
        <f>'Part VI-Pro Forma'!J93</f>
        <v>0</v>
      </c>
      <c r="K988" s="2315">
        <f>'Part VI-Pro Forma'!K93</f>
        <v>0</v>
      </c>
      <c r="N988" s="2160"/>
      <c r="O988" s="2160"/>
      <c r="Z988" s="357" t="s">
        <v>6471</v>
      </c>
      <c r="AA988" s="1750">
        <v>93</v>
      </c>
    </row>
    <row r="989" spans="1:27" ht="13.35" customHeight="1">
      <c r="A989" s="357" t="s">
        <v>711</v>
      </c>
      <c r="B989" s="2315">
        <f>'Part VI-Pro Forma'!B94</f>
        <v>0</v>
      </c>
      <c r="C989" s="2315">
        <f>'Part VI-Pro Forma'!C94</f>
        <v>0</v>
      </c>
      <c r="D989" s="2315">
        <f>'Part VI-Pro Forma'!D94</f>
        <v>0</v>
      </c>
      <c r="E989" s="2315">
        <f>'Part VI-Pro Forma'!E94</f>
        <v>0</v>
      </c>
      <c r="F989" s="2315">
        <f>'Part VI-Pro Forma'!F94</f>
        <v>0</v>
      </c>
      <c r="G989" s="2315">
        <f>'Part VI-Pro Forma'!G94</f>
        <v>0</v>
      </c>
      <c r="H989" s="2315">
        <f>'Part VI-Pro Forma'!H94</f>
        <v>0</v>
      </c>
      <c r="I989" s="2315">
        <f>'Part VI-Pro Forma'!I94</f>
        <v>0</v>
      </c>
      <c r="J989" s="2315">
        <f>'Part VI-Pro Forma'!J94</f>
        <v>0</v>
      </c>
      <c r="K989" s="2315">
        <f>'Part VI-Pro Forma'!K94</f>
        <v>0</v>
      </c>
      <c r="N989" s="2160"/>
      <c r="O989" s="2160"/>
      <c r="Z989" s="357" t="s">
        <v>6471</v>
      </c>
      <c r="AA989" s="1750">
        <v>94</v>
      </c>
    </row>
    <row r="990" spans="1:27" ht="13.35" customHeight="1">
      <c r="A990" s="357" t="s">
        <v>1096</v>
      </c>
      <c r="B990" s="2315">
        <f>'Part VI-Pro Forma'!B95</f>
        <v>-5000</v>
      </c>
      <c r="C990" s="2315">
        <f>'Part VI-Pro Forma'!C95</f>
        <v>-5000</v>
      </c>
      <c r="D990" s="2315">
        <f>'Part VI-Pro Forma'!D95</f>
        <v>-5000</v>
      </c>
      <c r="E990" s="2315">
        <f>'Part VI-Pro Forma'!E95</f>
        <v>-5000</v>
      </c>
      <c r="F990" s="2315">
        <f>'Part VI-Pro Forma'!F95</f>
        <v>-5000</v>
      </c>
      <c r="G990" s="2315">
        <f>'Part VI-Pro Forma'!G95</f>
        <v>-5000</v>
      </c>
      <c r="H990" s="2315">
        <f>'Part VI-Pro Forma'!H95</f>
        <v>-5000</v>
      </c>
      <c r="I990" s="2315">
        <f>'Part VI-Pro Forma'!I95</f>
        <v>-5000</v>
      </c>
      <c r="J990" s="2315">
        <f>'Part VI-Pro Forma'!J95</f>
        <v>-5000</v>
      </c>
      <c r="K990" s="2315">
        <f>'Part VI-Pro Forma'!K95</f>
        <v>-5000</v>
      </c>
      <c r="N990" s="2160"/>
      <c r="O990" s="2160"/>
      <c r="Z990" s="357" t="s">
        <v>6471</v>
      </c>
      <c r="AA990" s="1750">
        <v>95</v>
      </c>
    </row>
    <row r="991" spans="1:27" ht="13.35" customHeight="1">
      <c r="A991" s="357" t="s">
        <v>1097</v>
      </c>
      <c r="B991" s="2314">
        <f t="shared" ref="B991:K991" si="400">SUM(B984:B990)</f>
        <v>351218.56048730307</v>
      </c>
      <c r="C991" s="2314">
        <f t="shared" si="400"/>
        <v>358511.98185086681</v>
      </c>
      <c r="D991" s="2314">
        <f t="shared" si="400"/>
        <v>365529.31021951616</v>
      </c>
      <c r="E991" s="2314">
        <f t="shared" si="400"/>
        <v>372252.75149068784</v>
      </c>
      <c r="F991" s="2314">
        <f t="shared" si="400"/>
        <v>378663.79611248674</v>
      </c>
      <c r="G991" s="2314">
        <f t="shared" si="400"/>
        <v>384741.19338768197</v>
      </c>
      <c r="H991" s="2314">
        <f t="shared" si="400"/>
        <v>390466.92492216954</v>
      </c>
      <c r="I991" s="2314">
        <f t="shared" si="400"/>
        <v>395817.17719054886</v>
      </c>
      <c r="J991" s="2314">
        <f t="shared" si="400"/>
        <v>400770.31319059466</v>
      </c>
      <c r="K991" s="2314">
        <f t="shared" si="400"/>
        <v>405304.84315752808</v>
      </c>
      <c r="N991" s="2160"/>
      <c r="O991" s="2160"/>
      <c r="Z991" s="357" t="s">
        <v>6471</v>
      </c>
      <c r="AA991" s="1750">
        <v>96</v>
      </c>
    </row>
    <row r="992" spans="1:27" ht="13.35" customHeight="1">
      <c r="A992" s="357" t="str">
        <f>$A961</f>
        <v>DCR Mortgage A</v>
      </c>
      <c r="B992" s="2316">
        <f t="shared" ref="B992:K992" si="401">IF(B985=0,"",-B984/B985)</f>
        <v>1.5007578755312099</v>
      </c>
      <c r="C992" s="2316">
        <f t="shared" si="401"/>
        <v>1.5110106770202054</v>
      </c>
      <c r="D992" s="2316">
        <f t="shared" si="401"/>
        <v>1.5208753579649115</v>
      </c>
      <c r="E992" s="2316">
        <f t="shared" si="401"/>
        <v>1.5303269041241152</v>
      </c>
      <c r="F992" s="2316">
        <f t="shared" si="401"/>
        <v>1.539339295506406</v>
      </c>
      <c r="G992" s="2316">
        <f t="shared" si="401"/>
        <v>1.5478826587273529</v>
      </c>
      <c r="H992" s="2316">
        <f t="shared" si="401"/>
        <v>1.5559316642456218</v>
      </c>
      <c r="I992" s="2316">
        <f t="shared" si="401"/>
        <v>1.5634528359549358</v>
      </c>
      <c r="J992" s="2316">
        <f t="shared" si="401"/>
        <v>1.570415757418677</v>
      </c>
      <c r="K992" s="2316">
        <f t="shared" si="401"/>
        <v>1.5767902191807703</v>
      </c>
      <c r="N992" s="2160"/>
      <c r="O992" s="2160"/>
      <c r="Z992" s="357" t="s">
        <v>6471</v>
      </c>
      <c r="AA992" s="1750">
        <v>97</v>
      </c>
    </row>
    <row r="993" spans="1:27" ht="13.35" customHeight="1">
      <c r="A993" s="357" t="str">
        <f>$A962</f>
        <v>DCR Mortgage B</v>
      </c>
      <c r="B993" s="2316" t="str">
        <f t="shared" ref="B993:K993" si="402">IF(B986=0,"",-(B984+B985)/B986)</f>
        <v/>
      </c>
      <c r="C993" s="2316" t="str">
        <f t="shared" si="402"/>
        <v/>
      </c>
      <c r="D993" s="2316" t="str">
        <f t="shared" si="402"/>
        <v/>
      </c>
      <c r="E993" s="2316" t="str">
        <f t="shared" si="402"/>
        <v/>
      </c>
      <c r="F993" s="2316" t="str">
        <f t="shared" si="402"/>
        <v/>
      </c>
      <c r="G993" s="2316" t="str">
        <f t="shared" si="402"/>
        <v/>
      </c>
      <c r="H993" s="2316" t="str">
        <f t="shared" si="402"/>
        <v/>
      </c>
      <c r="I993" s="2316" t="str">
        <f t="shared" si="402"/>
        <v/>
      </c>
      <c r="J993" s="2316" t="str">
        <f t="shared" si="402"/>
        <v/>
      </c>
      <c r="K993" s="2316" t="str">
        <f t="shared" si="402"/>
        <v/>
      </c>
      <c r="N993" s="2160"/>
      <c r="O993" s="2160"/>
      <c r="Z993" s="357" t="s">
        <v>6471</v>
      </c>
      <c r="AA993" s="1750">
        <v>98</v>
      </c>
    </row>
    <row r="994" spans="1:27" ht="13.35" customHeight="1">
      <c r="A994" s="357" t="str">
        <f>$A963</f>
        <v>DCR Mortgage C</v>
      </c>
      <c r="B994" s="2316" t="str">
        <f t="shared" ref="B994:K994" si="403">IF(B987=0,"",-(B984+B985+B986)/B987)</f>
        <v/>
      </c>
      <c r="C994" s="2316" t="str">
        <f t="shared" si="403"/>
        <v/>
      </c>
      <c r="D994" s="2316" t="str">
        <f t="shared" si="403"/>
        <v/>
      </c>
      <c r="E994" s="2316" t="str">
        <f t="shared" si="403"/>
        <v/>
      </c>
      <c r="F994" s="2316" t="str">
        <f t="shared" si="403"/>
        <v/>
      </c>
      <c r="G994" s="2316" t="str">
        <f t="shared" si="403"/>
        <v/>
      </c>
      <c r="H994" s="2316" t="str">
        <f t="shared" si="403"/>
        <v/>
      </c>
      <c r="I994" s="2316" t="str">
        <f t="shared" si="403"/>
        <v/>
      </c>
      <c r="J994" s="2316" t="str">
        <f t="shared" si="403"/>
        <v/>
      </c>
      <c r="K994" s="2316" t="str">
        <f t="shared" si="403"/>
        <v/>
      </c>
      <c r="N994" s="2160"/>
      <c r="O994" s="2160"/>
      <c r="Z994" s="357" t="s">
        <v>6471</v>
      </c>
      <c r="AA994" s="1750">
        <v>99</v>
      </c>
    </row>
    <row r="995" spans="1:27" ht="13.35" customHeight="1">
      <c r="A995" s="357" t="str">
        <f>$A964</f>
        <v>DCR Other Source</v>
      </c>
      <c r="B995" s="2316" t="str">
        <f t="shared" ref="B995:K995" si="404">IF(B988=0,"",-(B984+B985+B986+B987)/B988)</f>
        <v/>
      </c>
      <c r="C995" s="2316" t="str">
        <f t="shared" si="404"/>
        <v/>
      </c>
      <c r="D995" s="2316" t="str">
        <f t="shared" si="404"/>
        <v/>
      </c>
      <c r="E995" s="2316" t="str">
        <f t="shared" si="404"/>
        <v/>
      </c>
      <c r="F995" s="2316" t="str">
        <f t="shared" si="404"/>
        <v/>
      </c>
      <c r="G995" s="2316" t="str">
        <f t="shared" si="404"/>
        <v/>
      </c>
      <c r="H995" s="2316" t="str">
        <f t="shared" si="404"/>
        <v/>
      </c>
      <c r="I995" s="2316" t="str">
        <f t="shared" si="404"/>
        <v/>
      </c>
      <c r="J995" s="2316" t="str">
        <f t="shared" si="404"/>
        <v/>
      </c>
      <c r="K995" s="2316" t="str">
        <f t="shared" si="404"/>
        <v/>
      </c>
      <c r="N995" s="2160"/>
      <c r="O995" s="2160"/>
      <c r="Z995" s="357" t="s">
        <v>6471</v>
      </c>
      <c r="AA995" s="1750">
        <v>100</v>
      </c>
    </row>
    <row r="996" spans="1:27" ht="13.35" customHeight="1">
      <c r="A996" s="357" t="s">
        <v>3217</v>
      </c>
      <c r="B996" s="2316">
        <f t="shared" ref="B996:K996" si="405">IF(AND(B985=0,B986=0,B987=0,B988=0),"",-B984/(B985+B986+B987+B988))</f>
        <v>1.5007578755312099</v>
      </c>
      <c r="C996" s="2316">
        <f t="shared" si="405"/>
        <v>1.5110106770202054</v>
      </c>
      <c r="D996" s="2316">
        <f t="shared" si="405"/>
        <v>1.5208753579649115</v>
      </c>
      <c r="E996" s="2316">
        <f t="shared" si="405"/>
        <v>1.5303269041241152</v>
      </c>
      <c r="F996" s="2316">
        <f t="shared" si="405"/>
        <v>1.539339295506406</v>
      </c>
      <c r="G996" s="2316">
        <f t="shared" si="405"/>
        <v>1.5478826587273529</v>
      </c>
      <c r="H996" s="2316">
        <f t="shared" si="405"/>
        <v>1.5559316642456218</v>
      </c>
      <c r="I996" s="2316">
        <f t="shared" si="405"/>
        <v>1.5634528359549358</v>
      </c>
      <c r="J996" s="2316">
        <f t="shared" si="405"/>
        <v>1.570415757418677</v>
      </c>
      <c r="K996" s="2316">
        <f t="shared" si="405"/>
        <v>1.5767902191807703</v>
      </c>
      <c r="N996" s="2160"/>
      <c r="O996" s="2160"/>
      <c r="Z996" s="357" t="s">
        <v>6471</v>
      </c>
      <c r="AA996" s="1750">
        <v>101</v>
      </c>
    </row>
    <row r="997" spans="1:27" ht="13.35" customHeight="1">
      <c r="A997" s="357" t="s">
        <v>718</v>
      </c>
      <c r="B997" s="2317">
        <f>IF(OR(B981="Choose mgt fee",B981="Choose One!"),"",(B974+B975+B976+B977+B978) / -(B980+B981+B982))</f>
        <v>1.6766451829197921</v>
      </c>
      <c r="C997" s="2317">
        <f t="shared" ref="C997:K997" si="406">IF(OR(C981="Choose mgt fee",C981="Choose One!"),"",(C974+C975+C976+C977+C978) / -(C980+C981+C982))</f>
        <v>1.6621256461445513</v>
      </c>
      <c r="D997" s="2317">
        <f t="shared" si="406"/>
        <v>1.6477165190972114</v>
      </c>
      <c r="E997" s="2317">
        <f t="shared" si="406"/>
        <v>1.6334176008594872</v>
      </c>
      <c r="F997" s="2317">
        <f t="shared" si="406"/>
        <v>1.6192286602335921</v>
      </c>
      <c r="G997" s="2317">
        <f t="shared" si="406"/>
        <v>1.6051476722050624</v>
      </c>
      <c r="H997" s="2317">
        <f t="shared" si="406"/>
        <v>1.5911762409381072</v>
      </c>
      <c r="I997" s="2317">
        <f t="shared" si="406"/>
        <v>1.5773115861124138</v>
      </c>
      <c r="J997" s="2317">
        <f t="shared" si="406"/>
        <v>1.5635536271788575</v>
      </c>
      <c r="K997" s="2317">
        <f t="shared" si="406"/>
        <v>1.5499029984082282</v>
      </c>
      <c r="N997" s="2160"/>
      <c r="O997" s="2160"/>
      <c r="Z997" s="357" t="s">
        <v>6471</v>
      </c>
      <c r="AA997" s="1750">
        <v>102</v>
      </c>
    </row>
    <row r="998" spans="1:27" ht="13.35" customHeight="1">
      <c r="A998" s="357" t="s">
        <v>2406</v>
      </c>
      <c r="B998" s="2315">
        <f>'Part VI-Pro Forma'!B103</f>
        <v>7927124.8753966307</v>
      </c>
      <c r="C998" s="2315">
        <f>'Part VI-Pro Forma'!C103</f>
        <v>7701293.3050691532</v>
      </c>
      <c r="D998" s="2315">
        <f>'Part VI-Pro Forma'!D103</f>
        <v>7461043.4167090161</v>
      </c>
      <c r="E998" s="2315">
        <f>'Part VI-Pro Forma'!E103</f>
        <v>7205454.6663258933</v>
      </c>
      <c r="F998" s="2315">
        <f>'Part VI-Pro Forma'!F103</f>
        <v>6933547.7373849619</v>
      </c>
      <c r="G998" s="2315">
        <f>'Part VI-Pro Forma'!G103</f>
        <v>6644280.7884474052</v>
      </c>
      <c r="H998" s="2315">
        <f>'Part VI-Pro Forma'!H103</f>
        <v>6336545.4612398352</v>
      </c>
      <c r="I998" s="2315">
        <f>'Part VI-Pro Forma'!I103</f>
        <v>6009162.6338571161</v>
      </c>
      <c r="J998" s="2315">
        <f>'Part VI-Pro Forma'!J103</f>
        <v>5660877.9028265113</v>
      </c>
      <c r="K998" s="2315">
        <f>'Part VI-Pro Forma'!K103</f>
        <v>5290356.7767221946</v>
      </c>
      <c r="N998" s="2160"/>
      <c r="O998" s="2160"/>
      <c r="Z998" s="357" t="s">
        <v>6471</v>
      </c>
      <c r="AA998" s="1750">
        <v>103</v>
      </c>
    </row>
    <row r="999" spans="1:27" ht="13.35" customHeight="1">
      <c r="A999" s="357" t="s">
        <v>2407</v>
      </c>
      <c r="B999" s="2315" t="str">
        <f>'Part VI-Pro Forma'!B104</f>
        <v/>
      </c>
      <c r="C999" s="2315" t="str">
        <f>'Part VI-Pro Forma'!C104</f>
        <v/>
      </c>
      <c r="D999" s="2315" t="str">
        <f>'Part VI-Pro Forma'!D104</f>
        <v/>
      </c>
      <c r="E999" s="2315" t="str">
        <f>'Part VI-Pro Forma'!E104</f>
        <v/>
      </c>
      <c r="F999" s="2315" t="str">
        <f>'Part VI-Pro Forma'!F104</f>
        <v/>
      </c>
      <c r="G999" s="2315" t="str">
        <f>'Part VI-Pro Forma'!G104</f>
        <v/>
      </c>
      <c r="H999" s="2315" t="str">
        <f>'Part VI-Pro Forma'!H104</f>
        <v/>
      </c>
      <c r="I999" s="2315" t="str">
        <f>'Part VI-Pro Forma'!I104</f>
        <v/>
      </c>
      <c r="J999" s="2315" t="str">
        <f>'Part VI-Pro Forma'!J104</f>
        <v/>
      </c>
      <c r="K999" s="2315" t="str">
        <f>'Part VI-Pro Forma'!K104</f>
        <v/>
      </c>
      <c r="N999" s="2160"/>
      <c r="O999" s="2160"/>
      <c r="Z999" s="357" t="s">
        <v>6471</v>
      </c>
      <c r="AA999" s="1750">
        <v>104</v>
      </c>
    </row>
    <row r="1000" spans="1:27" ht="13.35" customHeight="1">
      <c r="A1000" s="357" t="s">
        <v>2408</v>
      </c>
      <c r="B1000" s="2315" t="str">
        <f>'Part VI-Pro Forma'!B105</f>
        <v/>
      </c>
      <c r="C1000" s="2315" t="str">
        <f>'Part VI-Pro Forma'!C105</f>
        <v/>
      </c>
      <c r="D1000" s="2315" t="str">
        <f>'Part VI-Pro Forma'!D105</f>
        <v/>
      </c>
      <c r="E1000" s="2315" t="str">
        <f>'Part VI-Pro Forma'!E105</f>
        <v/>
      </c>
      <c r="F1000" s="2315" t="str">
        <f>'Part VI-Pro Forma'!F105</f>
        <v/>
      </c>
      <c r="G1000" s="2315" t="str">
        <f>'Part VI-Pro Forma'!G105</f>
        <v/>
      </c>
      <c r="H1000" s="2315" t="str">
        <f>'Part VI-Pro Forma'!H105</f>
        <v/>
      </c>
      <c r="I1000" s="2315" t="str">
        <f>'Part VI-Pro Forma'!I105</f>
        <v/>
      </c>
      <c r="J1000" s="2315" t="str">
        <f>'Part VI-Pro Forma'!J105</f>
        <v/>
      </c>
      <c r="K1000" s="2315" t="str">
        <f>'Part VI-Pro Forma'!K105</f>
        <v/>
      </c>
      <c r="N1000" s="2160"/>
      <c r="O1000" s="2160"/>
      <c r="Z1000" s="357" t="s">
        <v>6471</v>
      </c>
      <c r="AA1000" s="1750">
        <v>105</v>
      </c>
    </row>
    <row r="1001" spans="1:27" ht="13.35" customHeight="1">
      <c r="A1001" s="357" t="s">
        <v>730</v>
      </c>
      <c r="B1001" s="2315" t="str">
        <f>'Part VI-Pro Forma'!B106</f>
        <v/>
      </c>
      <c r="C1001" s="2315" t="str">
        <f>'Part VI-Pro Forma'!C106</f>
        <v/>
      </c>
      <c r="D1001" s="2315" t="str">
        <f>'Part VI-Pro Forma'!D106</f>
        <v/>
      </c>
      <c r="E1001" s="2315" t="str">
        <f>'Part VI-Pro Forma'!E106</f>
        <v/>
      </c>
      <c r="F1001" s="2315" t="str">
        <f>'Part VI-Pro Forma'!F106</f>
        <v/>
      </c>
      <c r="G1001" s="2315" t="str">
        <f>'Part VI-Pro Forma'!G106</f>
        <v/>
      </c>
      <c r="H1001" s="2315" t="str">
        <f>'Part VI-Pro Forma'!H106</f>
        <v/>
      </c>
      <c r="I1001" s="2315" t="str">
        <f>'Part VI-Pro Forma'!I106</f>
        <v/>
      </c>
      <c r="J1001" s="2315" t="str">
        <f>'Part VI-Pro Forma'!J106</f>
        <v/>
      </c>
      <c r="K1001" s="2315" t="str">
        <f>'Part VI-Pro Forma'!K106</f>
        <v/>
      </c>
      <c r="N1001" s="2160"/>
      <c r="O1001" s="2160"/>
      <c r="Z1001" s="357" t="s">
        <v>6471</v>
      </c>
      <c r="AA1001" s="1750">
        <v>106</v>
      </c>
    </row>
    <row r="1002" spans="1:27" ht="4.3499999999999996" customHeight="1">
      <c r="B1002" s="2314"/>
      <c r="C1002" s="2314"/>
      <c r="D1002" s="2314"/>
      <c r="E1002" s="2314"/>
      <c r="F1002" s="2314"/>
      <c r="G1002" s="2314"/>
      <c r="H1002" s="2314"/>
      <c r="I1002" s="2314"/>
      <c r="J1002" s="2314"/>
      <c r="K1002" s="2314"/>
      <c r="AA1002" s="1750">
        <v>107</v>
      </c>
    </row>
    <row r="1003" spans="1:27" ht="14.45" customHeight="1">
      <c r="A1003" s="357" t="s">
        <v>2285</v>
      </c>
      <c r="B1003" s="2314">
        <f>K973+1</f>
        <v>31</v>
      </c>
      <c r="C1003" s="2314">
        <f>B1003+1</f>
        <v>32</v>
      </c>
      <c r="D1003" s="2314">
        <f>C1003+1</f>
        <v>33</v>
      </c>
      <c r="E1003" s="2314">
        <f>D1003+1</f>
        <v>34</v>
      </c>
      <c r="F1003" s="2314">
        <f>E1003+1</f>
        <v>35</v>
      </c>
      <c r="G1003" s="2314"/>
      <c r="H1003" s="2314"/>
      <c r="I1003" s="2314"/>
      <c r="J1003" s="2314"/>
      <c r="K1003" s="2314"/>
      <c r="N1003" s="357" t="s">
        <v>3209</v>
      </c>
      <c r="AA1003" s="1750">
        <v>108</v>
      </c>
    </row>
    <row r="1004" spans="1:27" ht="13.35" customHeight="1">
      <c r="A1004" s="357" t="s">
        <v>2216</v>
      </c>
      <c r="B1004" s="2314">
        <f>'Part VI-Pro Forma'!B109</f>
        <v>3399367.7939940905</v>
      </c>
      <c r="C1004" s="2314">
        <f>'Part VI-Pro Forma'!C109</f>
        <v>3467355.1498739715</v>
      </c>
      <c r="D1004" s="2314">
        <f>'Part VI-Pro Forma'!D109</f>
        <v>3536702.2528714519</v>
      </c>
      <c r="E1004" s="2314">
        <f>'Part VI-Pro Forma'!E109</f>
        <v>3607436.2979288809</v>
      </c>
      <c r="F1004" s="2314">
        <f>'Part VI-Pro Forma'!F109</f>
        <v>3679585.0238874583</v>
      </c>
      <c r="G1004" s="2314"/>
      <c r="H1004" s="2314"/>
      <c r="I1004" s="2314"/>
      <c r="J1004" s="2314"/>
      <c r="K1004" s="2314"/>
      <c r="N1004" s="2160"/>
      <c r="O1004" s="2160"/>
      <c r="Z1004" s="357" t="s">
        <v>6472</v>
      </c>
      <c r="AA1004" s="1750">
        <v>109</v>
      </c>
    </row>
    <row r="1005" spans="1:27" ht="13.35" customHeight="1">
      <c r="A1005" s="357" t="s">
        <v>953</v>
      </c>
      <c r="B1005" s="2314">
        <f>'Part VI-Pro Forma'!B110</f>
        <v>67987.355879881812</v>
      </c>
      <c r="C1005" s="2314">
        <f>'Part VI-Pro Forma'!C110</f>
        <v>69347.102997479436</v>
      </c>
      <c r="D1005" s="2314">
        <f>'Part VI-Pro Forma'!D110</f>
        <v>70734.045057429044</v>
      </c>
      <c r="E1005" s="2314">
        <f>'Part VI-Pro Forma'!E110</f>
        <v>72148.725958577634</v>
      </c>
      <c r="F1005" s="2314">
        <f>'Part VI-Pro Forma'!F110</f>
        <v>73591.700477749167</v>
      </c>
      <c r="G1005" s="2314"/>
      <c r="H1005" s="2314"/>
      <c r="I1005" s="2314"/>
      <c r="J1005" s="2314"/>
      <c r="K1005" s="2314"/>
      <c r="N1005" s="2160"/>
      <c r="O1005" s="2160"/>
      <c r="Z1005" s="357" t="s">
        <v>6472</v>
      </c>
      <c r="AA1005" s="1750">
        <v>110</v>
      </c>
    </row>
    <row r="1006" spans="1:27" ht="13.35" customHeight="1">
      <c r="A1006" s="357" t="s">
        <v>2217</v>
      </c>
      <c r="B1006" s="2314">
        <f>'Part VI-Pro Forma'!B111</f>
        <v>-242714.86049117809</v>
      </c>
      <c r="C1006" s="2314">
        <f>'Part VI-Pro Forma'!C111</f>
        <v>-247569.15770100159</v>
      </c>
      <c r="D1006" s="2314">
        <f>'Part VI-Pro Forma'!D111</f>
        <v>-252520.54085502168</v>
      </c>
      <c r="E1006" s="2314">
        <f>'Part VI-Pro Forma'!E111</f>
        <v>-257570.95167212214</v>
      </c>
      <c r="F1006" s="2314">
        <f>'Part VI-Pro Forma'!F111</f>
        <v>-262722.37070556456</v>
      </c>
      <c r="G1006" s="2314"/>
      <c r="H1006" s="2314"/>
      <c r="I1006" s="2314"/>
      <c r="J1006" s="2314"/>
      <c r="K1006" s="2314"/>
      <c r="N1006" s="2160"/>
      <c r="O1006" s="2160"/>
      <c r="Z1006" s="357" t="s">
        <v>6472</v>
      </c>
      <c r="AA1006" s="1750">
        <v>111</v>
      </c>
    </row>
    <row r="1007" spans="1:27" ht="13.35" customHeight="1">
      <c r="A1007" s="357" t="s">
        <v>47</v>
      </c>
      <c r="B1007" s="2314">
        <f>'Part VI-Pro Forma'!B112</f>
        <v>0</v>
      </c>
      <c r="C1007" s="2314">
        <f>'Part VI-Pro Forma'!C112</f>
        <v>0</v>
      </c>
      <c r="D1007" s="2314">
        <f>'Part VI-Pro Forma'!D112</f>
        <v>0</v>
      </c>
      <c r="E1007" s="2314">
        <f>'Part VI-Pro Forma'!E112</f>
        <v>0</v>
      </c>
      <c r="F1007" s="2314">
        <f>'Part VI-Pro Forma'!F112</f>
        <v>0</v>
      </c>
      <c r="G1007" s="2314"/>
      <c r="H1007" s="2314"/>
      <c r="I1007" s="2314"/>
      <c r="J1007" s="2314"/>
      <c r="K1007" s="2314"/>
      <c r="N1007" s="2160"/>
      <c r="O1007" s="2160"/>
      <c r="Z1007" s="357" t="s">
        <v>6472</v>
      </c>
      <c r="AA1007" s="1750">
        <v>112</v>
      </c>
    </row>
    <row r="1008" spans="1:27" ht="13.35" customHeight="1">
      <c r="A1008" s="357" t="s">
        <v>48</v>
      </c>
      <c r="B1008" s="2314">
        <f>'Part VI-Pro Forma'!B113</f>
        <v>0</v>
      </c>
      <c r="C1008" s="2314">
        <f>'Part VI-Pro Forma'!C113</f>
        <v>0</v>
      </c>
      <c r="D1008" s="2314">
        <f>'Part VI-Pro Forma'!D113</f>
        <v>0</v>
      </c>
      <c r="E1008" s="2314">
        <f>'Part VI-Pro Forma'!E113</f>
        <v>0</v>
      </c>
      <c r="F1008" s="2314">
        <f>'Part VI-Pro Forma'!F113</f>
        <v>0</v>
      </c>
      <c r="G1008" s="2314"/>
      <c r="H1008" s="2314"/>
      <c r="I1008" s="2314"/>
      <c r="J1008" s="2314"/>
      <c r="K1008" s="2314"/>
      <c r="N1008" s="2160"/>
      <c r="O1008" s="2160"/>
      <c r="Z1008" s="357" t="s">
        <v>6472</v>
      </c>
      <c r="AA1008" s="1750">
        <v>113</v>
      </c>
    </row>
    <row r="1009" spans="1:27" ht="13.35" customHeight="1">
      <c r="A1009" s="357" t="s">
        <v>3843</v>
      </c>
      <c r="B1009" s="2314">
        <f>SUM(B1004:B1008)</f>
        <v>3224640.2893827944</v>
      </c>
      <c r="C1009" s="2314">
        <f>SUM(C1004:C1008)</f>
        <v>3289133.0951704495</v>
      </c>
      <c r="D1009" s="2314">
        <f>SUM(D1004:D1008)</f>
        <v>3354915.7570738592</v>
      </c>
      <c r="E1009" s="2314">
        <f>SUM(E1004:E1008)</f>
        <v>3422014.0722153364</v>
      </c>
      <c r="F1009" s="2314">
        <f>SUM(F1004:F1008)</f>
        <v>3490454.3536596429</v>
      </c>
      <c r="G1009" s="2314"/>
      <c r="H1009" s="2314"/>
      <c r="I1009" s="2314"/>
      <c r="J1009" s="2314"/>
      <c r="K1009" s="2314"/>
      <c r="N1009" s="2160"/>
      <c r="O1009" s="2160"/>
      <c r="Z1009" s="357" t="s">
        <v>6472</v>
      </c>
      <c r="AA1009" s="1750">
        <v>114</v>
      </c>
    </row>
    <row r="1010" spans="1:27" ht="13.35" customHeight="1">
      <c r="A1010" s="357" t="s">
        <v>572</v>
      </c>
      <c r="B1010" s="2314">
        <f>'Part VI-Pro Forma'!B115</f>
        <v>-1816466.1429394933</v>
      </c>
      <c r="C1010" s="2314">
        <f>'Part VI-Pro Forma'!C115</f>
        <v>-1870960.1272276784</v>
      </c>
      <c r="D1010" s="2314">
        <f>'Part VI-Pro Forma'!D115</f>
        <v>-1927088.9310445085</v>
      </c>
      <c r="E1010" s="2314">
        <f>'Part VI-Pro Forma'!E115</f>
        <v>-1984901.5989758437</v>
      </c>
      <c r="F1010" s="2314">
        <f>'Part VI-Pro Forma'!F115</f>
        <v>-2044448.6469451187</v>
      </c>
      <c r="G1010" s="2314"/>
      <c r="H1010" s="2314"/>
      <c r="I1010" s="2314"/>
      <c r="J1010" s="2314"/>
      <c r="K1010" s="2314"/>
      <c r="N1010" s="2160"/>
      <c r="O1010" s="2160"/>
      <c r="Z1010" s="357" t="s">
        <v>6472</v>
      </c>
      <c r="AA1010" s="1750">
        <v>115</v>
      </c>
    </row>
    <row r="1011" spans="1:27" ht="13.35" customHeight="1">
      <c r="A1011" s="357" t="s">
        <v>1051</v>
      </c>
      <c r="B1011" s="2314">
        <f>'Part VI-Pro Forma'!B116</f>
        <v>-209602</v>
      </c>
      <c r="C1011" s="2314">
        <f>'Part VI-Pro Forma'!C116</f>
        <v>-213794</v>
      </c>
      <c r="D1011" s="2314">
        <f>'Part VI-Pro Forma'!D116</f>
        <v>-218070</v>
      </c>
      <c r="E1011" s="2314">
        <f>'Part VI-Pro Forma'!E116</f>
        <v>-222431</v>
      </c>
      <c r="F1011" s="2314">
        <f>'Part VI-Pro Forma'!F116</f>
        <v>-226880</v>
      </c>
      <c r="G1011" s="2314"/>
      <c r="H1011" s="2314"/>
      <c r="I1011" s="2314"/>
      <c r="J1011" s="2314"/>
      <c r="K1011" s="2314"/>
      <c r="N1011" s="2160"/>
      <c r="O1011" s="2160"/>
      <c r="Z1011" s="357" t="s">
        <v>6472</v>
      </c>
      <c r="AA1011" s="1750">
        <v>116</v>
      </c>
    </row>
    <row r="1012" spans="1:27" ht="13.35" customHeight="1">
      <c r="A1012" s="357" t="s">
        <v>1129</v>
      </c>
      <c r="B1012" s="2314">
        <f>'Part VI-Pro Forma'!B117</f>
        <v>-72817.874135689766</v>
      </c>
      <c r="C1012" s="2314">
        <f>'Part VI-Pro Forma'!C117</f>
        <v>-75002.410359760484</v>
      </c>
      <c r="D1012" s="2314">
        <f>'Part VI-Pro Forma'!D117</f>
        <v>-77252.482670553276</v>
      </c>
      <c r="E1012" s="2314">
        <f>'Part VI-Pro Forma'!E117</f>
        <v>-79570.057150669876</v>
      </c>
      <c r="F1012" s="2314">
        <f>'Part VI-Pro Forma'!F117</f>
        <v>-81957.158865189966</v>
      </c>
      <c r="G1012" s="2314"/>
      <c r="H1012" s="2314"/>
      <c r="I1012" s="2314"/>
      <c r="J1012" s="2314"/>
      <c r="K1012" s="2314"/>
      <c r="N1012" s="2160"/>
      <c r="O1012" s="2160"/>
      <c r="Q1012" s="1750">
        <v>10</v>
      </c>
      <c r="R1012" s="1903">
        <f>-SUM(B1018:K1018)</f>
        <v>0</v>
      </c>
      <c r="S1012" s="1903">
        <f>SUM(B1019:K1019)+R1012</f>
        <v>0</v>
      </c>
      <c r="Z1012" s="357" t="s">
        <v>6472</v>
      </c>
      <c r="AA1012" s="1750">
        <v>117</v>
      </c>
    </row>
    <row r="1013" spans="1:27" ht="13.35" customHeight="1">
      <c r="A1013" s="357" t="s">
        <v>3842</v>
      </c>
      <c r="B1013" s="2315">
        <f>'Part VI-Pro Forma'!B118</f>
        <v>0</v>
      </c>
      <c r="C1013" s="2315">
        <f>'Part VI-Pro Forma'!C118</f>
        <v>0</v>
      </c>
      <c r="D1013" s="2315">
        <f>'Part VI-Pro Forma'!D118</f>
        <v>0</v>
      </c>
      <c r="E1013" s="2315">
        <f>'Part VI-Pro Forma'!E118</f>
        <v>0</v>
      </c>
      <c r="F1013" s="2315">
        <f>'Part VI-Pro Forma'!F118</f>
        <v>0</v>
      </c>
      <c r="G1013" s="2314"/>
      <c r="H1013" s="2314"/>
      <c r="I1013" s="2314"/>
      <c r="J1013" s="2314"/>
      <c r="K1013" s="2314"/>
      <c r="N1013" s="2160"/>
      <c r="O1013" s="2160"/>
      <c r="Z1013" s="357" t="s">
        <v>6472</v>
      </c>
      <c r="AA1013" s="1750">
        <v>118</v>
      </c>
    </row>
    <row r="1014" spans="1:27" ht="13.35" customHeight="1">
      <c r="A1014" s="357" t="s">
        <v>1130</v>
      </c>
      <c r="B1014" s="2314">
        <f>SUM(B1009:B1013)</f>
        <v>1125754.2723076113</v>
      </c>
      <c r="C1014" s="2314">
        <f>SUM(C1009:C1013)</f>
        <v>1129376.5575830105</v>
      </c>
      <c r="D1014" s="2314">
        <f>SUM(D1009:D1013)</f>
        <v>1132504.3433587975</v>
      </c>
      <c r="E1014" s="2314">
        <f>SUM(E1009:E1013)</f>
        <v>1135111.4160888228</v>
      </c>
      <c r="F1014" s="2314">
        <f>SUM(F1009:F1013)</f>
        <v>1137168.5478493343</v>
      </c>
      <c r="G1014" s="2314"/>
      <c r="H1014" s="2314"/>
      <c r="I1014" s="2314"/>
      <c r="J1014" s="2314"/>
      <c r="K1014" s="2314"/>
      <c r="N1014" s="2160"/>
      <c r="O1014" s="2160"/>
      <c r="Z1014" s="357" t="s">
        <v>6472</v>
      </c>
      <c r="AA1014" s="1750">
        <v>119</v>
      </c>
    </row>
    <row r="1015" spans="1:27" ht="13.35" customHeight="1">
      <c r="A1015" s="357" t="str">
        <f>$A985</f>
        <v>Mortgage A</v>
      </c>
      <c r="B1015" s="2315">
        <f>'Part VI-Pro Forma'!B120</f>
        <v>-711358.87799951679</v>
      </c>
      <c r="C1015" s="2315">
        <f>'Part VI-Pro Forma'!C120</f>
        <v>-711358.87799951679</v>
      </c>
      <c r="D1015" s="2315">
        <f>'Part VI-Pro Forma'!D120</f>
        <v>-711358.87799951679</v>
      </c>
      <c r="E1015" s="2315">
        <f>'Part VI-Pro Forma'!E120</f>
        <v>-711358.87799951679</v>
      </c>
      <c r="F1015" s="2315">
        <f>'Part VI-Pro Forma'!F120</f>
        <v>-711358.87799951679</v>
      </c>
      <c r="G1015" s="2314"/>
      <c r="H1015" s="2314"/>
      <c r="I1015" s="2314"/>
      <c r="J1015" s="2314"/>
      <c r="K1015" s="2314"/>
      <c r="N1015" s="2160"/>
      <c r="O1015" s="2160"/>
      <c r="Z1015" s="357" t="s">
        <v>6472</v>
      </c>
      <c r="AA1015" s="1750">
        <v>120</v>
      </c>
    </row>
    <row r="1016" spans="1:27" ht="13.35" customHeight="1">
      <c r="A1016" s="357" t="str">
        <f>$A986</f>
        <v>Mortgage B</v>
      </c>
      <c r="B1016" s="2315">
        <f>'Part VI-Pro Forma'!B121</f>
        <v>0</v>
      </c>
      <c r="C1016" s="2315">
        <f>'Part VI-Pro Forma'!C121</f>
        <v>0</v>
      </c>
      <c r="D1016" s="2315">
        <f>'Part VI-Pro Forma'!D121</f>
        <v>0</v>
      </c>
      <c r="E1016" s="2315">
        <f>'Part VI-Pro Forma'!E121</f>
        <v>0</v>
      </c>
      <c r="F1016" s="2315">
        <f>'Part VI-Pro Forma'!F121</f>
        <v>0</v>
      </c>
      <c r="G1016" s="2314"/>
      <c r="H1016" s="2314"/>
      <c r="I1016" s="2314"/>
      <c r="J1016" s="2314"/>
      <c r="K1016" s="2314"/>
      <c r="N1016" s="2160"/>
      <c r="O1016" s="2160"/>
      <c r="Z1016" s="357" t="s">
        <v>6472</v>
      </c>
      <c r="AA1016" s="1750">
        <v>121</v>
      </c>
    </row>
    <row r="1017" spans="1:27" ht="13.35" customHeight="1">
      <c r="A1017" s="357" t="str">
        <f>$A987</f>
        <v>Mortgage C</v>
      </c>
      <c r="B1017" s="2315">
        <f>'Part VI-Pro Forma'!B122</f>
        <v>0</v>
      </c>
      <c r="C1017" s="2315">
        <f>'Part VI-Pro Forma'!C122</f>
        <v>0</v>
      </c>
      <c r="D1017" s="2315">
        <f>'Part VI-Pro Forma'!D122</f>
        <v>0</v>
      </c>
      <c r="E1017" s="2315">
        <f>'Part VI-Pro Forma'!E122</f>
        <v>0</v>
      </c>
      <c r="F1017" s="2315">
        <f>'Part VI-Pro Forma'!F122</f>
        <v>0</v>
      </c>
      <c r="G1017" s="2314"/>
      <c r="H1017" s="2314"/>
      <c r="I1017" s="2314"/>
      <c r="J1017" s="2314"/>
      <c r="K1017" s="2314"/>
      <c r="N1017" s="2160"/>
      <c r="O1017" s="2160"/>
      <c r="Z1017" s="357" t="s">
        <v>6472</v>
      </c>
      <c r="AA1017" s="1750">
        <v>122</v>
      </c>
    </row>
    <row r="1018" spans="1:27" ht="13.35" customHeight="1">
      <c r="A1018" s="357" t="str">
        <f>$A988</f>
        <v>D/S Other Source,not DDF</v>
      </c>
      <c r="B1018" s="2315">
        <f>'Part VI-Pro Forma'!B123</f>
        <v>0</v>
      </c>
      <c r="C1018" s="2315">
        <f>'Part VI-Pro Forma'!C123</f>
        <v>0</v>
      </c>
      <c r="D1018" s="2315">
        <f>'Part VI-Pro Forma'!D123</f>
        <v>0</v>
      </c>
      <c r="E1018" s="2315">
        <f>'Part VI-Pro Forma'!E123</f>
        <v>0</v>
      </c>
      <c r="F1018" s="2315">
        <f>'Part VI-Pro Forma'!F123</f>
        <v>0</v>
      </c>
      <c r="G1018" s="2314"/>
      <c r="H1018" s="2314"/>
      <c r="I1018" s="2314"/>
      <c r="J1018" s="2314"/>
      <c r="K1018" s="2314"/>
      <c r="N1018" s="2160"/>
      <c r="O1018" s="2160"/>
      <c r="Z1018" s="357" t="s">
        <v>6472</v>
      </c>
      <c r="AA1018" s="1750">
        <v>123</v>
      </c>
    </row>
    <row r="1019" spans="1:27" ht="13.35" customHeight="1">
      <c r="A1019" s="357" t="s">
        <v>711</v>
      </c>
      <c r="B1019" s="2315">
        <f>'Part VI-Pro Forma'!B124</f>
        <v>0</v>
      </c>
      <c r="C1019" s="2315">
        <f>'Part VI-Pro Forma'!C124</f>
        <v>0</v>
      </c>
      <c r="D1019" s="2315">
        <f>'Part VI-Pro Forma'!D124</f>
        <v>0</v>
      </c>
      <c r="E1019" s="2315">
        <f>'Part VI-Pro Forma'!E124</f>
        <v>0</v>
      </c>
      <c r="F1019" s="2315">
        <f>'Part VI-Pro Forma'!F124</f>
        <v>0</v>
      </c>
      <c r="G1019" s="2314"/>
      <c r="H1019" s="2314"/>
      <c r="I1019" s="2314"/>
      <c r="J1019" s="2314"/>
      <c r="K1019" s="2314"/>
      <c r="N1019" s="2160"/>
      <c r="O1019" s="2160"/>
      <c r="Z1019" s="357" t="s">
        <v>6472</v>
      </c>
      <c r="AA1019" s="1750">
        <v>124</v>
      </c>
    </row>
    <row r="1020" spans="1:27" ht="13.35" customHeight="1">
      <c r="A1020" s="357" t="s">
        <v>1096</v>
      </c>
      <c r="B1020" s="2315">
        <f>'Part VI-Pro Forma'!B125</f>
        <v>-5000</v>
      </c>
      <c r="C1020" s="2315">
        <f>'Part VI-Pro Forma'!C125</f>
        <v>-5000</v>
      </c>
      <c r="D1020" s="2315">
        <f>'Part VI-Pro Forma'!D125</f>
        <v>-5000</v>
      </c>
      <c r="E1020" s="2315">
        <f>'Part VI-Pro Forma'!E125</f>
        <v>-5000</v>
      </c>
      <c r="F1020" s="2315">
        <f>'Part VI-Pro Forma'!F125</f>
        <v>-5000</v>
      </c>
      <c r="G1020" s="2314"/>
      <c r="H1020" s="2314"/>
      <c r="I1020" s="2314"/>
      <c r="J1020" s="2314"/>
      <c r="K1020" s="2314"/>
      <c r="N1020" s="2160"/>
      <c r="O1020" s="2160"/>
      <c r="Z1020" s="357" t="s">
        <v>6472</v>
      </c>
      <c r="AA1020" s="1750">
        <v>125</v>
      </c>
    </row>
    <row r="1021" spans="1:27" ht="13.35" customHeight="1">
      <c r="A1021" s="357" t="s">
        <v>1097</v>
      </c>
      <c r="B1021" s="2314">
        <f>SUM(B1014:B1020)</f>
        <v>409395.39430809452</v>
      </c>
      <c r="C1021" s="2314">
        <f>SUM(C1014:C1020)</f>
        <v>413017.67958349374</v>
      </c>
      <c r="D1021" s="2314">
        <f>SUM(D1014:D1020)</f>
        <v>416145.4653592807</v>
      </c>
      <c r="E1021" s="2314">
        <f>SUM(E1014:E1020)</f>
        <v>418752.53808930598</v>
      </c>
      <c r="F1021" s="2314">
        <f>SUM(F1014:F1020)</f>
        <v>420809.66984981752</v>
      </c>
      <c r="G1021" s="2314"/>
      <c r="H1021" s="2314"/>
      <c r="I1021" s="2314"/>
      <c r="J1021" s="2314"/>
      <c r="K1021" s="2314"/>
      <c r="N1021" s="2160"/>
      <c r="O1021" s="2160"/>
      <c r="Z1021" s="357" t="s">
        <v>6472</v>
      </c>
      <c r="AA1021" s="1750">
        <v>126</v>
      </c>
    </row>
    <row r="1022" spans="1:27" ht="13.35" customHeight="1">
      <c r="A1022" s="357" t="str">
        <f>$A992</f>
        <v>DCR Mortgage A</v>
      </c>
      <c r="B1022" s="2316">
        <f>IF(B1015=0,"",-B1014/B1015)</f>
        <v>1.5825405531923031</v>
      </c>
      <c r="C1022" s="2316">
        <f>IF(C1015=0,"",-C1014/C1015)</f>
        <v>1.5876326176725915</v>
      </c>
      <c r="D1022" s="2316">
        <f>IF(D1015=0,"",-D1014/D1015)</f>
        <v>1.5920295344364379</v>
      </c>
      <c r="E1022" s="2316">
        <f>IF(E1015=0,"",-E1014/E1015)</f>
        <v>1.5956944535239128</v>
      </c>
      <c r="F1022" s="2316">
        <f>IF(F1015=0,"",-F1014/F1015)</f>
        <v>1.5985862874830203</v>
      </c>
      <c r="G1022" s="2314"/>
      <c r="H1022" s="2314"/>
      <c r="I1022" s="2314"/>
      <c r="J1022" s="2314"/>
      <c r="K1022" s="2314"/>
      <c r="N1022" s="2160"/>
      <c r="O1022" s="2160"/>
      <c r="Z1022" s="357" t="s">
        <v>6472</v>
      </c>
      <c r="AA1022" s="1750">
        <v>127</v>
      </c>
    </row>
    <row r="1023" spans="1:27" ht="13.35" customHeight="1">
      <c r="A1023" s="357" t="str">
        <f>$A993</f>
        <v>DCR Mortgage B</v>
      </c>
      <c r="B1023" s="2316" t="str">
        <f>IF(B1016=0,"",-(B1014+B1015)/B1016)</f>
        <v/>
      </c>
      <c r="C1023" s="2316" t="str">
        <f>IF(C1016=0,"",-(C1014+C1015)/C1016)</f>
        <v/>
      </c>
      <c r="D1023" s="2316" t="str">
        <f>IF(D1016=0,"",-(D1014+D1015)/D1016)</f>
        <v/>
      </c>
      <c r="E1023" s="2316" t="str">
        <f>IF(E1016=0,"",-(E1014+E1015)/E1016)</f>
        <v/>
      </c>
      <c r="F1023" s="2316" t="str">
        <f>IF(F1016=0,"",-(F1014+F1015)/F1016)</f>
        <v/>
      </c>
      <c r="G1023" s="2314"/>
      <c r="H1023" s="2314"/>
      <c r="I1023" s="2314"/>
      <c r="J1023" s="2314"/>
      <c r="K1023" s="2314"/>
      <c r="N1023" s="2160"/>
      <c r="O1023" s="2160"/>
      <c r="Z1023" s="357" t="s">
        <v>6472</v>
      </c>
      <c r="AA1023" s="1750">
        <v>128</v>
      </c>
    </row>
    <row r="1024" spans="1:27" ht="13.35" customHeight="1">
      <c r="A1024" s="357" t="str">
        <f>$A994</f>
        <v>DCR Mortgage C</v>
      </c>
      <c r="B1024" s="2316" t="str">
        <f>IF(B1017=0,"",-(B1014+B1015+B1016)/B1017)</f>
        <v/>
      </c>
      <c r="C1024" s="2316" t="str">
        <f>IF(C1017=0,"",-(C1014+C1015+C1016)/C1017)</f>
        <v/>
      </c>
      <c r="D1024" s="2316" t="str">
        <f>IF(D1017=0,"",-(D1014+D1015+D1016)/D1017)</f>
        <v/>
      </c>
      <c r="E1024" s="2316" t="str">
        <f>IF(E1017=0,"",-(E1014+E1015+E1016)/E1017)</f>
        <v/>
      </c>
      <c r="F1024" s="2316" t="str">
        <f>IF(F1017=0,"",-(F1014+F1015+F1016)/F1017)</f>
        <v/>
      </c>
      <c r="G1024" s="2314"/>
      <c r="H1024" s="2314"/>
      <c r="I1024" s="2314"/>
      <c r="J1024" s="2314"/>
      <c r="K1024" s="2314"/>
      <c r="N1024" s="2160"/>
      <c r="O1024" s="2160"/>
      <c r="Z1024" s="357" t="s">
        <v>6472</v>
      </c>
      <c r="AA1024" s="1750">
        <v>129</v>
      </c>
    </row>
    <row r="1025" spans="1:27" ht="13.35" customHeight="1">
      <c r="A1025" s="357" t="str">
        <f>$A995</f>
        <v>DCR Other Source</v>
      </c>
      <c r="B1025" s="2316" t="str">
        <f>IF(B1018=0,"",-(B1014+B1015+B1016+B1017)/B1018)</f>
        <v/>
      </c>
      <c r="C1025" s="2316" t="str">
        <f>IF(C1018=0,"",-(C1014+C1015+C1016+C1017)/C1018)</f>
        <v/>
      </c>
      <c r="D1025" s="2316" t="str">
        <f>IF(D1018=0,"",-(D1014+D1015+D1016+D1017)/D1018)</f>
        <v/>
      </c>
      <c r="E1025" s="2316" t="str">
        <f>IF(E1018=0,"",-(E1014+E1015+E1016+E1017)/E1018)</f>
        <v/>
      </c>
      <c r="F1025" s="2316" t="str">
        <f>IF(F1018=0,"",-(F1014+F1015+F1016+F1017)/F1018)</f>
        <v/>
      </c>
      <c r="G1025" s="2314"/>
      <c r="H1025" s="2314"/>
      <c r="I1025" s="2314"/>
      <c r="J1025" s="2314"/>
      <c r="K1025" s="2314"/>
      <c r="N1025" s="2160"/>
      <c r="O1025" s="2160"/>
      <c r="Z1025" s="357" t="s">
        <v>6472</v>
      </c>
      <c r="AA1025" s="1750">
        <v>130</v>
      </c>
    </row>
    <row r="1026" spans="1:27" ht="13.35" customHeight="1">
      <c r="A1026" s="357" t="s">
        <v>3217</v>
      </c>
      <c r="B1026" s="2316">
        <f>IF(AND(B1015=0,B1016=0,B1017=0,B1018=0),"",-B1014/(B1015+B1016+B1017+B1018))</f>
        <v>1.5825405531923031</v>
      </c>
      <c r="C1026" s="2316">
        <f>IF(AND(C1015=0,C1016=0,C1017=0,C1018=0),"",-C1014/(C1015+C1016+C1017+C1018))</f>
        <v>1.5876326176725915</v>
      </c>
      <c r="D1026" s="2316">
        <f>IF(AND(D1015=0,D1016=0,D1017=0,D1018=0),"",-D1014/(D1015+D1016+D1017+D1018))</f>
        <v>1.5920295344364379</v>
      </c>
      <c r="E1026" s="2316">
        <f>IF(AND(E1015=0,E1016=0,E1017=0,E1018=0),"",-E1014/(E1015+E1016+E1017+E1018))</f>
        <v>1.5956944535239128</v>
      </c>
      <c r="F1026" s="2316">
        <f>IF(AND(F1015=0,F1016=0,F1017=0,F1018=0),"",-F1014/(F1015+F1016+F1017+F1018))</f>
        <v>1.5985862874830203</v>
      </c>
      <c r="G1026" s="2314"/>
      <c r="H1026" s="2314"/>
      <c r="I1026" s="2314"/>
      <c r="J1026" s="2314"/>
      <c r="K1026" s="2314"/>
      <c r="N1026" s="2160"/>
      <c r="O1026" s="2160"/>
      <c r="Z1026" s="357" t="s">
        <v>6472</v>
      </c>
      <c r="AA1026" s="1750">
        <v>131</v>
      </c>
    </row>
    <row r="1027" spans="1:27" ht="13.35" customHeight="1">
      <c r="A1027" s="357" t="s">
        <v>718</v>
      </c>
      <c r="B1027" s="2317">
        <f>IF(OR(B1011="Choose mgt fee",B1011="Choose One!"),"",(B1004+B1005+B1006+B1007+B1008) / -(B1010+B1011+B1012))</f>
        <v>1.536357983782445</v>
      </c>
      <c r="C1027" s="2317">
        <f>IF(OR(C1011="Choose mgt fee",C1011="Choose One!"),"",(C1004+C1005+C1006+C1007+C1008) / -(C1010+C1011+C1012))</f>
        <v>1.5229184576723558</v>
      </c>
      <c r="D1027" s="2317">
        <f>IF(OR(D1011="Choose mgt fee",D1011="Choose One!"),"",(D1004+D1005+D1006+D1007+D1008) / -(D1010+D1011+D1012))</f>
        <v>1.5095835705170639</v>
      </c>
      <c r="E1027" s="2317">
        <f>IF(OR(E1011="Choose mgt fee",E1011="Choose One!"),"",(E1004+E1005+E1006+E1007+E1008) / -(E1010+E1011+E1012))</f>
        <v>1.4963531845345093</v>
      </c>
      <c r="F1027" s="2317">
        <f>IF(OR(F1011="Choose mgt fee",F1011="Choose One!"),"",(F1004+F1005+F1006+F1007+F1008) / -(F1010+F1011+F1012))</f>
        <v>1.4832258559677036</v>
      </c>
      <c r="G1027" s="2314"/>
      <c r="H1027" s="2314"/>
      <c r="I1027" s="2314"/>
      <c r="J1027" s="2314"/>
      <c r="K1027" s="2314"/>
      <c r="N1027" s="2160"/>
      <c r="O1027" s="2160"/>
      <c r="Z1027" s="357" t="s">
        <v>6472</v>
      </c>
      <c r="AA1027" s="1750">
        <v>132</v>
      </c>
    </row>
    <row r="1028" spans="1:27" ht="13.35" customHeight="1">
      <c r="A1028" s="357" t="s">
        <v>2406</v>
      </c>
      <c r="B1028" s="2315">
        <f>'Part VI-Pro Forma'!B133</f>
        <v>4896179.5629139105</v>
      </c>
      <c r="C1028" s="2315">
        <f>'Part VI-Pro Forma'!C133</f>
        <v>4476835.9278578172</v>
      </c>
      <c r="D1028" s="2315">
        <f>'Part VI-Pro Forma'!D133</f>
        <v>4030719.1100866459</v>
      </c>
      <c r="E1028" s="2315">
        <f>'Part VI-Pro Forma'!E133</f>
        <v>3556119.7637256254</v>
      </c>
      <c r="F1028" s="2315">
        <f>'Part VI-Pro Forma'!F133</f>
        <v>3051219.4089449095</v>
      </c>
      <c r="G1028" s="2314"/>
      <c r="H1028" s="2314"/>
      <c r="I1028" s="2314"/>
      <c r="J1028" s="2314"/>
      <c r="K1028" s="2314"/>
      <c r="N1028" s="2160"/>
      <c r="O1028" s="2160"/>
      <c r="Z1028" s="357" t="s">
        <v>6472</v>
      </c>
      <c r="AA1028" s="1750">
        <v>133</v>
      </c>
    </row>
    <row r="1029" spans="1:27" ht="13.35" customHeight="1">
      <c r="A1029" s="357" t="s">
        <v>2407</v>
      </c>
      <c r="B1029" s="2315" t="str">
        <f>'Part VI-Pro Forma'!B134</f>
        <v/>
      </c>
      <c r="C1029" s="2315" t="str">
        <f>'Part VI-Pro Forma'!C134</f>
        <v/>
      </c>
      <c r="D1029" s="2315" t="str">
        <f>'Part VI-Pro Forma'!D134</f>
        <v/>
      </c>
      <c r="E1029" s="2315" t="str">
        <f>'Part VI-Pro Forma'!E134</f>
        <v/>
      </c>
      <c r="F1029" s="2315" t="str">
        <f>'Part VI-Pro Forma'!F134</f>
        <v/>
      </c>
      <c r="G1029" s="2314"/>
      <c r="H1029" s="2314"/>
      <c r="I1029" s="2314"/>
      <c r="J1029" s="2314"/>
      <c r="K1029" s="2314"/>
      <c r="N1029" s="2160"/>
      <c r="O1029" s="2160"/>
      <c r="Z1029" s="357" t="s">
        <v>6472</v>
      </c>
      <c r="AA1029" s="1750">
        <v>134</v>
      </c>
    </row>
    <row r="1030" spans="1:27" ht="13.35" customHeight="1">
      <c r="A1030" s="357" t="s">
        <v>2408</v>
      </c>
      <c r="B1030" s="2315" t="str">
        <f>'Part VI-Pro Forma'!B135</f>
        <v/>
      </c>
      <c r="C1030" s="2315" t="str">
        <f>'Part VI-Pro Forma'!C135</f>
        <v/>
      </c>
      <c r="D1030" s="2315" t="str">
        <f>'Part VI-Pro Forma'!D135</f>
        <v/>
      </c>
      <c r="E1030" s="2315" t="str">
        <f>'Part VI-Pro Forma'!E135</f>
        <v/>
      </c>
      <c r="F1030" s="2315" t="str">
        <f>'Part VI-Pro Forma'!F135</f>
        <v/>
      </c>
      <c r="G1030" s="2314"/>
      <c r="H1030" s="2314"/>
      <c r="I1030" s="2314"/>
      <c r="J1030" s="2314"/>
      <c r="K1030" s="2314"/>
      <c r="N1030" s="2160"/>
      <c r="O1030" s="2160"/>
      <c r="Z1030" s="357" t="s">
        <v>6472</v>
      </c>
      <c r="AA1030" s="1750">
        <v>135</v>
      </c>
    </row>
    <row r="1031" spans="1:27" ht="13.35" customHeight="1">
      <c r="A1031" s="357" t="s">
        <v>730</v>
      </c>
      <c r="B1031" s="2315" t="str">
        <f>'Part VI-Pro Forma'!B136</f>
        <v/>
      </c>
      <c r="C1031" s="2315" t="str">
        <f>'Part VI-Pro Forma'!C136</f>
        <v/>
      </c>
      <c r="D1031" s="2315" t="str">
        <f>'Part VI-Pro Forma'!D136</f>
        <v/>
      </c>
      <c r="E1031" s="2315" t="str">
        <f>'Part VI-Pro Forma'!E136</f>
        <v/>
      </c>
      <c r="F1031" s="2315" t="str">
        <f>'Part VI-Pro Forma'!F136</f>
        <v/>
      </c>
      <c r="G1031" s="2314"/>
      <c r="H1031" s="2314"/>
      <c r="I1031" s="2314"/>
      <c r="J1031" s="2314"/>
      <c r="K1031" s="2314"/>
      <c r="N1031" s="2160"/>
      <c r="O1031" s="2160"/>
      <c r="Z1031" s="357" t="s">
        <v>6472</v>
      </c>
      <c r="AA1031" s="1750">
        <v>136</v>
      </c>
    </row>
    <row r="1032" spans="1:27" ht="4.3499999999999996" customHeight="1">
      <c r="AA1032" s="1750"/>
    </row>
    <row r="1033" spans="1:27" ht="12" customHeight="1">
      <c r="A1033" s="357" t="s">
        <v>529</v>
      </c>
      <c r="G1033" s="357" t="s">
        <v>968</v>
      </c>
      <c r="AA1033" s="1750"/>
    </row>
    <row r="1034" spans="1:27" ht="12" customHeight="1">
      <c r="AA1034" s="1750"/>
    </row>
    <row r="1035" spans="1:27" ht="15">
      <c r="A1035" s="2049" t="str">
        <f>'Part VI-Pro Forma'!A140</f>
        <v>Debt service payments do not deviate from the amount shown.</v>
      </c>
      <c r="B1035" s="2049"/>
      <c r="C1035" s="2049"/>
      <c r="D1035" s="2049"/>
      <c r="E1035" s="2049"/>
      <c r="F1035" s="2049"/>
      <c r="G1035" s="2049"/>
      <c r="H1035" s="2049"/>
      <c r="I1035" s="2049"/>
      <c r="J1035" s="2049"/>
      <c r="K1035" s="2049"/>
      <c r="N1035" s="2017" t="s">
        <v>2453</v>
      </c>
      <c r="O1035" s="2017"/>
      <c r="AA1035" s="1750"/>
    </row>
    <row r="1039" spans="1:27" ht="14.1" customHeight="1">
      <c r="A1039" s="359" t="str">
        <f>CONCATENATE("PART SEVEN - THRESHOLD CRITERIA","  -  ",'Part I-Project Identification'!$O$7," ",'Part I-Project Identification'!$F$29,", ",'Part I-Project Identification'!F1068,", ",'Part I-Project Identification'!J1068," County")</f>
        <v>PART SEVEN - THRESHOLD CRITERIA  -  2022-522 Harrison Village Apartments, ,  County</v>
      </c>
      <c r="B1039" s="359"/>
      <c r="C1039" s="359"/>
      <c r="D1039" s="359"/>
      <c r="E1039" s="359"/>
      <c r="F1039" s="359"/>
      <c r="G1039" s="359"/>
      <c r="H1039" s="359"/>
      <c r="I1039" s="359"/>
      <c r="J1039" s="359"/>
      <c r="K1039" s="359"/>
      <c r="L1039" s="359"/>
      <c r="M1039" s="359"/>
      <c r="N1039" s="359"/>
      <c r="O1039" s="359"/>
      <c r="P1039" s="359"/>
      <c r="Q1039" s="359"/>
      <c r="R1039" s="2292"/>
      <c r="S1039" s="2292"/>
    </row>
    <row r="1040" spans="1:27" ht="3" customHeight="1">
      <c r="R1040" s="2292"/>
      <c r="S1040" s="2292"/>
    </row>
    <row r="1041" spans="1:19" ht="13.5" customHeight="1">
      <c r="A1041" s="2318"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318"/>
      <c r="C1041" s="2318"/>
      <c r="D1041" s="2318"/>
      <c r="E1041" s="2318"/>
      <c r="F1041" s="2318"/>
      <c r="G1041" s="2318"/>
      <c r="H1041" s="2318"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318"/>
      <c r="J1041" s="2318"/>
      <c r="K1041" s="2318"/>
      <c r="L1041" s="2318"/>
      <c r="M1041" s="2318"/>
      <c r="N1041" s="2318"/>
      <c r="P1041" s="2292" t="s">
        <v>876</v>
      </c>
      <c r="Q1041" s="2218" t="s">
        <v>6540</v>
      </c>
      <c r="R1041" s="2292"/>
      <c r="S1041" s="2292"/>
    </row>
    <row r="1042" spans="1:19" ht="3" customHeight="1">
      <c r="A1042" s="1902"/>
      <c r="B1042" s="2255"/>
      <c r="C1042" s="2255"/>
      <c r="D1042" s="2255"/>
      <c r="E1042" s="1902"/>
      <c r="F1042" s="1902"/>
      <c r="G1042" s="1902"/>
      <c r="H1042" s="1902"/>
      <c r="J1042" s="362"/>
      <c r="K1042" s="1902"/>
      <c r="L1042" s="1902"/>
      <c r="M1042" s="1902"/>
      <c r="N1042" s="1902"/>
      <c r="P1042" s="2292"/>
      <c r="Q1042" s="2218"/>
      <c r="R1042" s="2292"/>
      <c r="S1042" s="2292"/>
    </row>
    <row r="1043" spans="1:19">
      <c r="E1043" s="2319" t="str">
        <f>'Part I-Project Identification'!$A$6</f>
        <v>Sept 20, 2022 Core Application - 4% Only</v>
      </c>
      <c r="F1043" s="2319"/>
      <c r="G1043" s="2319"/>
      <c r="H1043" s="2319"/>
      <c r="I1043" s="2319"/>
      <c r="J1043" s="362"/>
      <c r="L1043" s="2239" t="s">
        <v>6539</v>
      </c>
      <c r="M1043" s="362" t="str">
        <f>'Part I-Project Identification'!$F$12</f>
        <v>4% Credit/TE Bond</v>
      </c>
      <c r="N1043" s="1902"/>
      <c r="P1043" s="2292"/>
      <c r="Q1043" s="2218"/>
      <c r="R1043" s="2025"/>
      <c r="S1043" s="2025"/>
    </row>
    <row r="1044" spans="1:19" ht="17.25" customHeight="1">
      <c r="A1044" s="2320" t="s">
        <v>6862</v>
      </c>
      <c r="I1044" s="362"/>
      <c r="J1044" s="362"/>
      <c r="K1044" s="2179" t="s">
        <v>6863</v>
      </c>
      <c r="L1044" s="2179"/>
      <c r="M1044" s="2179"/>
      <c r="N1044" s="2179"/>
      <c r="O1044" s="2179"/>
      <c r="P1044" s="2321"/>
      <c r="Q1044" s="2321"/>
      <c r="R1044" s="2025"/>
      <c r="S1044" s="2025"/>
    </row>
    <row r="1045" spans="1:19" ht="12.6" customHeight="1">
      <c r="A1045" s="2322" t="s">
        <v>3070</v>
      </c>
      <c r="H1045" s="359"/>
      <c r="I1045" s="362"/>
      <c r="J1045" s="362"/>
      <c r="K1045" s="359"/>
      <c r="L1045" s="359"/>
      <c r="M1045" s="1902"/>
      <c r="N1045" s="1902"/>
    </row>
    <row r="1046" spans="1:19" ht="23.25" customHeight="1">
      <c r="A1046" s="2035" t="s">
        <v>1330</v>
      </c>
      <c r="B1046" s="2035"/>
      <c r="C1046" s="2035"/>
      <c r="D1046" s="2035"/>
      <c r="E1046" s="2035"/>
      <c r="F1046" s="2035"/>
      <c r="G1046" s="2035"/>
      <c r="H1046" s="2035"/>
      <c r="I1046" s="2035"/>
      <c r="J1046" s="2035"/>
      <c r="K1046" s="2035"/>
      <c r="L1046" s="2035"/>
      <c r="M1046" s="2035"/>
      <c r="N1046" s="2035"/>
      <c r="O1046" s="2035"/>
      <c r="P1046" s="2035"/>
      <c r="Q1046" s="2035"/>
      <c r="R1046" s="2018" t="s">
        <v>1884</v>
      </c>
      <c r="S1046" s="2018"/>
    </row>
    <row r="1047" spans="1:19" ht="23.25" customHeight="1">
      <c r="A1047" s="2035" t="s">
        <v>218</v>
      </c>
      <c r="B1047" s="2035"/>
      <c r="C1047" s="2035"/>
      <c r="D1047" s="2035"/>
      <c r="E1047" s="2035"/>
      <c r="F1047" s="2035"/>
      <c r="G1047" s="2035"/>
      <c r="H1047" s="2035"/>
      <c r="I1047" s="2035"/>
      <c r="J1047" s="2035"/>
      <c r="K1047" s="2035"/>
      <c r="L1047" s="2035"/>
      <c r="M1047" s="2035"/>
      <c r="N1047" s="2035"/>
      <c r="O1047" s="2035"/>
      <c r="P1047" s="2035"/>
      <c r="Q1047" s="2035"/>
      <c r="R1047" s="2018"/>
      <c r="S1047" s="2018"/>
    </row>
    <row r="1048" spans="1:19" ht="23.25" customHeight="1">
      <c r="A1048" s="2035" t="s">
        <v>1326</v>
      </c>
      <c r="B1048" s="2035"/>
      <c r="C1048" s="2035"/>
      <c r="D1048" s="2035"/>
      <c r="E1048" s="2035"/>
      <c r="F1048" s="2035"/>
      <c r="G1048" s="2035"/>
      <c r="H1048" s="2035"/>
      <c r="I1048" s="2035"/>
      <c r="J1048" s="2035"/>
      <c r="K1048" s="2035"/>
      <c r="L1048" s="2035"/>
      <c r="M1048" s="2035"/>
      <c r="N1048" s="2035"/>
      <c r="O1048" s="2035"/>
      <c r="P1048" s="2035"/>
      <c r="Q1048" s="2035"/>
      <c r="R1048" s="2018"/>
      <c r="S1048" s="2018"/>
    </row>
    <row r="1049" spans="1:19" ht="23.25" customHeight="1">
      <c r="A1049" s="2035" t="s">
        <v>1327</v>
      </c>
      <c r="B1049" s="2035"/>
      <c r="C1049" s="2035"/>
      <c r="D1049" s="2035"/>
      <c r="E1049" s="2035"/>
      <c r="F1049" s="2035"/>
      <c r="G1049" s="2035"/>
      <c r="H1049" s="2035"/>
      <c r="I1049" s="2035"/>
      <c r="J1049" s="2035"/>
      <c r="K1049" s="2035"/>
      <c r="L1049" s="2035"/>
      <c r="M1049" s="2035"/>
      <c r="N1049" s="2035"/>
      <c r="O1049" s="2035"/>
      <c r="P1049" s="2035"/>
      <c r="Q1049" s="2035"/>
      <c r="R1049" s="2018"/>
      <c r="S1049" s="2018"/>
    </row>
    <row r="1050" spans="1:19" ht="23.25" customHeight="1">
      <c r="A1050" s="2035" t="s">
        <v>1328</v>
      </c>
      <c r="B1050" s="2035"/>
      <c r="C1050" s="2035"/>
      <c r="D1050" s="2035"/>
      <c r="E1050" s="2035"/>
      <c r="F1050" s="2035"/>
      <c r="G1050" s="2035"/>
      <c r="H1050" s="2035"/>
      <c r="I1050" s="2035"/>
      <c r="J1050" s="2035"/>
      <c r="K1050" s="2035"/>
      <c r="L1050" s="2035"/>
      <c r="M1050" s="2035"/>
      <c r="N1050" s="2035"/>
      <c r="O1050" s="2035"/>
      <c r="P1050" s="2035"/>
      <c r="Q1050" s="2035"/>
      <c r="R1050" s="2323"/>
      <c r="S1050" s="2323"/>
    </row>
    <row r="1051" spans="1:19" ht="23.25" customHeight="1">
      <c r="A1051" s="2035" t="s">
        <v>1329</v>
      </c>
      <c r="B1051" s="2035"/>
      <c r="C1051" s="2035"/>
      <c r="D1051" s="2035"/>
      <c r="E1051" s="2035"/>
      <c r="F1051" s="2035"/>
      <c r="G1051" s="2035"/>
      <c r="H1051" s="2035"/>
      <c r="I1051" s="2035"/>
      <c r="J1051" s="2035"/>
      <c r="K1051" s="2035"/>
      <c r="L1051" s="2035"/>
      <c r="M1051" s="2035"/>
      <c r="N1051" s="2035"/>
      <c r="O1051" s="2035"/>
      <c r="P1051" s="2035"/>
      <c r="Q1051" s="2035"/>
      <c r="R1051" s="2323"/>
      <c r="S1051" s="2323"/>
    </row>
    <row r="1052" spans="1:19" ht="23.25" customHeight="1">
      <c r="A1052" s="2035" t="s">
        <v>1331</v>
      </c>
      <c r="B1052" s="2035"/>
      <c r="C1052" s="2035"/>
      <c r="D1052" s="2035"/>
      <c r="E1052" s="2035"/>
      <c r="F1052" s="2035"/>
      <c r="G1052" s="2035"/>
      <c r="H1052" s="2035"/>
      <c r="I1052" s="2035"/>
      <c r="J1052" s="2035"/>
      <c r="K1052" s="2035"/>
      <c r="L1052" s="2035"/>
      <c r="M1052" s="2035"/>
      <c r="N1052" s="2035"/>
      <c r="O1052" s="2035"/>
      <c r="P1052" s="2035"/>
      <c r="Q1052" s="2035"/>
    </row>
    <row r="1053" spans="1:19" ht="11.25" customHeight="1">
      <c r="A1053" s="2035" t="s">
        <v>1873</v>
      </c>
      <c r="B1053" s="2035"/>
      <c r="C1053" s="2035"/>
      <c r="D1053" s="2035"/>
      <c r="E1053" s="2035"/>
      <c r="F1053" s="2035"/>
      <c r="G1053" s="2035"/>
      <c r="H1053" s="2035"/>
      <c r="I1053" s="2035"/>
      <c r="J1053" s="2035"/>
      <c r="K1053" s="2035"/>
      <c r="L1053" s="2035"/>
      <c r="M1053" s="2035"/>
      <c r="N1053" s="2035"/>
      <c r="O1053" s="2035"/>
      <c r="P1053" s="2035"/>
      <c r="Q1053" s="2035"/>
      <c r="R1053" s="2018"/>
      <c r="S1053" s="2018"/>
    </row>
    <row r="1054" spans="1:19" ht="11.25" customHeight="1">
      <c r="A1054" s="2035" t="s">
        <v>1874</v>
      </c>
      <c r="B1054" s="2035"/>
      <c r="C1054" s="2035"/>
      <c r="D1054" s="2035"/>
      <c r="E1054" s="2035"/>
      <c r="F1054" s="2035"/>
      <c r="G1054" s="2035"/>
      <c r="H1054" s="2035"/>
      <c r="I1054" s="2035"/>
      <c r="J1054" s="2035"/>
      <c r="K1054" s="2035"/>
      <c r="L1054" s="2035"/>
      <c r="M1054" s="2035"/>
      <c r="N1054" s="2035"/>
      <c r="O1054" s="2035"/>
      <c r="P1054" s="2035"/>
      <c r="Q1054" s="2035"/>
      <c r="R1054" s="2018"/>
      <c r="S1054" s="2018"/>
    </row>
    <row r="1055" spans="1:19" ht="11.25" customHeight="1">
      <c r="A1055" s="2035" t="s">
        <v>1875</v>
      </c>
      <c r="B1055" s="2035"/>
      <c r="C1055" s="2035"/>
      <c r="D1055" s="2035"/>
      <c r="E1055" s="2035"/>
      <c r="F1055" s="2035"/>
      <c r="G1055" s="2035"/>
      <c r="H1055" s="2035"/>
      <c r="I1055" s="2035"/>
      <c r="J1055" s="2035"/>
      <c r="K1055" s="2035"/>
      <c r="L1055" s="2035"/>
      <c r="M1055" s="2035"/>
      <c r="N1055" s="2035"/>
      <c r="O1055" s="2035"/>
      <c r="P1055" s="2035"/>
      <c r="Q1055" s="2035"/>
      <c r="R1055" s="2018"/>
      <c r="S1055" s="2018"/>
    </row>
    <row r="1056" spans="1:19" ht="11.25" customHeight="1">
      <c r="A1056" s="2035" t="s">
        <v>1876</v>
      </c>
      <c r="B1056" s="2035"/>
      <c r="C1056" s="2035"/>
      <c r="D1056" s="2035"/>
      <c r="E1056" s="2035"/>
      <c r="F1056" s="2035"/>
      <c r="G1056" s="2035"/>
      <c r="H1056" s="2035"/>
      <c r="I1056" s="2035"/>
      <c r="J1056" s="2035"/>
      <c r="K1056" s="2035"/>
      <c r="L1056" s="2035"/>
      <c r="M1056" s="2035"/>
      <c r="N1056" s="2035"/>
      <c r="O1056" s="2035"/>
      <c r="P1056" s="2035"/>
      <c r="Q1056" s="2035"/>
      <c r="R1056" s="2018"/>
      <c r="S1056" s="2018"/>
    </row>
    <row r="1057" spans="1:31" ht="11.25" customHeight="1">
      <c r="A1057" s="2035" t="s">
        <v>1877</v>
      </c>
      <c r="B1057" s="2035"/>
      <c r="C1057" s="2035"/>
      <c r="D1057" s="2035"/>
      <c r="E1057" s="2035"/>
      <c r="F1057" s="2035"/>
      <c r="G1057" s="2035"/>
      <c r="H1057" s="2035"/>
      <c r="I1057" s="2035"/>
      <c r="J1057" s="2035"/>
      <c r="K1057" s="2035"/>
      <c r="L1057" s="2035"/>
      <c r="M1057" s="2035"/>
      <c r="N1057" s="2035"/>
      <c r="O1057" s="2035"/>
      <c r="P1057" s="2035"/>
      <c r="Q1057" s="2035"/>
      <c r="R1057" s="2018"/>
      <c r="S1057" s="2018"/>
    </row>
    <row r="1058" spans="1:31" ht="11.25" customHeight="1">
      <c r="A1058" s="2035" t="s">
        <v>1878</v>
      </c>
      <c r="B1058" s="2035"/>
      <c r="C1058" s="2035"/>
      <c r="D1058" s="2035"/>
      <c r="E1058" s="2035"/>
      <c r="F1058" s="2035"/>
      <c r="G1058" s="2035"/>
      <c r="H1058" s="2035"/>
      <c r="I1058" s="2035"/>
      <c r="J1058" s="2035"/>
      <c r="K1058" s="2035"/>
      <c r="L1058" s="2035"/>
      <c r="M1058" s="2035"/>
      <c r="N1058" s="2035"/>
      <c r="O1058" s="2035"/>
      <c r="P1058" s="2035"/>
      <c r="Q1058" s="2035"/>
      <c r="R1058" s="2018"/>
      <c r="S1058" s="2018"/>
    </row>
    <row r="1059" spans="1:31" ht="11.25" customHeight="1">
      <c r="A1059" s="2035" t="s">
        <v>1879</v>
      </c>
      <c r="B1059" s="2035"/>
      <c r="C1059" s="2035"/>
      <c r="D1059" s="2035"/>
      <c r="E1059" s="2035"/>
      <c r="F1059" s="2035"/>
      <c r="G1059" s="2035"/>
      <c r="H1059" s="2035"/>
      <c r="I1059" s="2035"/>
      <c r="J1059" s="2035"/>
      <c r="K1059" s="2035"/>
      <c r="L1059" s="2035"/>
      <c r="M1059" s="2035"/>
      <c r="N1059" s="2035"/>
      <c r="O1059" s="2035"/>
      <c r="P1059" s="2035"/>
      <c r="Q1059" s="2035"/>
    </row>
    <row r="1060" spans="1:31" ht="11.25" customHeight="1">
      <c r="A1060" s="2035" t="s">
        <v>1880</v>
      </c>
      <c r="B1060" s="2035"/>
      <c r="C1060" s="2035"/>
      <c r="D1060" s="2035"/>
      <c r="E1060" s="2035"/>
      <c r="F1060" s="2035"/>
      <c r="G1060" s="2035"/>
      <c r="H1060" s="2035"/>
      <c r="I1060" s="2035"/>
      <c r="J1060" s="2035"/>
      <c r="K1060" s="2035"/>
      <c r="L1060" s="2035"/>
      <c r="M1060" s="2035"/>
      <c r="N1060" s="2035"/>
      <c r="O1060" s="2035"/>
      <c r="P1060" s="2035"/>
      <c r="Q1060" s="2035"/>
      <c r="R1060" s="2018"/>
      <c r="S1060" s="2018"/>
    </row>
    <row r="1061" spans="1:31" ht="11.25" customHeight="1">
      <c r="A1061" s="2035" t="s">
        <v>1881</v>
      </c>
      <c r="B1061" s="2035"/>
      <c r="C1061" s="2035"/>
      <c r="D1061" s="2035"/>
      <c r="E1061" s="2035"/>
      <c r="F1061" s="2035"/>
      <c r="G1061" s="2035"/>
      <c r="H1061" s="2035"/>
      <c r="I1061" s="2035"/>
      <c r="J1061" s="2035"/>
      <c r="K1061" s="2035"/>
      <c r="L1061" s="2035"/>
      <c r="M1061" s="2035"/>
      <c r="N1061" s="2035"/>
      <c r="O1061" s="2035"/>
      <c r="P1061" s="2035"/>
      <c r="Q1061" s="2035"/>
      <c r="R1061" s="2018"/>
      <c r="S1061" s="2018"/>
    </row>
    <row r="1062" spans="1:31" ht="11.25" customHeight="1">
      <c r="A1062" s="2035" t="s">
        <v>1882</v>
      </c>
      <c r="B1062" s="2035"/>
      <c r="C1062" s="2035"/>
      <c r="D1062" s="2035"/>
      <c r="E1062" s="2035"/>
      <c r="F1062" s="2035"/>
      <c r="G1062" s="2035"/>
      <c r="H1062" s="2035"/>
      <c r="I1062" s="2035"/>
      <c r="J1062" s="2035"/>
      <c r="K1062" s="2035"/>
      <c r="L1062" s="2035"/>
      <c r="M1062" s="2035"/>
      <c r="N1062" s="2035"/>
      <c r="O1062" s="2035"/>
      <c r="P1062" s="2035"/>
      <c r="Q1062" s="2035"/>
      <c r="R1062" s="2018"/>
      <c r="S1062" s="2018"/>
    </row>
    <row r="1063" spans="1:31" ht="11.25" customHeight="1">
      <c r="A1063" s="2035" t="s">
        <v>1883</v>
      </c>
      <c r="B1063" s="2035"/>
      <c r="C1063" s="2035"/>
      <c r="D1063" s="2035"/>
      <c r="E1063" s="2035"/>
      <c r="F1063" s="2035"/>
      <c r="G1063" s="2035"/>
      <c r="H1063" s="2035"/>
      <c r="I1063" s="2035"/>
      <c r="J1063" s="2035"/>
      <c r="K1063" s="2035"/>
      <c r="L1063" s="2035"/>
      <c r="M1063" s="2035"/>
      <c r="N1063" s="2035"/>
      <c r="O1063" s="2035"/>
      <c r="P1063" s="2035"/>
      <c r="Q1063" s="2035"/>
      <c r="R1063" s="2018"/>
      <c r="S1063" s="2018"/>
    </row>
    <row r="1064" spans="1:31" ht="6" customHeight="1"/>
    <row r="1065" spans="1:31" ht="14.1" customHeight="1">
      <c r="A1065" s="2324" t="s">
        <v>689</v>
      </c>
      <c r="B1065" s="2265" t="s">
        <v>6644</v>
      </c>
      <c r="C1065" s="1889"/>
      <c r="D1065" s="362"/>
      <c r="E1065" s="362"/>
      <c r="F1065" s="362"/>
      <c r="G1065" s="362"/>
      <c r="I1065" s="2243"/>
      <c r="J1065" s="2243"/>
      <c r="K1065" s="2243"/>
      <c r="L1065" s="1902"/>
      <c r="M1065" s="1902"/>
      <c r="O1065" s="2325" t="s">
        <v>1731</v>
      </c>
      <c r="P1065" s="1505"/>
      <c r="Q1065" s="1505"/>
    </row>
    <row r="1066" spans="1:31" ht="3" customHeight="1"/>
    <row r="1067" spans="1:31" ht="11.25" customHeight="1">
      <c r="B1067" s="2256" t="s">
        <v>3243</v>
      </c>
      <c r="C1067" s="2256"/>
      <c r="D1067" s="2256"/>
      <c r="E1067" s="2256"/>
      <c r="F1067" s="2256"/>
      <c r="G1067" s="2243"/>
      <c r="H1067" s="2243"/>
      <c r="I1067" s="2243"/>
      <c r="J1067" s="2243"/>
      <c r="K1067" s="1902"/>
      <c r="L1067" s="1902"/>
      <c r="M1067" s="1902"/>
      <c r="N1067" s="1902"/>
      <c r="O1067" s="1902"/>
      <c r="P1067" s="1902"/>
      <c r="S1067" s="2326"/>
      <c r="T1067" s="2326"/>
    </row>
    <row r="1068" spans="1:31" ht="393.75">
      <c r="A1068" s="2327" t="str">
        <f>'Part VII-Threshold Criteria'!A30</f>
        <v>Applicant followed DCA's Underwriting Assumptions and properly sourced all project financial assumptions to ensure financial feasability. The project team is fully experienced and received a qualification determination during the pre-app process. The project meets all QAP standards and is appropriately sourced.</v>
      </c>
      <c r="B1068" s="2327"/>
      <c r="C1068" s="2327"/>
      <c r="D1068" s="2327"/>
      <c r="E1068" s="2327"/>
      <c r="F1068" s="2327"/>
      <c r="G1068" s="2327"/>
      <c r="H1068" s="2327"/>
      <c r="I1068" s="2327"/>
      <c r="J1068" s="2327"/>
      <c r="K1068" s="2327"/>
      <c r="L1068" s="2327"/>
      <c r="M1068" s="2327"/>
      <c r="N1068" s="2327"/>
      <c r="O1068" s="2327"/>
      <c r="P1068" s="2327"/>
      <c r="Q1068" s="2327"/>
      <c r="R1068" s="2017" t="s">
        <v>1181</v>
      </c>
      <c r="S1068" s="2017"/>
      <c r="T1068" s="2326"/>
      <c r="U1068" s="1505"/>
      <c r="V1068" s="1505"/>
      <c r="W1068" s="1505"/>
      <c r="X1068" s="1505"/>
      <c r="Y1068" s="1505"/>
      <c r="Z1068" s="1505"/>
      <c r="AA1068" s="1505"/>
      <c r="AB1068" s="1505"/>
      <c r="AC1068" s="1505"/>
      <c r="AD1068" s="1505"/>
      <c r="AE1068" s="1505"/>
    </row>
    <row r="1069" spans="1:31" ht="11.25" customHeight="1">
      <c r="B1069" s="2328" t="s">
        <v>1730</v>
      </c>
      <c r="C1069" s="2329"/>
      <c r="D1069" s="2330"/>
      <c r="E1069" s="2330"/>
      <c r="F1069" s="2330"/>
      <c r="G1069" s="2330"/>
      <c r="H1069" s="2330"/>
      <c r="I1069" s="2330"/>
      <c r="J1069" s="2330"/>
      <c r="K1069" s="2330"/>
      <c r="L1069" s="2330"/>
      <c r="M1069" s="2330"/>
      <c r="N1069" s="2330"/>
      <c r="O1069" s="2330"/>
      <c r="P1069" s="2330"/>
    </row>
    <row r="1070" spans="1:31" ht="36" customHeight="1">
      <c r="A1070" s="2331"/>
      <c r="B1070" s="2331"/>
      <c r="C1070" s="2331"/>
      <c r="D1070" s="2331"/>
      <c r="E1070" s="2331"/>
      <c r="F1070" s="2331"/>
      <c r="G1070" s="2331"/>
      <c r="H1070" s="2331"/>
      <c r="I1070" s="2331"/>
      <c r="J1070" s="2331"/>
      <c r="K1070" s="2331"/>
      <c r="L1070" s="2331"/>
      <c r="M1070" s="2331"/>
      <c r="N1070" s="2331"/>
      <c r="O1070" s="2331"/>
      <c r="P1070" s="2331"/>
      <c r="Q1070" s="2331"/>
      <c r="R1070" s="2017" t="s">
        <v>1181</v>
      </c>
      <c r="S1070" s="2017"/>
    </row>
    <row r="1071" spans="1:31" ht="4.5" customHeight="1">
      <c r="B1071" s="2243"/>
      <c r="C1071" s="2330"/>
      <c r="D1071" s="2330"/>
      <c r="E1071" s="2330"/>
      <c r="F1071" s="2330"/>
      <c r="G1071" s="2330"/>
      <c r="H1071" s="2330"/>
      <c r="I1071" s="2330"/>
      <c r="J1071" s="2330"/>
      <c r="K1071" s="2330"/>
      <c r="L1071" s="2330"/>
      <c r="M1071" s="2330"/>
      <c r="N1071" s="2330"/>
      <c r="O1071" s="2330"/>
      <c r="P1071" s="2330"/>
      <c r="Q1071" s="1902"/>
    </row>
    <row r="1072" spans="1:31" ht="12.75" customHeight="1">
      <c r="A1072" s="2206" t="s">
        <v>691</v>
      </c>
      <c r="B1072" s="359" t="s">
        <v>1119</v>
      </c>
      <c r="C1072" s="359"/>
      <c r="D1072" s="359"/>
      <c r="E1072" s="2330"/>
      <c r="F1072" s="2330"/>
      <c r="G1072" s="2332"/>
      <c r="O1072" s="2325" t="s">
        <v>1731</v>
      </c>
      <c r="P1072" s="1505"/>
      <c r="Q1072" s="1505"/>
    </row>
    <row r="1073" spans="1:31" ht="12.75" customHeight="1">
      <c r="A1073" s="2206"/>
      <c r="B1073" s="1889" t="s">
        <v>6864</v>
      </c>
      <c r="C1073" s="359"/>
      <c r="D1073" s="359"/>
      <c r="E1073" s="2330"/>
      <c r="F1073" s="2330"/>
      <c r="H1073" s="2330"/>
      <c r="J1073" s="2033" t="str">
        <f>'Part VII-Threshold Criteria'!J35</f>
        <v>Family</v>
      </c>
      <c r="K1073" s="2033"/>
      <c r="L1073" s="2033"/>
      <c r="M1073" s="2029" t="s">
        <v>1648</v>
      </c>
      <c r="N1073" s="2033">
        <f>'Part VII-Threshold Criteria'!N35</f>
        <v>0</v>
      </c>
      <c r="O1073" s="2033"/>
      <c r="P1073" s="2033"/>
      <c r="Q1073" s="2033"/>
    </row>
    <row r="1074" spans="1:31" ht="12.75" customHeight="1">
      <c r="A1074" s="2206"/>
      <c r="B1074" s="1889" t="s">
        <v>6651</v>
      </c>
      <c r="C1074" s="359"/>
      <c r="D1074" s="359"/>
      <c r="E1074" s="2330"/>
      <c r="F1074" s="2330"/>
      <c r="G1074" s="2332"/>
      <c r="H1074" s="2330"/>
      <c r="J1074" s="2033" t="str">
        <f>'Part VII-Threshold Criteria'!J36</f>
        <v>&lt;&lt; Select CURRENT Tenancy &gt;&gt;</v>
      </c>
      <c r="K1074" s="2033"/>
      <c r="L1074" s="2033"/>
      <c r="M1074" s="2029" t="s">
        <v>1648</v>
      </c>
      <c r="N1074" s="2033">
        <f>'Part VII-Threshold Criteria'!N36</f>
        <v>0</v>
      </c>
      <c r="O1074" s="2033"/>
      <c r="P1074" s="2033"/>
      <c r="Q1074" s="2033"/>
    </row>
    <row r="1075" spans="1:31" ht="12.75" customHeight="1">
      <c r="B1075" s="2268" t="s">
        <v>3243</v>
      </c>
      <c r="D1075" s="2268"/>
      <c r="E1075" s="2268"/>
      <c r="F1075" s="2268"/>
      <c r="G1075" s="2268"/>
      <c r="H1075" s="1875"/>
      <c r="I1075" s="2243"/>
      <c r="J1075" s="2243"/>
      <c r="K1075" s="2333" t="s">
        <v>1730</v>
      </c>
      <c r="L1075" s="1902"/>
      <c r="M1075" s="1902"/>
      <c r="N1075" s="1902"/>
      <c r="O1075" s="1902"/>
      <c r="P1075" s="1902"/>
      <c r="Q1075" s="1902"/>
    </row>
    <row r="1076" spans="1:31" ht="10.5" customHeight="1">
      <c r="A1076" s="2327" t="str">
        <f>'Part VII-Threshold Criteria'!A38</f>
        <v>The Development is a New Construction RAD Preservation.</v>
      </c>
      <c r="B1076" s="2327"/>
      <c r="C1076" s="2327"/>
      <c r="D1076" s="2327"/>
      <c r="E1076" s="2327"/>
      <c r="F1076" s="2327"/>
      <c r="G1076" s="2327"/>
      <c r="H1076" s="2327"/>
      <c r="I1076" s="2327"/>
      <c r="J1076" s="2327"/>
      <c r="K1076" s="2331"/>
      <c r="L1076" s="2331"/>
      <c r="M1076" s="2331"/>
      <c r="N1076" s="2331"/>
      <c r="O1076" s="2331"/>
      <c r="P1076" s="2331"/>
      <c r="Q1076" s="2331"/>
      <c r="R1076" s="2017" t="s">
        <v>1181</v>
      </c>
      <c r="U1076" s="1505"/>
      <c r="V1076" s="1505"/>
      <c r="W1076" s="1505"/>
      <c r="X1076" s="1505"/>
      <c r="Y1076" s="1505"/>
      <c r="Z1076" s="1505"/>
      <c r="AA1076" s="1505"/>
      <c r="AB1076" s="1505"/>
      <c r="AC1076" s="1505"/>
      <c r="AD1076" s="1505"/>
      <c r="AE1076" s="1505"/>
    </row>
    <row r="1077" spans="1:31" ht="4.5" customHeight="1">
      <c r="A1077" s="1902"/>
      <c r="B1077" s="2243"/>
      <c r="C1077" s="2330"/>
      <c r="D1077" s="2330"/>
      <c r="E1077" s="2330"/>
      <c r="F1077" s="2330"/>
      <c r="G1077" s="2330"/>
      <c r="H1077" s="2330"/>
      <c r="I1077" s="2330"/>
      <c r="J1077" s="2330"/>
      <c r="K1077" s="2330"/>
      <c r="L1077" s="2330"/>
      <c r="M1077" s="2330"/>
      <c r="N1077" s="2330"/>
      <c r="O1077" s="2330"/>
      <c r="P1077" s="2330"/>
      <c r="Q1077" s="1902"/>
    </row>
    <row r="1078" spans="1:31" ht="12.75" customHeight="1">
      <c r="A1078" s="2206" t="s">
        <v>1667</v>
      </c>
      <c r="B1078" s="2206" t="s">
        <v>2423</v>
      </c>
      <c r="C1078" s="1875"/>
      <c r="D1078" s="2330"/>
      <c r="E1078" s="2330"/>
      <c r="F1078" s="2330"/>
      <c r="G1078" s="2330"/>
      <c r="H1078" s="2330"/>
      <c r="I1078" s="2330"/>
      <c r="J1078" s="2330"/>
      <c r="L1078" s="2334" t="s">
        <v>3794</v>
      </c>
      <c r="M1078" s="2335" t="s">
        <v>3795</v>
      </c>
      <c r="O1078" s="2325" t="s">
        <v>1731</v>
      </c>
      <c r="P1078" s="1505"/>
      <c r="Q1078" s="1505"/>
    </row>
    <row r="1079" spans="1:31" ht="1.5" customHeight="1"/>
    <row r="1080" spans="1:31" ht="12" customHeight="1">
      <c r="A1080" s="2336" t="s">
        <v>1842</v>
      </c>
      <c r="B1080" s="2331" t="s">
        <v>3789</v>
      </c>
      <c r="C1080" s="2331"/>
      <c r="D1080" s="2331"/>
      <c r="E1080" s="2331"/>
      <c r="F1080" s="2331"/>
      <c r="G1080" s="2331"/>
      <c r="H1080" s="2331"/>
      <c r="I1080" s="2331"/>
      <c r="J1080" s="2331"/>
      <c r="L1080" s="2337" t="s">
        <v>2583</v>
      </c>
      <c r="M1080" s="808">
        <v>2</v>
      </c>
      <c r="N1080" s="1889" t="s">
        <v>4026</v>
      </c>
      <c r="P1080" s="2338" t="str">
        <f>'Part VII-Threshold Criteria'!P42</f>
        <v>Agree</v>
      </c>
      <c r="Q1080" s="1889"/>
    </row>
    <row r="1081" spans="1:31" ht="12" customHeight="1">
      <c r="A1081" s="2336"/>
      <c r="B1081" s="2331"/>
      <c r="C1081" s="2331"/>
      <c r="D1081" s="2331"/>
      <c r="E1081" s="2331"/>
      <c r="F1081" s="2331"/>
      <c r="G1081" s="2331"/>
      <c r="H1081" s="2331"/>
      <c r="I1081" s="2331"/>
      <c r="J1081" s="2331"/>
      <c r="L1081" s="2337" t="s">
        <v>3793</v>
      </c>
      <c r="M1081" s="2337">
        <v>4</v>
      </c>
      <c r="O1081" s="2331"/>
      <c r="P1081" s="2338"/>
      <c r="Q1081" s="1889"/>
    </row>
    <row r="1082" spans="1:31" ht="12" customHeight="1">
      <c r="A1082" s="2336"/>
      <c r="D1082" s="2330"/>
      <c r="E1082" s="2330"/>
      <c r="F1082" s="2330"/>
      <c r="G1082" s="2330"/>
      <c r="H1082" s="2330"/>
      <c r="I1082" s="2330"/>
      <c r="J1082" s="2330"/>
      <c r="L1082" s="2339" t="s">
        <v>6169</v>
      </c>
      <c r="M1082" s="2337"/>
      <c r="O1082" s="2331"/>
      <c r="P1082" s="2340">
        <f>'Part VII-Threshold Criteria'!P44</f>
        <v>2</v>
      </c>
      <c r="Q1082" s="2341"/>
    </row>
    <row r="1083" spans="1:31" ht="12" customHeight="1">
      <c r="A1083" s="2342" t="s">
        <v>1844</v>
      </c>
      <c r="B1083" s="1889" t="s">
        <v>3796</v>
      </c>
      <c r="C1083" s="1889"/>
      <c r="D1083" s="1889"/>
      <c r="E1083" s="1889"/>
      <c r="F1083" s="1889"/>
      <c r="G1083" s="1889"/>
      <c r="H1083" s="1889"/>
      <c r="I1083" s="1889"/>
      <c r="J1083" s="1889"/>
      <c r="K1083" s="2331"/>
      <c r="L1083" s="1889"/>
      <c r="N1083" s="2343"/>
      <c r="O1083" s="2343"/>
      <c r="P1083" s="2343"/>
    </row>
    <row r="1084" spans="1:31" ht="12.75" customHeight="1">
      <c r="A1084" s="2342"/>
      <c r="B1084" s="2339" t="s">
        <v>1615</v>
      </c>
      <c r="C1084" s="1889" t="s">
        <v>3800</v>
      </c>
      <c r="D1084" s="1889"/>
      <c r="E1084" s="1889"/>
      <c r="F1084" s="1889"/>
      <c r="G1084" s="1889"/>
      <c r="H1084" s="1889"/>
      <c r="I1084" s="1889"/>
      <c r="J1084" s="1889"/>
      <c r="K1084" s="2331"/>
      <c r="L1084" s="1889"/>
      <c r="N1084" s="1889" t="s">
        <v>4027</v>
      </c>
      <c r="O1084" s="2343"/>
      <c r="P1084" s="2344" t="str">
        <f>'Part VII-Threshold Criteria'!P46</f>
        <v>Agree</v>
      </c>
      <c r="Q1084" s="2243"/>
    </row>
    <row r="1085" spans="1:31" ht="12.75" customHeight="1">
      <c r="A1085" s="2342"/>
      <c r="B1085" s="2339" t="s">
        <v>1616</v>
      </c>
      <c r="C1085" s="1889" t="s">
        <v>3797</v>
      </c>
      <c r="D1085" s="1889"/>
      <c r="E1085" s="1889"/>
      <c r="F1085" s="1889"/>
      <c r="G1085" s="1889"/>
      <c r="H1085" s="1889"/>
      <c r="I1085" s="1889"/>
      <c r="J1085" s="1889"/>
      <c r="K1085" s="2331"/>
      <c r="L1085" s="1889"/>
      <c r="N1085" s="1889" t="s">
        <v>4028</v>
      </c>
      <c r="O1085" s="2343"/>
      <c r="P1085" s="2344" t="str">
        <f>'Part VII-Threshold Criteria'!P47</f>
        <v>Agree</v>
      </c>
      <c r="Q1085" s="2243"/>
    </row>
    <row r="1086" spans="1:31" ht="12.75" customHeight="1">
      <c r="A1086" s="2336"/>
      <c r="B1086" s="2339" t="s">
        <v>1617</v>
      </c>
      <c r="C1086" s="1889" t="s">
        <v>3798</v>
      </c>
      <c r="E1086" s="1889"/>
      <c r="F1086" s="1889"/>
      <c r="G1086" s="1889"/>
      <c r="H1086" s="1889"/>
      <c r="I1086" s="1889"/>
      <c r="J1086" s="1889"/>
      <c r="K1086" s="2331"/>
      <c r="L1086" s="1889"/>
      <c r="M1086" s="2343"/>
      <c r="N1086" s="1889" t="s">
        <v>4029</v>
      </c>
      <c r="O1086" s="2343"/>
      <c r="P1086" s="2344" t="str">
        <f>'Part VII-Threshold Criteria'!P48</f>
        <v>Agree</v>
      </c>
      <c r="Q1086" s="2243"/>
    </row>
    <row r="1087" spans="1:31" ht="12.75" customHeight="1">
      <c r="A1087" s="2345"/>
      <c r="B1087" s="2339" t="s">
        <v>2183</v>
      </c>
      <c r="C1087" s="2339" t="s">
        <v>3801</v>
      </c>
      <c r="D1087" s="2292"/>
      <c r="E1087" s="2292"/>
      <c r="F1087" s="2292"/>
      <c r="G1087" s="2292"/>
      <c r="H1087" s="2292"/>
      <c r="I1087" s="359"/>
      <c r="J1087" s="359"/>
      <c r="N1087" s="1889" t="s">
        <v>4030</v>
      </c>
      <c r="O1087" s="2343"/>
      <c r="P1087" s="2344" t="str">
        <f>'Part VII-Threshold Criteria'!P49</f>
        <v>N/Ap</v>
      </c>
      <c r="Q1087" s="2243"/>
    </row>
    <row r="1088" spans="1:31" ht="12.75" customHeight="1">
      <c r="A1088" s="2345"/>
      <c r="B1088" s="2339"/>
      <c r="C1088" s="1889" t="s">
        <v>3802</v>
      </c>
      <c r="D1088" s="2292"/>
      <c r="E1088" s="2292"/>
      <c r="F1088" s="2292"/>
      <c r="G1088" s="2292"/>
      <c r="H1088" s="2292"/>
      <c r="I1088" s="359"/>
      <c r="J1088" s="359"/>
      <c r="L1088" s="2211">
        <f>'Part VII-Threshold Criteria'!L50</f>
        <v>0</v>
      </c>
      <c r="M1088" s="2211"/>
      <c r="N1088" s="2211"/>
      <c r="O1088" s="2211"/>
      <c r="P1088" s="2211"/>
      <c r="Q1088" s="2211"/>
    </row>
    <row r="1089" spans="1:31" ht="12.75" customHeight="1">
      <c r="A1089" s="2345"/>
      <c r="B1089" s="2339" t="s">
        <v>1449</v>
      </c>
      <c r="C1089" s="2331" t="s">
        <v>3799</v>
      </c>
      <c r="D1089" s="2331"/>
      <c r="E1089" s="2331"/>
      <c r="F1089" s="2331"/>
      <c r="G1089" s="2331"/>
      <c r="H1089" s="2331"/>
      <c r="I1089" s="2331"/>
      <c r="J1089" s="2331"/>
      <c r="K1089" s="2331"/>
      <c r="L1089" s="2331"/>
      <c r="M1089" s="1656"/>
      <c r="N1089" s="1889" t="s">
        <v>4031</v>
      </c>
      <c r="O1089" s="2343"/>
      <c r="P1089" s="2344" t="str">
        <f>'Part VII-Threshold Criteria'!P51</f>
        <v>Agree</v>
      </c>
      <c r="Q1089" s="2243"/>
    </row>
    <row r="1090" spans="1:31" ht="12.75" customHeight="1">
      <c r="A1090" s="2342"/>
      <c r="C1090" s="2331"/>
      <c r="D1090" s="2331"/>
      <c r="E1090" s="2331"/>
      <c r="F1090" s="2331"/>
      <c r="G1090" s="2331"/>
      <c r="H1090" s="2331"/>
      <c r="I1090" s="2331"/>
      <c r="J1090" s="2331"/>
      <c r="K1090" s="2331"/>
      <c r="L1090" s="2331"/>
      <c r="M1090" s="1656"/>
    </row>
    <row r="1091" spans="1:31" ht="10.5" customHeight="1">
      <c r="B1091" s="2268" t="s">
        <v>3243</v>
      </c>
      <c r="D1091" s="2268"/>
      <c r="E1091" s="2268"/>
      <c r="F1091" s="2268"/>
      <c r="G1091" s="2268"/>
      <c r="H1091" s="1875"/>
      <c r="I1091" s="2243"/>
      <c r="J1091" s="2243"/>
      <c r="K1091" s="2328" t="s">
        <v>1730</v>
      </c>
      <c r="L1091" s="1902"/>
      <c r="M1091" s="1902"/>
      <c r="N1091" s="1902"/>
      <c r="O1091" s="1902"/>
      <c r="P1091" s="1902"/>
      <c r="Q1091" s="1902"/>
    </row>
    <row r="1092" spans="1:31" ht="10.5" customHeight="1">
      <c r="A1092" s="2327" t="str">
        <f>'Part VII-Threshold Criteria'!A54</f>
        <v>The applicant will comply with all the applicable Required Services.</v>
      </c>
      <c r="B1092" s="2327"/>
      <c r="C1092" s="2327"/>
      <c r="D1092" s="2327"/>
      <c r="E1092" s="2327"/>
      <c r="F1092" s="2327"/>
      <c r="G1092" s="2327"/>
      <c r="H1092" s="2327"/>
      <c r="I1092" s="2327"/>
      <c r="J1092" s="2327"/>
      <c r="K1092" s="2331"/>
      <c r="L1092" s="2331"/>
      <c r="M1092" s="2331"/>
      <c r="N1092" s="2331"/>
      <c r="O1092" s="2331"/>
      <c r="P1092" s="2331"/>
      <c r="Q1092" s="2331"/>
      <c r="R1092" s="2017" t="s">
        <v>1181</v>
      </c>
      <c r="U1092" s="1505"/>
      <c r="V1092" s="1505"/>
      <c r="W1092" s="1505"/>
      <c r="X1092" s="1505"/>
      <c r="Y1092" s="1505"/>
      <c r="Z1092" s="1505"/>
      <c r="AA1092" s="1505"/>
      <c r="AB1092" s="1505"/>
      <c r="AC1092" s="1505"/>
      <c r="AD1092" s="1505"/>
      <c r="AE1092" s="1505"/>
    </row>
    <row r="1093" spans="1:31" ht="4.5" customHeight="1">
      <c r="A1093" s="1902"/>
      <c r="B1093" s="2243"/>
      <c r="C1093" s="2330"/>
      <c r="D1093" s="2330"/>
      <c r="E1093" s="2330"/>
      <c r="F1093" s="2330"/>
      <c r="G1093" s="2330"/>
      <c r="H1093" s="2330"/>
      <c r="I1093" s="2330"/>
      <c r="J1093" s="2330"/>
      <c r="K1093" s="2330"/>
      <c r="L1093" s="2330"/>
      <c r="M1093" s="2330"/>
      <c r="N1093" s="2330"/>
      <c r="O1093" s="2330"/>
      <c r="P1093" s="2330"/>
      <c r="Q1093" s="1902"/>
    </row>
    <row r="1094" spans="1:31" ht="14.1" customHeight="1">
      <c r="A1094" s="2206" t="s">
        <v>1669</v>
      </c>
      <c r="B1094" s="2206" t="s">
        <v>4024</v>
      </c>
      <c r="C1094" s="2206"/>
      <c r="D1094" s="2330"/>
      <c r="E1094" s="2330"/>
      <c r="F1094" s="2330"/>
      <c r="G1094" s="2330"/>
      <c r="H1094" s="2346" t="str">
        <f>'Part I-Project Identification'!$K$32</f>
        <v>Urban</v>
      </c>
      <c r="J1094" s="2119" t="s">
        <v>6645</v>
      </c>
      <c r="K1094" s="2029" t="str">
        <f>'Part VIII Scoring Criteria'!$M$59</f>
        <v>N/A-4%</v>
      </c>
      <c r="L1094" s="2119" t="s">
        <v>3826</v>
      </c>
      <c r="M1094" s="2161" t="str">
        <f>J1073</f>
        <v>Family</v>
      </c>
      <c r="O1094" s="2325" t="s">
        <v>1731</v>
      </c>
      <c r="P1094" s="1505"/>
      <c r="Q1094" s="1505"/>
    </row>
    <row r="1095" spans="1:31" ht="3" customHeight="1"/>
    <row r="1096" spans="1:31" ht="12.75" customHeight="1">
      <c r="A1096" s="2342" t="s">
        <v>1842</v>
      </c>
      <c r="B1096" s="362" t="s">
        <v>2265</v>
      </c>
      <c r="D1096" s="2292"/>
      <c r="E1096" s="2292"/>
      <c r="F1096" s="2292"/>
      <c r="G1096" s="2292"/>
      <c r="H1096" s="2292"/>
      <c r="I1096" s="359"/>
      <c r="J1096" s="359"/>
      <c r="K1096" s="359"/>
      <c r="L1096" s="2342" t="s">
        <v>1842</v>
      </c>
      <c r="M1096" s="2211" t="str">
        <f>'Part VII-Threshold Criteria'!M58</f>
        <v>Real Property Research Group</v>
      </c>
      <c r="N1096" s="2211"/>
      <c r="O1096" s="2211"/>
      <c r="P1096" s="2079"/>
      <c r="Q1096" s="2243"/>
    </row>
    <row r="1097" spans="1:31" ht="12.75" customHeight="1">
      <c r="A1097" s="2342" t="s">
        <v>1844</v>
      </c>
      <c r="B1097" s="362" t="s">
        <v>3951</v>
      </c>
      <c r="D1097" s="2292"/>
      <c r="E1097" s="2292"/>
      <c r="F1097" s="2292"/>
      <c r="L1097" s="2342" t="s">
        <v>1844</v>
      </c>
      <c r="M1097" s="2211" t="str">
        <f>'Part VII-Threshold Criteria'!M59</f>
        <v>3 months</v>
      </c>
      <c r="N1097" s="2211"/>
      <c r="O1097" s="2211"/>
      <c r="P1097" s="2079"/>
      <c r="Q1097" s="2243"/>
    </row>
    <row r="1098" spans="1:31" ht="12.75" customHeight="1">
      <c r="A1098" s="2342" t="s">
        <v>698</v>
      </c>
      <c r="B1098" s="362" t="s">
        <v>2560</v>
      </c>
      <c r="D1098" s="2292"/>
      <c r="E1098" s="2292"/>
      <c r="F1098" s="2292"/>
      <c r="L1098" s="2342" t="s">
        <v>698</v>
      </c>
      <c r="M1098" s="2347">
        <f>'Part VII-Threshold Criteria'!M60</f>
        <v>0.96799999999999997</v>
      </c>
      <c r="N1098" s="2347"/>
      <c r="O1098" s="2347"/>
      <c r="P1098" s="2348"/>
      <c r="Q1098" s="2243"/>
    </row>
    <row r="1099" spans="1:31" ht="12.75" customHeight="1">
      <c r="A1099" s="2342" t="s">
        <v>1963</v>
      </c>
      <c r="B1099" s="362" t="s">
        <v>3308</v>
      </c>
      <c r="D1099" s="2292"/>
      <c r="E1099" s="2292"/>
      <c r="F1099" s="2292"/>
      <c r="J1099" s="2342" t="s">
        <v>3309</v>
      </c>
      <c r="K1099" s="2349">
        <f>'Part VII-Threshold Criteria'!K61</f>
        <v>1.4E-2</v>
      </c>
      <c r="L1099" s="2350"/>
      <c r="N1099" s="2351"/>
      <c r="O1099" s="2352" t="s">
        <v>3394</v>
      </c>
      <c r="P1099" s="2349">
        <f>'Part VII-Threshold Criteria'!P61</f>
        <v>0</v>
      </c>
      <c r="Q1099" s="2350"/>
    </row>
    <row r="1100" spans="1:31" ht="12.75" customHeight="1">
      <c r="A1100" s="2342" t="s">
        <v>1613</v>
      </c>
      <c r="B1100" s="362" t="s">
        <v>3952</v>
      </c>
      <c r="D1100" s="1889"/>
      <c r="E1100" s="1889"/>
      <c r="F1100" s="1889"/>
      <c r="G1100" s="1889"/>
      <c r="H1100" s="1889"/>
      <c r="I1100" s="1889"/>
      <c r="J1100" s="1889"/>
      <c r="K1100" s="1889"/>
      <c r="L1100" s="1889"/>
      <c r="M1100" s="1889"/>
      <c r="N1100" s="1889"/>
      <c r="O1100" s="1889"/>
      <c r="P1100" s="1889"/>
      <c r="Q1100" s="1889"/>
    </row>
    <row r="1101" spans="1:31" ht="12.75" customHeight="1">
      <c r="B1101" s="2342"/>
      <c r="C1101" s="362"/>
      <c r="D1101" s="2243" t="s">
        <v>2194</v>
      </c>
      <c r="E1101" s="1875" t="s">
        <v>574</v>
      </c>
      <c r="F1101" s="1875"/>
      <c r="H1101" s="362"/>
      <c r="I1101" s="2243" t="s">
        <v>2194</v>
      </c>
      <c r="J1101" s="1875" t="s">
        <v>574</v>
      </c>
      <c r="K1101" s="1875"/>
      <c r="M1101" s="362"/>
      <c r="N1101" s="2243" t="s">
        <v>2194</v>
      </c>
      <c r="O1101" s="1875" t="s">
        <v>574</v>
      </c>
      <c r="P1101" s="1875"/>
      <c r="Q1101" s="2342"/>
    </row>
    <row r="1102" spans="1:31" ht="12.75" customHeight="1">
      <c r="C1102" s="2342" t="s">
        <v>1615</v>
      </c>
      <c r="D1102" s="2344" t="str">
        <f>'Part VII-Threshold Criteria'!D64</f>
        <v>96-055</v>
      </c>
      <c r="E1102" s="2211" t="str">
        <f>'Part VII-Threshold Criteria'!E64</f>
        <v>Hillside Square (fka Oconee Spring)</v>
      </c>
      <c r="F1102" s="2211"/>
      <c r="G1102" s="2211"/>
      <c r="H1102" s="2342" t="s">
        <v>2183</v>
      </c>
      <c r="I1102" s="2344" t="str">
        <f>'Part VII-Threshold Criteria'!I64</f>
        <v>2017-017</v>
      </c>
      <c r="J1102" s="2211" t="str">
        <f>'Part VII-Threshold Criteria'!J64</f>
        <v>Peaks of Oakwood</v>
      </c>
      <c r="K1102" s="2211"/>
      <c r="L1102" s="2211"/>
      <c r="M1102" s="2342" t="s">
        <v>93</v>
      </c>
      <c r="N1102" s="2344" t="str">
        <f>'Part VII-Threshold Criteria'!N64</f>
        <v>2016-012</v>
      </c>
      <c r="O1102" s="2211" t="str">
        <f>'Part VII-Threshold Criteria'!O64</f>
        <v>Ridgecrest Apartments</v>
      </c>
      <c r="P1102" s="2211"/>
      <c r="Q1102" s="2211"/>
    </row>
    <row r="1103" spans="1:31" ht="12.75" customHeight="1">
      <c r="C1103" s="2342" t="s">
        <v>1616</v>
      </c>
      <c r="D1103" s="2344" t="str">
        <f>'Part VII-Threshold Criteria'!D65</f>
        <v>2001-051</v>
      </c>
      <c r="E1103" s="2211" t="str">
        <f>'Part VII-Threshold Criteria'!E65</f>
        <v>Village Square (fka Oconee Springs II)</v>
      </c>
      <c r="F1103" s="2211"/>
      <c r="G1103" s="2211"/>
      <c r="H1103" s="2342" t="s">
        <v>1449</v>
      </c>
      <c r="I1103" s="2344" t="str">
        <f>'Part VII-Threshold Criteria'!I65</f>
        <v>2018-.37</v>
      </c>
      <c r="J1103" s="2211" t="str">
        <f>'Part VII-Threshold Criteria'!J65</f>
        <v>Myrtle Terraces</v>
      </c>
      <c r="K1103" s="2211"/>
      <c r="L1103" s="2211"/>
      <c r="M1103" s="2342" t="s">
        <v>481</v>
      </c>
      <c r="N1103" s="2344" t="str">
        <f>'Part VII-Threshold Criteria'!N65</f>
        <v>2019-05</v>
      </c>
      <c r="O1103" s="2211" t="str">
        <f>'Part VII-Threshold Criteria'!O65</f>
        <v xml:space="preserve">Walton Harbor </v>
      </c>
      <c r="P1103" s="2211"/>
      <c r="Q1103" s="2211"/>
    </row>
    <row r="1104" spans="1:31" ht="12.75" customHeight="1">
      <c r="C1104" s="2342" t="s">
        <v>1617</v>
      </c>
      <c r="D1104" s="2344">
        <f>'Part VII-Threshold Criteria'!D66</f>
        <v>0</v>
      </c>
      <c r="E1104" s="2211">
        <f>'Part VII-Threshold Criteria'!E66</f>
        <v>0</v>
      </c>
      <c r="F1104" s="2211"/>
      <c r="G1104" s="2211"/>
      <c r="H1104" s="2342" t="s">
        <v>1450</v>
      </c>
      <c r="I1104" s="2344">
        <f>'Part VII-Threshold Criteria'!I66</f>
        <v>0</v>
      </c>
      <c r="J1104" s="2211">
        <f>'Part VII-Threshold Criteria'!J66</f>
        <v>0</v>
      </c>
      <c r="K1104" s="2211"/>
      <c r="L1104" s="2211"/>
      <c r="M1104" s="2342" t="s">
        <v>482</v>
      </c>
      <c r="N1104" s="2344">
        <f>'Part VII-Threshold Criteria'!N66</f>
        <v>0</v>
      </c>
      <c r="O1104" s="2211">
        <f>'Part VII-Threshold Criteria'!O66</f>
        <v>0</v>
      </c>
      <c r="P1104" s="2211"/>
      <c r="Q1104" s="2211"/>
    </row>
    <row r="1105" spans="1:31" ht="12.75" customHeight="1">
      <c r="A1105" s="2342" t="s">
        <v>1614</v>
      </c>
      <c r="B1105" s="362" t="s">
        <v>6112</v>
      </c>
      <c r="D1105" s="2292"/>
      <c r="E1105" s="2292"/>
      <c r="F1105" s="2292"/>
      <c r="G1105" s="2292"/>
      <c r="H1105" s="2292"/>
      <c r="I1105" s="359"/>
      <c r="J1105" s="359"/>
      <c r="K1105" s="2292"/>
      <c r="L1105" s="2252"/>
      <c r="M1105" s="2252"/>
      <c r="O1105" s="2342" t="s">
        <v>1614</v>
      </c>
      <c r="P1105" s="2344" t="str">
        <f>'Part VII-Threshold Criteria'!P67</f>
        <v>Yes</v>
      </c>
      <c r="Q1105" s="2243"/>
    </row>
    <row r="1106" spans="1:31" ht="12.75" customHeight="1">
      <c r="A1106" s="2342" t="s">
        <v>1808</v>
      </c>
      <c r="B1106" s="362" t="s">
        <v>6113</v>
      </c>
      <c r="D1106" s="2292"/>
      <c r="E1106" s="2292"/>
      <c r="F1106" s="2292"/>
      <c r="G1106" s="2292"/>
      <c r="H1106" s="2292"/>
      <c r="I1106" s="359"/>
      <c r="J1106" s="359"/>
      <c r="K1106" s="2292"/>
      <c r="L1106" s="2252"/>
      <c r="M1106" s="2252"/>
      <c r="O1106" s="2342" t="s">
        <v>1808</v>
      </c>
      <c r="P1106" s="2344" t="str">
        <f>'Part VII-Threshold Criteria'!P68</f>
        <v>Yes</v>
      </c>
      <c r="Q1106" s="2243"/>
    </row>
    <row r="1107" spans="1:31" ht="10.5" customHeight="1">
      <c r="A1107" s="2342" t="s">
        <v>3007</v>
      </c>
      <c r="B1107" s="362" t="s">
        <v>6114</v>
      </c>
      <c r="D1107" s="2292"/>
      <c r="E1107" s="2292"/>
      <c r="F1107" s="2292"/>
      <c r="G1107" s="2292"/>
      <c r="H1107" s="2292"/>
      <c r="I1107" s="359"/>
      <c r="J1107" s="359"/>
      <c r="K1107" s="2292"/>
      <c r="L1107" s="2252"/>
      <c r="M1107" s="2252"/>
      <c r="O1107" s="2342" t="s">
        <v>3007</v>
      </c>
      <c r="P1107" s="2344">
        <f>'Part VII-Threshold Criteria'!P69</f>
        <v>0.98</v>
      </c>
      <c r="Q1107" s="2350"/>
    </row>
    <row r="1108" spans="1:31" ht="9.75" customHeight="1">
      <c r="B1108" s="2268" t="s">
        <v>3243</v>
      </c>
      <c r="D1108" s="2268"/>
      <c r="E1108" s="2268"/>
      <c r="F1108" s="2268"/>
      <c r="G1108" s="2268"/>
      <c r="H1108" s="1875"/>
      <c r="I1108" s="2243"/>
      <c r="J1108" s="2243"/>
      <c r="K1108" s="2243"/>
      <c r="L1108" s="1902"/>
      <c r="M1108" s="1902"/>
      <c r="N1108" s="1902"/>
      <c r="O1108" s="1902"/>
      <c r="P1108" s="1902"/>
      <c r="Q1108" s="1902"/>
    </row>
    <row r="1109" spans="1:31" ht="371.25">
      <c r="A1109" s="2327" t="str">
        <f>'Part VII-Threshold Criteria'!A71</f>
        <v>The market study prepared by RPRG indicates a very strong demand in the market place.  The overall capture rate is 1.4%.   The GHA has a waiting list of tenants of over 10,000 households and it is expected all their PBRA units will stay full, and the quality of design will attract many new renters to the property.</v>
      </c>
      <c r="B1109" s="2327"/>
      <c r="C1109" s="2327"/>
      <c r="D1109" s="2327"/>
      <c r="E1109" s="2327"/>
      <c r="F1109" s="2327"/>
      <c r="G1109" s="2327"/>
      <c r="H1109" s="2327"/>
      <c r="I1109" s="2327"/>
      <c r="J1109" s="2327"/>
      <c r="K1109" s="2327"/>
      <c r="L1109" s="2327"/>
      <c r="M1109" s="2327"/>
      <c r="N1109" s="2327"/>
      <c r="O1109" s="2327"/>
      <c r="P1109" s="2327"/>
      <c r="Q1109" s="2327"/>
      <c r="U1109" s="1505"/>
      <c r="V1109" s="1505"/>
      <c r="W1109" s="1505"/>
      <c r="X1109" s="1505"/>
      <c r="Y1109" s="1505"/>
      <c r="Z1109" s="1505"/>
      <c r="AA1109" s="1505"/>
      <c r="AB1109" s="1505"/>
      <c r="AC1109" s="1505"/>
      <c r="AD1109" s="1505"/>
      <c r="AE1109" s="1505"/>
    </row>
    <row r="1110" spans="1:31" ht="9.75" customHeight="1">
      <c r="B1110" s="2328" t="s">
        <v>1730</v>
      </c>
      <c r="C1110" s="2329"/>
      <c r="D1110" s="2330"/>
      <c r="E1110" s="2330"/>
      <c r="F1110" s="2330"/>
      <c r="G1110" s="2330"/>
      <c r="H1110" s="2330"/>
      <c r="I1110" s="2330"/>
      <c r="J1110" s="2330"/>
      <c r="K1110" s="2330"/>
      <c r="L1110" s="2330"/>
      <c r="M1110" s="2330"/>
      <c r="N1110" s="2330"/>
      <c r="O1110" s="2330"/>
      <c r="P1110" s="2330"/>
      <c r="Q1110" s="2330"/>
    </row>
    <row r="1111" spans="1:31">
      <c r="A1111" s="2331"/>
      <c r="B1111" s="2331"/>
      <c r="C1111" s="2331"/>
      <c r="D1111" s="2331"/>
      <c r="E1111" s="2331"/>
      <c r="F1111" s="2331"/>
      <c r="G1111" s="2331"/>
      <c r="H1111" s="2331"/>
      <c r="I1111" s="2331"/>
      <c r="J1111" s="2331"/>
      <c r="K1111" s="2331"/>
      <c r="L1111" s="2331"/>
      <c r="M1111" s="2331"/>
      <c r="N1111" s="2331"/>
      <c r="O1111" s="2331"/>
      <c r="P1111" s="2331"/>
      <c r="Q1111" s="2331"/>
    </row>
    <row r="1112" spans="1:31" ht="14.1" customHeight="1">
      <c r="A1112" s="2206" t="s">
        <v>496</v>
      </c>
      <c r="B1112" s="2206" t="s">
        <v>2424</v>
      </c>
      <c r="C1112" s="2206"/>
      <c r="D1112" s="2330"/>
      <c r="E1112" s="2330"/>
      <c r="F1112" s="2330"/>
      <c r="G1112" s="2330"/>
      <c r="H1112" s="2330"/>
      <c r="I1112" s="2330"/>
      <c r="J1112" s="2330"/>
      <c r="K1112" s="2330"/>
      <c r="L1112" s="2330"/>
      <c r="M1112" s="2330"/>
      <c r="O1112" s="2325" t="s">
        <v>1731</v>
      </c>
      <c r="P1112" s="1505"/>
      <c r="Q1112" s="1505"/>
    </row>
    <row r="1113" spans="1:31" ht="3" customHeight="1"/>
    <row r="1114" spans="1:31" ht="12.75" customHeight="1">
      <c r="A1114" s="2342" t="s">
        <v>1842</v>
      </c>
      <c r="B1114" s="362" t="s">
        <v>4032</v>
      </c>
      <c r="C1114" s="362"/>
      <c r="E1114" s="362"/>
      <c r="F1114" s="362"/>
      <c r="G1114" s="362"/>
      <c r="H1114" s="362"/>
      <c r="I1114" s="362"/>
      <c r="J1114" s="362"/>
      <c r="K1114" s="362"/>
      <c r="L1114" s="1875"/>
      <c r="M1114" s="1875"/>
      <c r="O1114" s="2342" t="s">
        <v>1842</v>
      </c>
      <c r="P1114" s="2344" t="str">
        <f>'Part VII-Threshold Criteria'!P76</f>
        <v>Yes</v>
      </c>
      <c r="Q1114" s="2243"/>
    </row>
    <row r="1115" spans="1:31" ht="12.75" customHeight="1">
      <c r="B1115" s="2339" t="s">
        <v>1615</v>
      </c>
      <c r="C1115" s="362" t="s">
        <v>515</v>
      </c>
      <c r="E1115" s="359"/>
      <c r="F1115" s="359"/>
      <c r="G1115" s="359"/>
      <c r="H1115" s="359"/>
      <c r="I1115" s="359"/>
      <c r="L1115" s="2342" t="s">
        <v>516</v>
      </c>
      <c r="M1115" s="2211" t="str">
        <f>'Part VII-Threshold Criteria'!M77</f>
        <v>Gill Group</v>
      </c>
      <c r="N1115" s="2211"/>
      <c r="O1115" s="2211"/>
      <c r="P1115" s="2079"/>
      <c r="Q1115" s="2243"/>
    </row>
    <row r="1116" spans="1:31" s="359" customFormat="1" ht="12.75" customHeight="1">
      <c r="B1116" s="1875" t="s">
        <v>1616</v>
      </c>
      <c r="C1116" s="362" t="s">
        <v>3841</v>
      </c>
      <c r="O1116" s="2342" t="s">
        <v>1616</v>
      </c>
      <c r="P1116" s="2344" t="str">
        <f>'Part VII-Threshold Criteria'!P78</f>
        <v>Yes</v>
      </c>
      <c r="Q1116" s="2243"/>
    </row>
    <row r="1117" spans="1:31" s="359" customFormat="1" ht="12.75" customHeight="1">
      <c r="B1117" s="2339" t="s">
        <v>1617</v>
      </c>
      <c r="C1117" s="362" t="s">
        <v>4059</v>
      </c>
      <c r="O1117" s="2336" t="s">
        <v>1617</v>
      </c>
      <c r="P1117" s="2353">
        <f>'Part VII-Threshold Criteria'!P79</f>
        <v>45062</v>
      </c>
      <c r="Q1117" s="2354"/>
    </row>
    <row r="1118" spans="1:31" ht="12.75" customHeight="1">
      <c r="A1118" s="2243"/>
      <c r="B1118" s="2339" t="s">
        <v>2183</v>
      </c>
      <c r="C1118" s="1875" t="s">
        <v>3803</v>
      </c>
      <c r="D1118" s="2206"/>
      <c r="E1118" s="2206"/>
      <c r="F1118" s="2206"/>
      <c r="G1118" s="2206"/>
      <c r="H1118" s="2206"/>
      <c r="I1118" s="2206"/>
      <c r="J1118" s="2206"/>
      <c r="K1118" s="2206"/>
      <c r="L1118" s="2206"/>
      <c r="M1118" s="2206"/>
      <c r="O1118" s="2336" t="s">
        <v>2183</v>
      </c>
      <c r="P1118" s="2344" t="str">
        <f>'Part VII-Threshold Criteria'!P80</f>
        <v>Yes</v>
      </c>
      <c r="Q1118" s="2243"/>
    </row>
    <row r="1119" spans="1:31" ht="12.75" customHeight="1">
      <c r="A1119" s="2243"/>
      <c r="B1119" s="2339" t="s">
        <v>1449</v>
      </c>
      <c r="C1119" s="1875" t="s">
        <v>3082</v>
      </c>
      <c r="D1119" s="2206"/>
      <c r="E1119" s="2206"/>
      <c r="F1119" s="2206"/>
      <c r="G1119" s="2206"/>
      <c r="H1119" s="2206"/>
      <c r="I1119" s="2206"/>
      <c r="J1119" s="2206"/>
      <c r="K1119" s="2206"/>
      <c r="L1119" s="2206"/>
      <c r="M1119" s="2206"/>
      <c r="O1119" s="2336" t="s">
        <v>1449</v>
      </c>
      <c r="P1119" s="2344" t="str">
        <f>'Part VII-Threshold Criteria'!P81</f>
        <v>Yes</v>
      </c>
      <c r="Q1119" s="2243"/>
    </row>
    <row r="1120" spans="1:31" ht="12.75" customHeight="1">
      <c r="A1120" s="2243"/>
      <c r="B1120" s="2339" t="s">
        <v>1450</v>
      </c>
      <c r="C1120" s="1875" t="s">
        <v>3083</v>
      </c>
      <c r="D1120" s="2206"/>
      <c r="E1120" s="2206"/>
      <c r="F1120" s="2206"/>
      <c r="G1120" s="2206"/>
      <c r="H1120" s="2206"/>
      <c r="I1120" s="2206"/>
      <c r="J1120" s="2206"/>
      <c r="K1120" s="2206"/>
      <c r="L1120" s="2206"/>
      <c r="M1120" s="2206"/>
      <c r="O1120" s="2336" t="s">
        <v>1450</v>
      </c>
      <c r="P1120" s="2344" t="str">
        <f>'Part VII-Threshold Criteria'!P82</f>
        <v>Yes</v>
      </c>
      <c r="Q1120" s="2243"/>
    </row>
    <row r="1121" spans="1:31" ht="12.75" customHeight="1">
      <c r="A1121" s="2243"/>
      <c r="B1121" s="2339" t="s">
        <v>93</v>
      </c>
      <c r="C1121" s="1875" t="s">
        <v>2561</v>
      </c>
      <c r="D1121" s="1875"/>
      <c r="E1121" s="1875"/>
      <c r="F1121" s="1875"/>
      <c r="G1121" s="1875"/>
      <c r="H1121" s="1875"/>
      <c r="I1121" s="1875"/>
      <c r="J1121" s="1875"/>
      <c r="K1121" s="1875"/>
      <c r="L1121" s="1875"/>
      <c r="M1121" s="2219"/>
      <c r="O1121" s="2336" t="s">
        <v>93</v>
      </c>
      <c r="P1121" s="2344" t="str">
        <f>'Part VII-Threshold Criteria'!P83</f>
        <v>Yes</v>
      </c>
      <c r="Q1121" s="2243"/>
    </row>
    <row r="1122" spans="1:31" s="2265" customFormat="1">
      <c r="A1122" s="2337"/>
      <c r="B1122" s="2339" t="s">
        <v>481</v>
      </c>
      <c r="C1122" s="1889" t="s">
        <v>3954</v>
      </c>
      <c r="D1122" s="2331"/>
      <c r="E1122" s="2331"/>
      <c r="F1122" s="2331"/>
      <c r="G1122" s="2331"/>
      <c r="H1122" s="2331"/>
      <c r="I1122" s="2331"/>
      <c r="J1122" s="2331"/>
      <c r="K1122" s="2331"/>
      <c r="L1122" s="2331"/>
      <c r="M1122" s="2331"/>
      <c r="N1122" s="2331"/>
      <c r="O1122" s="2336" t="s">
        <v>481</v>
      </c>
      <c r="P1122" s="2355" t="str">
        <f>'Part VII-Threshold Criteria'!P84</f>
        <v>N/A</v>
      </c>
      <c r="Q1122" s="2337"/>
    </row>
    <row r="1123" spans="1:31" ht="12.75" customHeight="1">
      <c r="A1123" s="2342" t="s">
        <v>1844</v>
      </c>
      <c r="B1123" s="362" t="s">
        <v>3953</v>
      </c>
      <c r="C1123" s="362"/>
      <c r="E1123" s="362"/>
      <c r="F1123" s="362"/>
      <c r="G1123" s="362"/>
      <c r="H1123" s="362"/>
      <c r="I1123" s="362"/>
      <c r="J1123" s="362"/>
      <c r="K1123" s="362"/>
      <c r="L1123" s="362"/>
      <c r="M1123" s="362"/>
      <c r="O1123" s="2342" t="s">
        <v>1844</v>
      </c>
      <c r="P1123" s="2344" t="str">
        <f>'Part VII-Threshold Criteria'!P85</f>
        <v>Yes</v>
      </c>
      <c r="Q1123" s="2243"/>
    </row>
    <row r="1124" spans="1:31" ht="12.75" customHeight="1">
      <c r="B1124" s="2339" t="s">
        <v>1615</v>
      </c>
      <c r="C1124" s="362" t="s">
        <v>4078</v>
      </c>
      <c r="D1124" s="362"/>
      <c r="E1124" s="362"/>
      <c r="F1124" s="362"/>
      <c r="G1124" s="362"/>
      <c r="H1124" s="362"/>
      <c r="I1124" s="362"/>
      <c r="J1124" s="362"/>
      <c r="K1124" s="362"/>
      <c r="L1124" s="362"/>
      <c r="M1124" s="362"/>
      <c r="O1124" s="2336" t="s">
        <v>1615</v>
      </c>
      <c r="P1124" s="2344" t="str">
        <f>'Part VII-Threshold Criteria'!P86</f>
        <v>N/a</v>
      </c>
      <c r="Q1124" s="2243"/>
    </row>
    <row r="1125" spans="1:31" ht="12.75" customHeight="1">
      <c r="A1125" s="2342"/>
      <c r="B1125" s="1875" t="s">
        <v>1616</v>
      </c>
      <c r="C1125" s="362" t="s">
        <v>4077</v>
      </c>
      <c r="D1125" s="362"/>
      <c r="E1125" s="362"/>
      <c r="F1125" s="362"/>
      <c r="G1125" s="362"/>
      <c r="H1125" s="362"/>
      <c r="I1125" s="362"/>
      <c r="J1125" s="362"/>
      <c r="K1125" s="362"/>
      <c r="L1125" s="362"/>
      <c r="M1125" s="362"/>
      <c r="O1125" s="2342" t="s">
        <v>1616</v>
      </c>
      <c r="P1125" s="2344" t="str">
        <f>'Part VII-Threshold Criteria'!P87</f>
        <v>Yes</v>
      </c>
      <c r="Q1125" s="2243"/>
    </row>
    <row r="1126" spans="1:31" ht="10.5" customHeight="1">
      <c r="B1126" s="2268" t="s">
        <v>3243</v>
      </c>
      <c r="D1126" s="2268"/>
      <c r="E1126" s="2268"/>
      <c r="F1126" s="2268"/>
      <c r="G1126" s="2268"/>
      <c r="H1126" s="1875"/>
      <c r="I1126" s="2243"/>
      <c r="J1126" s="2243"/>
      <c r="K1126" s="2243"/>
      <c r="L1126" s="1902"/>
      <c r="M1126" s="1902"/>
      <c r="N1126" s="1902"/>
      <c r="O1126" s="1902"/>
      <c r="P1126" s="1902"/>
      <c r="Q1126" s="1902"/>
    </row>
    <row r="1127" spans="1:31" ht="281.25">
      <c r="A1127" s="2327" t="str">
        <f>'Part VII-Threshold Criteria'!A89</f>
        <v>The Appraisal has been completed by the Gill Group, and is included with this application.  The land Seller is the Gainesville Housing Authority and they will be ground leasing to the ownership entity and not selling it to the partnership.</v>
      </c>
      <c r="B1127" s="2327"/>
      <c r="C1127" s="2327"/>
      <c r="D1127" s="2327"/>
      <c r="E1127" s="2327"/>
      <c r="F1127" s="2327"/>
      <c r="G1127" s="2327"/>
      <c r="H1127" s="2327"/>
      <c r="I1127" s="2327"/>
      <c r="J1127" s="2327"/>
      <c r="K1127" s="2327"/>
      <c r="L1127" s="2327"/>
      <c r="M1127" s="2327"/>
      <c r="N1127" s="2327"/>
      <c r="O1127" s="2327"/>
      <c r="P1127" s="2327"/>
      <c r="Q1127" s="2327"/>
      <c r="U1127" s="1505"/>
      <c r="V1127" s="1505"/>
      <c r="W1127" s="1505"/>
      <c r="X1127" s="1505"/>
      <c r="Y1127" s="1505"/>
      <c r="Z1127" s="1505"/>
      <c r="AA1127" s="1505"/>
      <c r="AB1127" s="1505"/>
      <c r="AC1127" s="1505"/>
      <c r="AD1127" s="1505"/>
      <c r="AE1127" s="1505"/>
    </row>
    <row r="1128" spans="1:31" ht="11.25" customHeight="1">
      <c r="B1128" s="2328" t="s">
        <v>1730</v>
      </c>
      <c r="C1128" s="2329"/>
      <c r="D1128" s="2330"/>
      <c r="E1128" s="2330"/>
      <c r="F1128" s="2330"/>
      <c r="G1128" s="2330"/>
      <c r="H1128" s="2330"/>
      <c r="I1128" s="2330"/>
      <c r="J1128" s="2330"/>
      <c r="K1128" s="2330"/>
      <c r="L1128" s="2330"/>
      <c r="M1128" s="2330"/>
      <c r="N1128" s="2330"/>
      <c r="O1128" s="2330"/>
      <c r="P1128" s="2330"/>
      <c r="Q1128" s="2330"/>
    </row>
    <row r="1129" spans="1:31">
      <c r="A1129" s="2331"/>
      <c r="B1129" s="2331"/>
      <c r="C1129" s="2331"/>
      <c r="D1129" s="2331"/>
      <c r="E1129" s="2331"/>
      <c r="F1129" s="2331"/>
      <c r="G1129" s="2331"/>
      <c r="H1129" s="2331"/>
      <c r="I1129" s="2331"/>
      <c r="J1129" s="2331"/>
      <c r="K1129" s="2331"/>
      <c r="L1129" s="2331"/>
      <c r="M1129" s="2331"/>
      <c r="N1129" s="2331"/>
      <c r="O1129" s="2331"/>
      <c r="P1129" s="2331"/>
      <c r="Q1129" s="2331"/>
    </row>
    <row r="1130" spans="1:31" ht="14.1" customHeight="1">
      <c r="A1130" s="2206" t="s">
        <v>720</v>
      </c>
      <c r="B1130" s="2206" t="s">
        <v>2425</v>
      </c>
      <c r="C1130" s="1875"/>
      <c r="D1130" s="2330"/>
      <c r="E1130" s="2330"/>
      <c r="F1130" s="2330"/>
      <c r="G1130" s="2330"/>
      <c r="H1130" s="2330"/>
      <c r="I1130" s="2330"/>
      <c r="J1130" s="2330"/>
      <c r="K1130" s="2330"/>
      <c r="L1130" s="2330"/>
      <c r="M1130" s="2330"/>
      <c r="N1130" s="403" t="s">
        <v>6541</v>
      </c>
      <c r="O1130" s="2325" t="s">
        <v>1731</v>
      </c>
      <c r="P1130" s="1505"/>
      <c r="Q1130" s="1505"/>
      <c r="R1130" s="403" t="s">
        <v>6528</v>
      </c>
    </row>
    <row r="1131" spans="1:31" ht="6.6" customHeight="1"/>
    <row r="1132" spans="1:31">
      <c r="A1132" s="2342" t="s">
        <v>1842</v>
      </c>
      <c r="B1132" s="362" t="s">
        <v>6194</v>
      </c>
      <c r="D1132" s="2292"/>
      <c r="E1132" s="2292"/>
      <c r="F1132" s="2292"/>
      <c r="G1132" s="2292"/>
      <c r="H1132" s="2292"/>
      <c r="I1132" s="359"/>
      <c r="J1132" s="359"/>
      <c r="K1132" s="2342" t="s">
        <v>1842</v>
      </c>
      <c r="L1132" s="2282" t="str">
        <f>'Part VII-Threshold Criteria'!L94</f>
        <v>One Consulting Group</v>
      </c>
      <c r="M1132" s="2282"/>
      <c r="N1132" s="2282"/>
      <c r="O1132" s="2282"/>
      <c r="P1132" s="2282"/>
      <c r="Q1132" s="2243"/>
    </row>
    <row r="1133" spans="1:31" ht="12" customHeight="1">
      <c r="B1133" s="807" t="s">
        <v>6635</v>
      </c>
      <c r="O1133" s="2342" t="s">
        <v>1616</v>
      </c>
      <c r="P1133" s="2344" t="str">
        <f>'Part VII-Threshold Criteria'!P95</f>
        <v>No</v>
      </c>
      <c r="Q1133" s="2243"/>
    </row>
    <row r="1134" spans="1:31" ht="12" customHeight="1">
      <c r="B1134" s="807" t="s">
        <v>6529</v>
      </c>
      <c r="I1134" s="807" t="s">
        <v>6531</v>
      </c>
      <c r="K1134" s="2353">
        <f>'Part VII-Threshold Criteria'!K96</f>
        <v>45044</v>
      </c>
      <c r="L1134" s="2354"/>
      <c r="N1134" s="807" t="s">
        <v>6530</v>
      </c>
      <c r="P1134" s="2353">
        <f>'Part VII-Threshold Criteria'!P96</f>
        <v>45056</v>
      </c>
      <c r="Q1134" s="2354"/>
    </row>
    <row r="1135" spans="1:31" ht="12" customHeight="1">
      <c r="A1135" s="2342" t="s">
        <v>1844</v>
      </c>
      <c r="B1135" s="362" t="s">
        <v>6642</v>
      </c>
      <c r="D1135" s="2292"/>
      <c r="E1135" s="2292"/>
      <c r="F1135" s="2292"/>
      <c r="G1135" s="2292"/>
      <c r="H1135" s="2292"/>
      <c r="I1135" s="359"/>
      <c r="J1135" s="359"/>
      <c r="K1135" s="2292"/>
      <c r="L1135" s="2252"/>
      <c r="O1135" s="2342" t="s">
        <v>1844</v>
      </c>
      <c r="P1135" s="2344" t="str">
        <f>'Part VII-Threshold Criteria'!P97</f>
        <v>No</v>
      </c>
      <c r="Q1135" s="2243"/>
    </row>
    <row r="1136" spans="1:31" ht="12" customHeight="1">
      <c r="A1136" s="2342" t="s">
        <v>698</v>
      </c>
      <c r="B1136" s="362" t="s">
        <v>144</v>
      </c>
      <c r="D1136" s="2292"/>
      <c r="E1136" s="2292"/>
      <c r="F1136" s="2292"/>
      <c r="G1136" s="2292"/>
      <c r="H1136" s="2292"/>
      <c r="I1136" s="359"/>
      <c r="J1136" s="359"/>
      <c r="K1136" s="2252"/>
      <c r="L1136" s="2252"/>
      <c r="O1136" s="2342" t="s">
        <v>698</v>
      </c>
      <c r="P1136" s="2344" t="str">
        <f>'Part VII-Threshold Criteria'!P98</f>
        <v>Yes</v>
      </c>
      <c r="Q1136" s="2243"/>
    </row>
    <row r="1137" spans="1:17" ht="12" customHeight="1">
      <c r="A1137" s="2342"/>
      <c r="B1137" s="1875" t="s">
        <v>1615</v>
      </c>
      <c r="C1137" s="362" t="s">
        <v>2452</v>
      </c>
      <c r="E1137" s="2292"/>
      <c r="F1137" s="2292"/>
      <c r="G1137" s="2292"/>
      <c r="H1137" s="2292"/>
      <c r="I1137" s="359"/>
      <c r="J1137" s="359"/>
      <c r="K1137" s="2342" t="s">
        <v>1615</v>
      </c>
      <c r="L1137" s="2282" t="str">
        <f>'Part VII-Threshold Criteria'!L99</f>
        <v>Arpeggio</v>
      </c>
      <c r="M1137" s="2282"/>
      <c r="N1137" s="2282"/>
      <c r="O1137" s="2282"/>
      <c r="P1137" s="2282"/>
      <c r="Q1137" s="2243"/>
    </row>
    <row r="1138" spans="1:17" ht="12" customHeight="1">
      <c r="A1138" s="2239"/>
      <c r="B1138" s="1875" t="s">
        <v>1616</v>
      </c>
      <c r="C1138" s="362" t="s">
        <v>3084</v>
      </c>
      <c r="E1138" s="359"/>
      <c r="F1138" s="359"/>
      <c r="G1138" s="359"/>
      <c r="H1138" s="362"/>
      <c r="I1138" s="359"/>
      <c r="J1138" s="359"/>
      <c r="K1138" s="2292"/>
      <c r="L1138" s="2252"/>
      <c r="M1138" s="2252"/>
      <c r="O1138" s="2342" t="s">
        <v>1616</v>
      </c>
      <c r="P1138" s="2344">
        <f>'Part VII-Threshold Criteria'!P100</f>
        <v>70</v>
      </c>
      <c r="Q1138" s="2243"/>
    </row>
    <row r="1139" spans="1:17" ht="12" customHeight="1">
      <c r="A1139" s="2239"/>
      <c r="B1139" s="1875" t="s">
        <v>1617</v>
      </c>
      <c r="C1139" s="362" t="s">
        <v>3790</v>
      </c>
      <c r="E1139" s="359"/>
      <c r="F1139" s="359"/>
      <c r="G1139" s="359"/>
      <c r="H1139" s="362"/>
      <c r="I1139" s="359"/>
      <c r="J1139" s="359"/>
      <c r="K1139" s="2292"/>
      <c r="L1139" s="2252"/>
      <c r="M1139" s="2252"/>
      <c r="O1139" s="2342" t="s">
        <v>1617</v>
      </c>
      <c r="P1139" s="2344" t="str">
        <f>'Part VII-Threshold Criteria'!P101</f>
        <v>Yes</v>
      </c>
      <c r="Q1139" s="2243"/>
    </row>
    <row r="1140" spans="1:17" ht="12" customHeight="1">
      <c r="A1140" s="2342" t="s">
        <v>1963</v>
      </c>
      <c r="B1140" s="362" t="s">
        <v>6628</v>
      </c>
      <c r="D1140" s="2292"/>
      <c r="E1140" s="2292"/>
      <c r="F1140" s="2292"/>
      <c r="G1140" s="2292"/>
      <c r="H1140" s="2292"/>
      <c r="I1140" s="359"/>
      <c r="J1140" s="359"/>
      <c r="K1140" s="2292"/>
      <c r="L1140" s="2252"/>
      <c r="M1140" s="2252"/>
      <c r="N1140" s="2252"/>
      <c r="O1140" s="2342" t="s">
        <v>1963</v>
      </c>
    </row>
    <row r="1141" spans="1:17" ht="12" customHeight="1">
      <c r="A1141" s="2342"/>
      <c r="B1141" s="1875" t="s">
        <v>1615</v>
      </c>
      <c r="C1141" s="362" t="s">
        <v>142</v>
      </c>
      <c r="E1141" s="2292"/>
      <c r="F1141" s="2292"/>
      <c r="G1141" s="2292"/>
      <c r="H1141" s="2292"/>
      <c r="I1141" s="359"/>
      <c r="J1141" s="359"/>
      <c r="K1141" s="2292"/>
      <c r="L1141" s="2252"/>
      <c r="M1141" s="2252"/>
      <c r="O1141" s="2342" t="s">
        <v>1615</v>
      </c>
      <c r="P1141" s="2344" t="str">
        <f>'Part VII-Threshold Criteria'!P103</f>
        <v>No</v>
      </c>
      <c r="Q1141" s="2243"/>
    </row>
    <row r="1142" spans="1:17" ht="12" customHeight="1">
      <c r="A1142" s="2342"/>
      <c r="B1142" s="1875" t="s">
        <v>1616</v>
      </c>
      <c r="C1142" s="362" t="s">
        <v>6629</v>
      </c>
      <c r="E1142" s="2292"/>
      <c r="F1142" s="2292"/>
      <c r="G1142" s="2292"/>
      <c r="H1142" s="359"/>
      <c r="I1142" s="359"/>
      <c r="J1142" s="359"/>
      <c r="K1142" s="2292"/>
      <c r="L1142" s="2252"/>
      <c r="M1142" s="2252"/>
      <c r="O1142" s="2342" t="s">
        <v>1616</v>
      </c>
      <c r="P1142" s="2344" t="str">
        <f>'Part VII-Threshold Criteria'!P104</f>
        <v>No</v>
      </c>
      <c r="Q1142" s="2243"/>
    </row>
    <row r="1143" spans="1:17" ht="12" customHeight="1">
      <c r="A1143" s="2342"/>
      <c r="B1143" s="1875"/>
      <c r="C1143" s="362" t="s">
        <v>6630</v>
      </c>
      <c r="E1143" s="2342" t="s">
        <v>2241</v>
      </c>
      <c r="F1143" s="362" t="s">
        <v>6631</v>
      </c>
      <c r="G1143" s="359"/>
      <c r="H1143" s="362"/>
      <c r="I1143" s="359"/>
      <c r="J1143" s="359"/>
      <c r="K1143" s="2292"/>
      <c r="L1143" s="2252"/>
      <c r="M1143" s="2252"/>
      <c r="O1143" s="2342" t="s">
        <v>2241</v>
      </c>
      <c r="P1143" s="2356" t="str">
        <f>'Part VII-Threshold Criteria'!P105</f>
        <v>N/A</v>
      </c>
      <c r="Q1143" s="2357"/>
    </row>
    <row r="1144" spans="1:17" ht="12" customHeight="1">
      <c r="A1144" s="2342"/>
      <c r="B1144" s="1875"/>
      <c r="E1144" s="2342" t="s">
        <v>2242</v>
      </c>
      <c r="F1144" s="362" t="s">
        <v>6632</v>
      </c>
      <c r="G1144" s="359"/>
      <c r="H1144" s="362"/>
      <c r="I1144" s="359"/>
      <c r="J1144" s="359"/>
      <c r="K1144" s="2292"/>
      <c r="L1144" s="2252"/>
      <c r="M1144" s="2252"/>
      <c r="O1144" s="2342" t="s">
        <v>2242</v>
      </c>
      <c r="P1144" s="2344" t="str">
        <f>'Part VII-Threshold Criteria'!P106</f>
        <v>No</v>
      </c>
      <c r="Q1144" s="2243"/>
    </row>
    <row r="1145" spans="1:17" ht="12" customHeight="1">
      <c r="A1145" s="2342"/>
      <c r="B1145" s="1875" t="s">
        <v>1617</v>
      </c>
      <c r="C1145" s="362" t="s">
        <v>1187</v>
      </c>
      <c r="E1145" s="2292"/>
      <c r="F1145" s="2292"/>
      <c r="G1145" s="2292"/>
      <c r="H1145" s="362"/>
      <c r="I1145" s="359"/>
      <c r="J1145" s="359"/>
      <c r="K1145" s="2292"/>
      <c r="L1145" s="2252"/>
      <c r="M1145" s="2252"/>
      <c r="O1145" s="2342" t="s">
        <v>1617</v>
      </c>
      <c r="P1145" s="2344" t="str">
        <f>'Part VII-Threshold Criteria'!P107</f>
        <v>No</v>
      </c>
      <c r="Q1145" s="2243"/>
    </row>
    <row r="1146" spans="1:17" ht="12" customHeight="1">
      <c r="A1146" s="2342"/>
      <c r="B1146" s="2342"/>
      <c r="C1146" s="362" t="s">
        <v>6630</v>
      </c>
      <c r="E1146" s="2342" t="s">
        <v>2241</v>
      </c>
      <c r="F1146" s="362" t="s">
        <v>6633</v>
      </c>
      <c r="G1146" s="359"/>
      <c r="H1146" s="362"/>
      <c r="I1146" s="359"/>
      <c r="J1146" s="359"/>
      <c r="K1146" s="2292"/>
      <c r="L1146" s="2252"/>
      <c r="O1146" s="2342" t="s">
        <v>2241</v>
      </c>
      <c r="P1146" s="2356">
        <f>'Part VII-Threshold Criteria'!P108</f>
        <v>0</v>
      </c>
      <c r="Q1146" s="2357"/>
    </row>
    <row r="1147" spans="1:17" ht="12" customHeight="1">
      <c r="A1147" s="2342"/>
      <c r="B1147" s="2342"/>
      <c r="E1147" s="2342" t="s">
        <v>2242</v>
      </c>
      <c r="F1147" s="362" t="s">
        <v>6634</v>
      </c>
      <c r="G1147" s="359"/>
      <c r="H1147" s="362"/>
      <c r="I1147" s="359"/>
      <c r="J1147" s="359"/>
      <c r="O1147" s="2342" t="s">
        <v>2242</v>
      </c>
      <c r="P1147" s="2344" t="str">
        <f>'Part VII-Threshold Criteria'!P109</f>
        <v>No</v>
      </c>
      <c r="Q1147" s="2243"/>
    </row>
    <row r="1148" spans="1:17" ht="12" customHeight="1">
      <c r="A1148" s="2342" t="s">
        <v>1613</v>
      </c>
      <c r="B1148" s="1875" t="s">
        <v>2224</v>
      </c>
      <c r="D1148" s="2292"/>
      <c r="E1148" s="2292"/>
      <c r="F1148" s="2292"/>
      <c r="G1148" s="2292"/>
      <c r="H1148" s="2292"/>
      <c r="I1148" s="359"/>
      <c r="J1148" s="359"/>
      <c r="K1148" s="2292"/>
      <c r="M1148" s="2252"/>
      <c r="N1148" s="2252"/>
      <c r="O1148" s="2252"/>
      <c r="P1148" s="2252"/>
      <c r="Q1148" s="2252"/>
    </row>
    <row r="1149" spans="1:17" ht="12" customHeight="1">
      <c r="A1149" s="2342"/>
      <c r="B1149" s="1875" t="s">
        <v>1615</v>
      </c>
      <c r="C1149" s="362" t="s">
        <v>1187</v>
      </c>
      <c r="D1149" s="2292"/>
      <c r="E1149" s="1875"/>
      <c r="F1149" s="2344" t="str">
        <f>'Part VII-Threshold Criteria'!F111</f>
        <v>No</v>
      </c>
      <c r="G1149" s="2243"/>
      <c r="H1149" s="2342" t="s">
        <v>3863</v>
      </c>
      <c r="I1149" s="362" t="s">
        <v>2503</v>
      </c>
      <c r="J1149" s="2344" t="str">
        <f>'Part VII-Threshold Criteria'!J111</f>
        <v>Yes</v>
      </c>
      <c r="K1149" s="2243"/>
      <c r="L1149" s="2342" t="s">
        <v>3867</v>
      </c>
      <c r="M1149" s="1889" t="s">
        <v>6199</v>
      </c>
      <c r="P1149" s="2344" t="str">
        <f>'Part VII-Threshold Criteria'!P111</f>
        <v>No</v>
      </c>
      <c r="Q1149" s="2243"/>
    </row>
    <row r="1150" spans="1:17" ht="12.75" customHeight="1">
      <c r="B1150" s="1875" t="s">
        <v>1616</v>
      </c>
      <c r="C1150" s="362" t="s">
        <v>6195</v>
      </c>
      <c r="E1150" s="2292"/>
      <c r="F1150" s="2344" t="str">
        <f>'Part VII-Threshold Criteria'!F112</f>
        <v>Yes</v>
      </c>
      <c r="G1150" s="2243"/>
      <c r="H1150" s="2342" t="s">
        <v>3864</v>
      </c>
      <c r="I1150" s="362" t="s">
        <v>6115</v>
      </c>
      <c r="J1150" s="2344" t="str">
        <f>'Part VII-Threshold Criteria'!J112</f>
        <v>No</v>
      </c>
      <c r="K1150" s="2243"/>
      <c r="L1150" s="2342" t="s">
        <v>3868</v>
      </c>
      <c r="M1150" s="807" t="s">
        <v>3285</v>
      </c>
      <c r="O1150" s="2252"/>
      <c r="P1150" s="2344" t="str">
        <f>'Part VII-Threshold Criteria'!P112</f>
        <v>No</v>
      </c>
      <c r="Q1150" s="2243"/>
    </row>
    <row r="1151" spans="1:17" ht="12" customHeight="1">
      <c r="A1151" s="362"/>
      <c r="B1151" s="1875" t="s">
        <v>1617</v>
      </c>
      <c r="C1151" s="362" t="s">
        <v>6196</v>
      </c>
      <c r="E1151" s="2292"/>
      <c r="F1151" s="2344" t="str">
        <f>'Part VII-Threshold Criteria'!F113</f>
        <v>No</v>
      </c>
      <c r="G1151" s="2243"/>
      <c r="H1151" s="2342" t="s">
        <v>3865</v>
      </c>
      <c r="I1151" s="362" t="s">
        <v>6116</v>
      </c>
      <c r="J1151" s="2344" t="str">
        <f>'Part VII-Threshold Criteria'!J113</f>
        <v>No</v>
      </c>
      <c r="K1151" s="2243"/>
      <c r="L1151" s="2342" t="s">
        <v>3869</v>
      </c>
      <c r="M1151" s="362" t="s">
        <v>1451</v>
      </c>
      <c r="P1151" s="2344" t="str">
        <f>'Part VII-Threshold Criteria'!P113</f>
        <v>No</v>
      </c>
      <c r="Q1151" s="2243"/>
    </row>
    <row r="1152" spans="1:17" ht="12" customHeight="1">
      <c r="A1152" s="362"/>
      <c r="B1152" s="1875" t="s">
        <v>2183</v>
      </c>
      <c r="C1152" s="807" t="s">
        <v>2416</v>
      </c>
      <c r="E1152" s="2292"/>
      <c r="F1152" s="2344" t="str">
        <f>'Part VII-Threshold Criteria'!F114</f>
        <v>No</v>
      </c>
      <c r="G1152" s="2243"/>
      <c r="H1152" s="2342" t="s">
        <v>3866</v>
      </c>
      <c r="I1152" s="807" t="s">
        <v>6197</v>
      </c>
      <c r="J1152" s="2344" t="str">
        <f>'Part VII-Threshold Criteria'!J114</f>
        <v>No</v>
      </c>
      <c r="K1152" s="2243"/>
      <c r="L1152" s="2342" t="s">
        <v>6198</v>
      </c>
      <c r="M1152" s="807" t="s">
        <v>6117</v>
      </c>
      <c r="P1152" s="2344" t="str">
        <f>'Part VII-Threshold Criteria'!P114</f>
        <v>No</v>
      </c>
      <c r="Q1152" s="2243"/>
    </row>
    <row r="1153" spans="1:31" ht="12" customHeight="1">
      <c r="A1153" s="362"/>
      <c r="B1153" s="2342" t="s">
        <v>6532</v>
      </c>
      <c r="C1153" s="362" t="s">
        <v>2504</v>
      </c>
      <c r="E1153" s="2292"/>
      <c r="F1153" s="2292"/>
      <c r="G1153" s="2292"/>
      <c r="H1153" s="2292"/>
      <c r="I1153" s="2292"/>
      <c r="J1153" s="2292"/>
      <c r="K1153" s="2292"/>
      <c r="L1153" s="2292"/>
      <c r="M1153" s="362"/>
      <c r="O1153" s="2342"/>
      <c r="P1153" s="2342"/>
    </row>
    <row r="1154" spans="1:31" ht="12" customHeight="1">
      <c r="A1154" s="362"/>
      <c r="C1154" s="2358"/>
      <c r="D1154" s="2358"/>
      <c r="E1154" s="2358"/>
      <c r="F1154" s="2358"/>
      <c r="G1154" s="2358"/>
      <c r="H1154" s="2358"/>
      <c r="I1154" s="2358"/>
      <c r="J1154" s="2358"/>
      <c r="K1154" s="2358"/>
      <c r="L1154" s="2358"/>
      <c r="M1154" s="2358"/>
      <c r="N1154" s="2358"/>
      <c r="O1154" s="2358"/>
      <c r="P1154" s="2358"/>
      <c r="Q1154" s="2358"/>
    </row>
    <row r="1155" spans="1:31" ht="12" customHeight="1">
      <c r="A1155" s="2336" t="s">
        <v>1614</v>
      </c>
      <c r="B1155" s="362" t="s">
        <v>3142</v>
      </c>
      <c r="D1155" s="2292"/>
      <c r="E1155" s="2292"/>
      <c r="F1155" s="2292"/>
      <c r="G1155" s="2292"/>
      <c r="H1155" s="2292"/>
      <c r="I1155" s="359"/>
      <c r="J1155" s="359"/>
      <c r="K1155" s="2292"/>
      <c r="L1155" s="2292"/>
      <c r="M1155" s="2252"/>
    </row>
    <row r="1156" spans="1:31" ht="12.75" customHeight="1">
      <c r="A1156" s="359"/>
      <c r="B1156" s="1875" t="s">
        <v>1615</v>
      </c>
      <c r="C1156" s="362" t="s">
        <v>2505</v>
      </c>
      <c r="E1156" s="2292"/>
      <c r="F1156" s="2292"/>
      <c r="G1156" s="2292"/>
      <c r="H1156" s="2292"/>
      <c r="O1156" s="2342" t="s">
        <v>6636</v>
      </c>
      <c r="P1156" s="2344" t="str">
        <f>'Part VII-Threshold Criteria'!P118</f>
        <v>No</v>
      </c>
      <c r="Q1156" s="2243"/>
    </row>
    <row r="1157" spans="1:31" ht="12.75" customHeight="1">
      <c r="A1157" s="2243"/>
      <c r="B1157" s="1875" t="s">
        <v>1616</v>
      </c>
      <c r="C1157" s="362" t="s">
        <v>461</v>
      </c>
      <c r="E1157" s="362"/>
      <c r="F1157" s="362"/>
      <c r="G1157" s="362"/>
      <c r="H1157" s="362"/>
      <c r="I1157" s="359"/>
      <c r="J1157" s="359"/>
      <c r="K1157" s="362"/>
      <c r="L1157" s="362"/>
      <c r="M1157" s="362"/>
      <c r="O1157" s="2342" t="s">
        <v>1616</v>
      </c>
      <c r="P1157" s="2344" t="str">
        <f>'Part VII-Threshold Criteria'!P119</f>
        <v>No</v>
      </c>
      <c r="Q1157" s="2243"/>
    </row>
    <row r="1158" spans="1:31" ht="12.75" customHeight="1">
      <c r="A1158" s="2243"/>
      <c r="B1158" s="1875" t="s">
        <v>1617</v>
      </c>
      <c r="C1158" s="362" t="s">
        <v>635</v>
      </c>
      <c r="E1158" s="362"/>
      <c r="F1158" s="362"/>
      <c r="G1158" s="362"/>
      <c r="H1158" s="362"/>
      <c r="I1158" s="359"/>
      <c r="J1158" s="359"/>
      <c r="K1158" s="362"/>
      <c r="L1158" s="362"/>
      <c r="M1158" s="362"/>
      <c r="O1158" s="2342" t="s">
        <v>1617</v>
      </c>
      <c r="P1158" s="2344" t="str">
        <f>'Part VII-Threshold Criteria'!P120</f>
        <v>No</v>
      </c>
      <c r="Q1158" s="2243"/>
    </row>
    <row r="1159" spans="1:31" ht="12.75" customHeight="1">
      <c r="A1159" s="2243"/>
      <c r="B1159" s="1875" t="s">
        <v>2183</v>
      </c>
      <c r="C1159" s="362" t="s">
        <v>3851</v>
      </c>
      <c r="E1159" s="362"/>
      <c r="F1159" s="362"/>
      <c r="G1159" s="362"/>
      <c r="H1159" s="362"/>
      <c r="I1159" s="359"/>
      <c r="J1159" s="359"/>
      <c r="K1159" s="362"/>
      <c r="L1159" s="362"/>
      <c r="M1159" s="362"/>
      <c r="O1159" s="2342" t="s">
        <v>2183</v>
      </c>
      <c r="P1159" s="2344" t="str">
        <f>'Part VII-Threshold Criteria'!P121</f>
        <v>No</v>
      </c>
      <c r="Q1159" s="2243"/>
    </row>
    <row r="1160" spans="1:31" ht="12" customHeight="1">
      <c r="A1160" s="807" t="s">
        <v>3955</v>
      </c>
      <c r="C1160" s="362"/>
      <c r="D1160" s="2292"/>
      <c r="E1160" s="2292"/>
      <c r="F1160" s="2292"/>
      <c r="G1160" s="2292"/>
      <c r="H1160" s="2292"/>
      <c r="I1160" s="359"/>
      <c r="J1160" s="359"/>
      <c r="K1160" s="2292"/>
      <c r="L1160" s="2292"/>
      <c r="M1160" s="2252"/>
      <c r="N1160" s="2252"/>
      <c r="O1160" s="2252"/>
      <c r="P1160" s="2252"/>
      <c r="Q1160" s="2252"/>
      <c r="R1160" s="2252"/>
    </row>
    <row r="1161" spans="1:31" s="359" customFormat="1">
      <c r="A1161" s="2336" t="s">
        <v>1808</v>
      </c>
      <c r="B1161" s="1889" t="s">
        <v>6865</v>
      </c>
      <c r="C1161" s="2331"/>
      <c r="D1161" s="2331"/>
      <c r="E1161" s="2331"/>
      <c r="F1161" s="2331"/>
      <c r="G1161" s="2331"/>
      <c r="H1161" s="2331"/>
      <c r="I1161" s="2331"/>
      <c r="J1161" s="2331"/>
      <c r="K1161" s="2331"/>
      <c r="L1161" s="2331"/>
      <c r="M1161" s="2336" t="s">
        <v>1808</v>
      </c>
      <c r="N1161" s="2338" t="str">
        <f>'Part VII-Threshold Criteria'!N123</f>
        <v>&lt;&lt;Select&gt;&gt;</v>
      </c>
      <c r="O1161" s="2338"/>
      <c r="P1161" s="1889" t="s">
        <v>1647</v>
      </c>
      <c r="Q1161" s="1889"/>
    </row>
    <row r="1162" spans="1:31" ht="11.25" customHeight="1">
      <c r="B1162" s="2268" t="s">
        <v>3243</v>
      </c>
      <c r="D1162" s="2268"/>
      <c r="E1162" s="2268"/>
      <c r="F1162" s="2268"/>
      <c r="G1162" s="2268"/>
      <c r="H1162" s="1875"/>
      <c r="I1162" s="2243"/>
      <c r="J1162" s="2243"/>
      <c r="K1162" s="2243"/>
      <c r="L1162" s="1902"/>
      <c r="M1162" s="1902"/>
      <c r="N1162" s="1902"/>
      <c r="O1162" s="1902"/>
      <c r="P1162" s="1902"/>
      <c r="Q1162" s="1902"/>
    </row>
    <row r="1163" spans="1:31" ht="409.5">
      <c r="A1163" s="2327" t="str">
        <f>'Part VII-Threshold Criteria'!A125</f>
        <v>The environmental report did not identify any known environmental or historical issues, and the site is vacant land with no man made elements of concern.  There is a small noise issue, but a noise assessment study was completed, with a noise attenuation plan by a third party provider for the Environmental Consultant.  The developer has agreed to provide the design, and construction elements to achieve the noise level reduction recommendations in the noise attenuation plan  There is a small body of water on the property; a pond and an intermittent tributary of North Oconee River are located on the Subject Property. The pond is on the east side, while the intermittent stream flows from the pond northwest offsite. Contemplated developments are not planned within 150 feet of these surface waters.</v>
      </c>
      <c r="B1163" s="2327"/>
      <c r="C1163" s="2327"/>
      <c r="D1163" s="2327"/>
      <c r="E1163" s="2327"/>
      <c r="F1163" s="2327"/>
      <c r="G1163" s="2327"/>
      <c r="H1163" s="2327"/>
      <c r="I1163" s="2327"/>
      <c r="J1163" s="2327"/>
      <c r="K1163" s="2327"/>
      <c r="L1163" s="2327"/>
      <c r="M1163" s="2327"/>
      <c r="N1163" s="2327"/>
      <c r="O1163" s="2327"/>
      <c r="P1163" s="2327"/>
      <c r="Q1163" s="2327"/>
      <c r="R1163" s="2017" t="s">
        <v>1181</v>
      </c>
      <c r="S1163" s="2017"/>
      <c r="U1163" s="1505"/>
      <c r="V1163" s="1505"/>
      <c r="W1163" s="1505"/>
      <c r="X1163" s="1505"/>
      <c r="Y1163" s="1505"/>
      <c r="Z1163" s="1505"/>
      <c r="AA1163" s="1505"/>
      <c r="AB1163" s="1505"/>
      <c r="AC1163" s="1505"/>
      <c r="AD1163" s="1505"/>
      <c r="AE1163" s="1505"/>
    </row>
    <row r="1164" spans="1:31" ht="3" customHeight="1">
      <c r="R1164" s="2017"/>
      <c r="S1164" s="2017"/>
    </row>
    <row r="1165" spans="1:31" ht="11.25" customHeight="1">
      <c r="B1165" s="2328" t="s">
        <v>1730</v>
      </c>
      <c r="C1165" s="2329"/>
      <c r="D1165" s="2330"/>
      <c r="E1165" s="2330"/>
      <c r="F1165" s="2330"/>
      <c r="G1165" s="2330"/>
      <c r="H1165" s="2330"/>
      <c r="I1165" s="2330"/>
      <c r="J1165" s="2330"/>
      <c r="K1165" s="2330"/>
      <c r="L1165" s="2330"/>
      <c r="M1165" s="2330"/>
      <c r="N1165" s="2330"/>
      <c r="O1165" s="2330"/>
      <c r="P1165" s="2330"/>
      <c r="Q1165" s="2330"/>
    </row>
    <row r="1166" spans="1:31">
      <c r="A1166" s="2331"/>
      <c r="B1166" s="2331"/>
      <c r="C1166" s="2331"/>
      <c r="D1166" s="2331"/>
      <c r="E1166" s="2331"/>
      <c r="F1166" s="2331"/>
      <c r="G1166" s="2331"/>
      <c r="H1166" s="2331"/>
      <c r="I1166" s="2331"/>
      <c r="J1166" s="2331"/>
      <c r="K1166" s="2331"/>
      <c r="L1166" s="2331"/>
      <c r="M1166" s="2331"/>
      <c r="N1166" s="2331"/>
      <c r="O1166" s="2331"/>
      <c r="P1166" s="2331"/>
      <c r="Q1166" s="2331"/>
    </row>
    <row r="1167" spans="1:31" ht="3" customHeight="1">
      <c r="A1167" s="1902"/>
      <c r="B1167" s="2243"/>
      <c r="C1167" s="2330"/>
      <c r="D1167" s="2330"/>
      <c r="E1167" s="2330"/>
      <c r="F1167" s="2330"/>
      <c r="G1167" s="2330"/>
      <c r="H1167" s="2330"/>
      <c r="I1167" s="2330"/>
      <c r="J1167" s="2330"/>
      <c r="K1167" s="2330"/>
      <c r="L1167" s="2330"/>
      <c r="M1167" s="2330"/>
      <c r="N1167" s="2330"/>
      <c r="O1167" s="2330"/>
      <c r="P1167" s="2330"/>
      <c r="Q1167" s="1902"/>
    </row>
    <row r="1168" spans="1:31" ht="14.1" customHeight="1">
      <c r="A1168" s="2206" t="s">
        <v>280</v>
      </c>
      <c r="B1168" s="2206" t="s">
        <v>2426</v>
      </c>
      <c r="C1168" s="2206"/>
      <c r="D1168" s="2330"/>
      <c r="E1168" s="2330"/>
      <c r="F1168" s="2330"/>
      <c r="G1168" s="2330"/>
      <c r="H1168" s="2330"/>
      <c r="I1168" s="2330"/>
      <c r="J1168" s="2330"/>
      <c r="K1168" s="2330"/>
      <c r="N1168" s="403" t="s">
        <v>6541</v>
      </c>
      <c r="O1168" s="2325" t="s">
        <v>1731</v>
      </c>
      <c r="P1168" s="1505"/>
      <c r="Q1168" s="1505"/>
      <c r="R1168" s="403" t="s">
        <v>6528</v>
      </c>
    </row>
    <row r="1169" spans="1:31" ht="12" customHeight="1">
      <c r="A1169" s="2342" t="s">
        <v>1842</v>
      </c>
      <c r="B1169" s="1875" t="s">
        <v>1615</v>
      </c>
      <c r="C1169" s="362" t="s">
        <v>6802</v>
      </c>
      <c r="D1169" s="362"/>
      <c r="E1169" s="362"/>
      <c r="F1169" s="362"/>
      <c r="G1169" s="362"/>
      <c r="K1169" s="362" t="s">
        <v>2462</v>
      </c>
      <c r="M1169" s="2359">
        <f>'Part VII-Threshold Criteria'!M131</f>
        <v>0</v>
      </c>
      <c r="N1169" s="2359"/>
      <c r="O1169" s="2342" t="s">
        <v>1615</v>
      </c>
      <c r="P1169" s="2344">
        <f>'Part VII-Threshold Criteria'!P131</f>
        <v>0</v>
      </c>
      <c r="Q1169" s="2243"/>
    </row>
    <row r="1170" spans="1:31" ht="12" customHeight="1">
      <c r="A1170" s="2342"/>
      <c r="B1170" s="1875" t="s">
        <v>1616</v>
      </c>
      <c r="C1170" s="362" t="s">
        <v>6803</v>
      </c>
      <c r="D1170" s="362"/>
      <c r="E1170" s="362"/>
      <c r="F1170" s="362"/>
      <c r="G1170" s="362"/>
      <c r="K1170" s="362" t="s">
        <v>2462</v>
      </c>
      <c r="M1170" s="2359">
        <f>'Part VII-Threshold Criteria'!M132</f>
        <v>45291</v>
      </c>
      <c r="N1170" s="2359"/>
      <c r="O1170" s="2342" t="s">
        <v>1616</v>
      </c>
      <c r="P1170" s="2344" t="str">
        <f>'Part VII-Threshold Criteria'!P132</f>
        <v>Yes</v>
      </c>
      <c r="Q1170" s="2243"/>
    </row>
    <row r="1171" spans="1:31" ht="12" customHeight="1">
      <c r="A1171" s="2342" t="s">
        <v>1844</v>
      </c>
      <c r="B1171" s="1889" t="s">
        <v>143</v>
      </c>
      <c r="D1171" s="1889"/>
      <c r="E1171" s="1889"/>
      <c r="F1171" s="362" t="str">
        <f>IF(M1171="Ground lease/Option","Ground lease/Option:","")</f>
        <v>Ground lease/Option:</v>
      </c>
      <c r="H1171" s="362" t="str">
        <f>IF(M1171="Ground lease/Option","Annual Pymt:","")</f>
        <v>Annual Pymt:</v>
      </c>
      <c r="I1171" s="2301">
        <f>IF(M1171="Ground lease/Option",'Part V-Revenues &amp; Expenses'!$K$251,"")</f>
        <v>0</v>
      </c>
      <c r="J1171" s="2342" t="str">
        <f>IF(M1171="Ground lease/Option","Term:","")</f>
        <v>Term:</v>
      </c>
      <c r="K1171" s="1875">
        <f>IF(M1171="Ground lease/Option",'Part V-Revenues &amp; Expenses'!$N$251,"")</f>
        <v>75</v>
      </c>
      <c r="L1171" s="2342" t="s">
        <v>1844</v>
      </c>
      <c r="M1171" s="2360" t="str">
        <f>'Part VII-Threshold Criteria'!M133</f>
        <v>Ground lease/Option</v>
      </c>
      <c r="N1171" s="2360"/>
      <c r="P1171" s="807" t="s">
        <v>1647</v>
      </c>
      <c r="Q1171" s="807"/>
    </row>
    <row r="1172" spans="1:31" ht="12" customHeight="1">
      <c r="A1172" s="2342" t="s">
        <v>698</v>
      </c>
      <c r="B1172" s="1889" t="s">
        <v>636</v>
      </c>
      <c r="D1172" s="1889"/>
      <c r="E1172" s="1889"/>
      <c r="F1172" s="1889"/>
      <c r="G1172" s="1889"/>
      <c r="H1172" s="1889"/>
      <c r="J1172" s="2342" t="s">
        <v>698</v>
      </c>
      <c r="K1172" s="2211" t="str">
        <f>'Part VII-Threshold Criteria'!K134</f>
        <v>The Housing Authority of the City of Gainesville</v>
      </c>
      <c r="L1172" s="2211"/>
      <c r="M1172" s="2211"/>
      <c r="N1172" s="2211"/>
      <c r="O1172" s="2211"/>
      <c r="P1172" s="2211"/>
      <c r="Q1172" s="2243"/>
    </row>
    <row r="1173" spans="1:31" ht="21.75" customHeight="1">
      <c r="A1173" s="2336" t="s">
        <v>1963</v>
      </c>
      <c r="B1173" s="2331" t="s">
        <v>6200</v>
      </c>
      <c r="C1173" s="2331"/>
      <c r="D1173" s="2331"/>
      <c r="E1173" s="2331"/>
      <c r="F1173" s="2331"/>
      <c r="G1173" s="2331"/>
      <c r="H1173" s="2331"/>
      <c r="I1173" s="2331"/>
      <c r="J1173" s="2331"/>
      <c r="K1173" s="2331"/>
      <c r="L1173" s="2331"/>
      <c r="M1173" s="2331"/>
      <c r="N1173" s="2331"/>
      <c r="O1173" s="2336" t="s">
        <v>1963</v>
      </c>
      <c r="P1173" s="2355" t="str">
        <f>'Part VII-Threshold Criteria'!P135</f>
        <v>N/a</v>
      </c>
      <c r="Q1173" s="2337"/>
    </row>
    <row r="1174" spans="1:31" ht="12" customHeight="1">
      <c r="B1174" s="2268" t="s">
        <v>3243</v>
      </c>
      <c r="D1174" s="2268"/>
      <c r="E1174" s="2268"/>
      <c r="F1174" s="2268"/>
      <c r="G1174" s="2268"/>
      <c r="H1174" s="1875"/>
      <c r="I1174" s="2243"/>
      <c r="J1174" s="2243"/>
      <c r="K1174" s="2243"/>
      <c r="L1174" s="1902"/>
      <c r="M1174" s="1902"/>
      <c r="N1174" s="1902"/>
      <c r="O1174" s="1902"/>
      <c r="P1174" s="1902"/>
      <c r="Q1174" s="1902"/>
    </row>
    <row r="1175" spans="1:31" ht="11.45" customHeight="1">
      <c r="A1175" s="2327" t="str">
        <f>'Part VII-Threshold Criteria'!A137</f>
        <v>The Housing Authority of the City of Gainesville owns the land and has a Ground Lease Agreement with the Partnership.</v>
      </c>
      <c r="B1175" s="2327"/>
      <c r="C1175" s="2327"/>
      <c r="D1175" s="2327"/>
      <c r="E1175" s="2327"/>
      <c r="F1175" s="2327"/>
      <c r="G1175" s="2327"/>
      <c r="H1175" s="2327"/>
      <c r="I1175" s="2327"/>
      <c r="J1175" s="2327"/>
      <c r="K1175" s="2327"/>
      <c r="L1175" s="2327"/>
      <c r="M1175" s="2327"/>
      <c r="N1175" s="2327"/>
      <c r="O1175" s="2327"/>
      <c r="P1175" s="2327"/>
      <c r="Q1175" s="2327"/>
      <c r="U1175" s="1505"/>
      <c r="V1175" s="1505"/>
      <c r="W1175" s="1505"/>
      <c r="X1175" s="1505"/>
      <c r="Y1175" s="1505"/>
      <c r="Z1175" s="1505"/>
      <c r="AA1175" s="1505"/>
      <c r="AB1175" s="1505"/>
      <c r="AC1175" s="1505"/>
      <c r="AD1175" s="1505"/>
      <c r="AE1175" s="1505"/>
    </row>
    <row r="1176" spans="1:31" ht="12" customHeight="1">
      <c r="B1176" s="2328" t="s">
        <v>1730</v>
      </c>
      <c r="C1176" s="2329"/>
      <c r="D1176" s="2330"/>
      <c r="E1176" s="2330"/>
      <c r="F1176" s="2330"/>
      <c r="G1176" s="2330"/>
      <c r="H1176" s="2330"/>
      <c r="I1176" s="2330"/>
      <c r="J1176" s="2330"/>
      <c r="K1176" s="2330"/>
      <c r="L1176" s="2330"/>
      <c r="M1176" s="2330"/>
      <c r="N1176" s="2330"/>
      <c r="O1176" s="2330"/>
      <c r="P1176" s="2330"/>
      <c r="Q1176" s="2330"/>
    </row>
    <row r="1177" spans="1:31" ht="11.45" customHeight="1">
      <c r="A1177" s="2331"/>
      <c r="B1177" s="2331"/>
      <c r="C1177" s="2331"/>
      <c r="D1177" s="2331"/>
      <c r="E1177" s="2331"/>
      <c r="F1177" s="2331"/>
      <c r="G1177" s="2331"/>
      <c r="H1177" s="2331"/>
      <c r="I1177" s="2331"/>
      <c r="J1177" s="2331"/>
      <c r="K1177" s="2331"/>
      <c r="L1177" s="2331"/>
      <c r="M1177" s="2331"/>
      <c r="N1177" s="2331"/>
      <c r="O1177" s="2331"/>
      <c r="P1177" s="2331"/>
      <c r="Q1177" s="2331"/>
    </row>
    <row r="1178" spans="1:31" ht="3" customHeight="1">
      <c r="A1178" s="1902"/>
      <c r="B1178" s="2243"/>
      <c r="C1178" s="2330"/>
      <c r="D1178" s="2330"/>
      <c r="E1178" s="2330"/>
      <c r="F1178" s="2330"/>
      <c r="G1178" s="2330"/>
      <c r="H1178" s="2330"/>
      <c r="I1178" s="2330"/>
      <c r="J1178" s="2330"/>
      <c r="K1178" s="2330"/>
      <c r="L1178" s="2330"/>
      <c r="M1178" s="2330"/>
      <c r="Q1178" s="1902"/>
    </row>
    <row r="1179" spans="1:31" ht="14.1" customHeight="1">
      <c r="A1179" s="2206" t="s">
        <v>401</v>
      </c>
      <c r="B1179" s="2206" t="s">
        <v>2427</v>
      </c>
      <c r="C1179" s="2206"/>
      <c r="D1179" s="2330"/>
      <c r="E1179" s="2330"/>
      <c r="F1179" s="2330"/>
      <c r="G1179" s="2330"/>
      <c r="H1179" s="2330"/>
      <c r="I1179" s="2330"/>
      <c r="J1179" s="2330"/>
      <c r="K1179" s="2330"/>
      <c r="L1179" s="2330"/>
      <c r="M1179" s="2330"/>
      <c r="O1179" s="2325" t="s">
        <v>1731</v>
      </c>
      <c r="P1179" s="1505"/>
      <c r="Q1179" s="1505"/>
    </row>
    <row r="1180" spans="1:31">
      <c r="A1180" s="2336" t="s">
        <v>1842</v>
      </c>
      <c r="B1180" s="1889" t="s">
        <v>3236</v>
      </c>
      <c r="C1180" s="2331"/>
      <c r="D1180" s="2331"/>
      <c r="E1180" s="2331"/>
      <c r="F1180" s="2331"/>
      <c r="G1180" s="2331"/>
      <c r="H1180" s="2331"/>
      <c r="I1180" s="2331"/>
      <c r="J1180" s="2331"/>
      <c r="K1180" s="2331"/>
      <c r="L1180" s="2331"/>
      <c r="M1180" s="2331"/>
      <c r="N1180" s="2331"/>
      <c r="O1180" s="2336" t="s">
        <v>1842</v>
      </c>
      <c r="P1180" s="2355" t="str">
        <f>'Part VII-Threshold Criteria'!P142</f>
        <v>Yes</v>
      </c>
      <c r="Q1180" s="2337"/>
    </row>
    <row r="1181" spans="1:31">
      <c r="A1181" s="2336" t="s">
        <v>1844</v>
      </c>
      <c r="B1181" s="1889" t="s">
        <v>3804</v>
      </c>
      <c r="C1181" s="2331"/>
      <c r="D1181" s="2331"/>
      <c r="E1181" s="2331"/>
      <c r="F1181" s="2331"/>
      <c r="G1181" s="2331"/>
      <c r="H1181" s="2331"/>
      <c r="I1181" s="2331"/>
      <c r="J1181" s="2331"/>
      <c r="K1181" s="2331"/>
      <c r="L1181" s="2331"/>
      <c r="M1181" s="2331"/>
      <c r="N1181" s="2331"/>
      <c r="O1181" s="2336" t="s">
        <v>1844</v>
      </c>
      <c r="P1181" s="2355" t="str">
        <f>'Part VII-Threshold Criteria'!P143</f>
        <v>Yes</v>
      </c>
      <c r="Q1181" s="2337"/>
    </row>
    <row r="1182" spans="1:31">
      <c r="A1182" s="2336" t="s">
        <v>698</v>
      </c>
      <c r="B1182" s="1889" t="s">
        <v>3237</v>
      </c>
      <c r="C1182" s="2331"/>
      <c r="D1182" s="2331"/>
      <c r="E1182" s="2331"/>
      <c r="F1182" s="2331"/>
      <c r="G1182" s="2331"/>
      <c r="H1182" s="2331"/>
      <c r="I1182" s="2331"/>
      <c r="J1182" s="2331"/>
      <c r="K1182" s="2331"/>
      <c r="L1182" s="2331"/>
      <c r="M1182" s="2331"/>
      <c r="N1182" s="2331"/>
      <c r="O1182" s="2336" t="s">
        <v>698</v>
      </c>
      <c r="P1182" s="2355" t="str">
        <f>'Part VII-Threshold Criteria'!P144</f>
        <v>Yes</v>
      </c>
      <c r="Q1182" s="2337"/>
    </row>
    <row r="1183" spans="1:31">
      <c r="A1183" s="2336" t="s">
        <v>1963</v>
      </c>
      <c r="B1183" s="1889" t="s">
        <v>3837</v>
      </c>
      <c r="C1183" s="2331"/>
      <c r="D1183" s="2331"/>
      <c r="E1183" s="2331"/>
      <c r="F1183" s="2331"/>
      <c r="G1183" s="2331"/>
      <c r="H1183" s="2331"/>
      <c r="I1183" s="2331"/>
      <c r="J1183" s="2331"/>
      <c r="K1183" s="2331"/>
      <c r="L1183" s="2331"/>
      <c r="M1183" s="2331"/>
      <c r="N1183" s="2331"/>
      <c r="O1183" s="2336" t="s">
        <v>1963</v>
      </c>
      <c r="P1183" s="2355" t="str">
        <f>'Part VII-Threshold Criteria'!P145</f>
        <v>Yes</v>
      </c>
      <c r="Q1183" s="2337"/>
    </row>
    <row r="1184" spans="1:31" ht="12" customHeight="1">
      <c r="B1184" s="2268" t="s">
        <v>3243</v>
      </c>
      <c r="D1184" s="2268"/>
      <c r="E1184" s="2268"/>
      <c r="F1184" s="2268"/>
      <c r="G1184" s="2268"/>
      <c r="H1184" s="1875"/>
      <c r="I1184" s="2243"/>
      <c r="J1184" s="2243"/>
      <c r="K1184" s="2243"/>
      <c r="L1184" s="1902"/>
      <c r="M1184" s="1902"/>
      <c r="N1184" s="1902"/>
      <c r="O1184" s="1902"/>
      <c r="P1184" s="1902"/>
      <c r="Q1184" s="1902"/>
    </row>
    <row r="1185" spans="1:44" ht="11.45" customHeight="1">
      <c r="A1185" s="2327" t="str">
        <f>'Part VII-Threshold Criteria'!A147</f>
        <v>Conceptual Site Plan has been submitted to the City of Gainesville.  Conceptual development plans are approved by City of Gainesville.</v>
      </c>
      <c r="B1185" s="2327"/>
      <c r="C1185" s="2327"/>
      <c r="D1185" s="2327"/>
      <c r="E1185" s="2327"/>
      <c r="F1185" s="2327"/>
      <c r="G1185" s="2327"/>
      <c r="H1185" s="2327"/>
      <c r="I1185" s="2327"/>
      <c r="J1185" s="2327"/>
      <c r="K1185" s="2327"/>
      <c r="L1185" s="2327"/>
      <c r="M1185" s="2327"/>
      <c r="N1185" s="2327"/>
      <c r="O1185" s="2327"/>
      <c r="P1185" s="2327"/>
      <c r="Q1185" s="2327"/>
      <c r="U1185" s="1505"/>
      <c r="V1185" s="1505"/>
      <c r="W1185" s="1505"/>
      <c r="X1185" s="1505"/>
      <c r="Y1185" s="1505"/>
      <c r="Z1185" s="1505"/>
      <c r="AA1185" s="1505"/>
      <c r="AB1185" s="1505"/>
      <c r="AC1185" s="1505"/>
      <c r="AD1185" s="1505"/>
      <c r="AE1185" s="1505"/>
    </row>
    <row r="1186" spans="1:44" ht="12" customHeight="1">
      <c r="B1186" s="2328" t="s">
        <v>1730</v>
      </c>
      <c r="C1186" s="2329"/>
      <c r="D1186" s="2330"/>
      <c r="E1186" s="2330"/>
      <c r="F1186" s="2330"/>
      <c r="G1186" s="2330"/>
      <c r="H1186" s="2330"/>
      <c r="I1186" s="2330"/>
      <c r="J1186" s="2330"/>
      <c r="K1186" s="2330"/>
      <c r="L1186" s="2330"/>
      <c r="M1186" s="2330"/>
      <c r="N1186" s="2330"/>
      <c r="O1186" s="2330"/>
      <c r="P1186" s="2330"/>
      <c r="Q1186" s="2330"/>
    </row>
    <row r="1187" spans="1:44" ht="11.45" customHeight="1">
      <c r="A1187" s="2331"/>
      <c r="B1187" s="2331"/>
      <c r="C1187" s="2331"/>
      <c r="D1187" s="2331"/>
      <c r="E1187" s="2331"/>
      <c r="F1187" s="2331"/>
      <c r="G1187" s="2331"/>
      <c r="H1187" s="2331"/>
      <c r="I1187" s="2331"/>
      <c r="J1187" s="2331"/>
      <c r="K1187" s="2331"/>
      <c r="L1187" s="2331"/>
      <c r="M1187" s="2331"/>
      <c r="N1187" s="2331"/>
      <c r="O1187" s="2331"/>
      <c r="P1187" s="2331"/>
      <c r="Q1187" s="2331"/>
    </row>
    <row r="1188" spans="1:44" ht="3" customHeight="1">
      <c r="B1188" s="2243"/>
      <c r="C1188" s="2330"/>
      <c r="D1188" s="2330"/>
      <c r="E1188" s="2330"/>
      <c r="F1188" s="2330"/>
      <c r="G1188" s="2330"/>
      <c r="H1188" s="2330"/>
      <c r="I1188" s="2330"/>
      <c r="J1188" s="2330"/>
      <c r="K1188" s="2330"/>
      <c r="L1188" s="2330"/>
      <c r="M1188" s="2330"/>
      <c r="N1188" s="2330"/>
      <c r="O1188" s="2330"/>
      <c r="P1188" s="2330"/>
      <c r="Q1188" s="1902"/>
    </row>
    <row r="1189" spans="1:44" ht="14.1" customHeight="1">
      <c r="A1189" s="2219" t="s">
        <v>342</v>
      </c>
      <c r="B1189" s="359" t="s">
        <v>2428</v>
      </c>
      <c r="C1189" s="359"/>
      <c r="D1189" s="359"/>
      <c r="E1189" s="403"/>
      <c r="N1189" s="403" t="s">
        <v>6541</v>
      </c>
      <c r="O1189" s="2325" t="s">
        <v>1731</v>
      </c>
      <c r="P1189" s="1505"/>
      <c r="Q1189" s="1505"/>
      <c r="R1189" s="403" t="s">
        <v>6528</v>
      </c>
    </row>
    <row r="1190" spans="1:44" ht="11.45" customHeight="1">
      <c r="B1190" s="807" t="s">
        <v>6666</v>
      </c>
      <c r="N1190" s="1750"/>
      <c r="O1190" s="1750"/>
      <c r="P1190" s="1750"/>
      <c r="Q1190" s="1750"/>
      <c r="S1190" s="2361"/>
      <c r="T1190" s="2361"/>
      <c r="U1190" s="2361"/>
      <c r="V1190" s="2361"/>
      <c r="W1190" s="2361"/>
      <c r="X1190" s="2361"/>
      <c r="Y1190" s="2361"/>
      <c r="Z1190" s="2361"/>
      <c r="AA1190" s="2361"/>
      <c r="AB1190" s="2361"/>
      <c r="AC1190" s="2361"/>
      <c r="AD1190" s="2361"/>
      <c r="AE1190" s="2361"/>
      <c r="AF1190" s="2361"/>
      <c r="AG1190" s="2361"/>
      <c r="AH1190" s="2361"/>
      <c r="AI1190" s="2361"/>
      <c r="AJ1190" s="2361"/>
      <c r="AK1190" s="2361"/>
      <c r="AL1190" s="2361"/>
      <c r="AM1190" s="2361"/>
      <c r="AN1190" s="2361"/>
      <c r="AO1190" s="2361"/>
      <c r="AP1190" s="2361"/>
      <c r="AQ1190" s="2361"/>
      <c r="AR1190" s="2361"/>
    </row>
    <row r="1191" spans="1:44" ht="12" customHeight="1">
      <c r="A1191" s="2336" t="s">
        <v>1842</v>
      </c>
      <c r="B1191" s="2339" t="s">
        <v>441</v>
      </c>
      <c r="D1191" s="2339"/>
      <c r="E1191" s="2339"/>
      <c r="F1191" s="2339"/>
      <c r="G1191" s="2339"/>
      <c r="H1191" s="2339"/>
      <c r="I1191" s="2339"/>
      <c r="J1191" s="2339"/>
      <c r="K1191" s="2339"/>
      <c r="L1191" s="2339"/>
      <c r="M1191" s="2339"/>
      <c r="O1191" s="2336" t="s">
        <v>1842</v>
      </c>
      <c r="P1191" s="2344" t="str">
        <f>'Part VII-Threshold Criteria'!P153</f>
        <v>Yes</v>
      </c>
      <c r="Q1191" s="2243"/>
    </row>
    <row r="1192" spans="1:44" ht="12" customHeight="1">
      <c r="A1192" s="2336" t="s">
        <v>1844</v>
      </c>
      <c r="B1192" s="2339" t="s">
        <v>6118</v>
      </c>
      <c r="D1192" s="2339"/>
      <c r="E1192" s="2339"/>
      <c r="F1192" s="2339"/>
      <c r="G1192" s="2339"/>
      <c r="H1192" s="2339"/>
      <c r="I1192" s="2339"/>
      <c r="J1192" s="2339"/>
      <c r="K1192" s="2339"/>
      <c r="L1192" s="2339"/>
      <c r="M1192" s="2339"/>
      <c r="O1192" s="2336" t="s">
        <v>1844</v>
      </c>
      <c r="P1192" s="2344" t="str">
        <f>'Part VII-Threshold Criteria'!P154</f>
        <v>Yes</v>
      </c>
      <c r="Q1192" s="2243"/>
    </row>
    <row r="1193" spans="1:44" ht="12" customHeight="1">
      <c r="A1193" s="2336" t="s">
        <v>698</v>
      </c>
      <c r="B1193" s="2339" t="s">
        <v>2417</v>
      </c>
      <c r="D1193" s="2339"/>
      <c r="E1193" s="2339"/>
      <c r="F1193" s="2339"/>
      <c r="G1193" s="2339"/>
      <c r="H1193" s="2339"/>
      <c r="I1193" s="2339"/>
      <c r="J1193" s="1889" t="s">
        <v>3839</v>
      </c>
      <c r="L1193" s="2339"/>
      <c r="M1193" s="2339"/>
      <c r="O1193" s="2336" t="s">
        <v>698</v>
      </c>
      <c r="P1193" s="2344" t="str">
        <f>'Part VII-Threshold Criteria'!P155</f>
        <v>Yes</v>
      </c>
      <c r="Q1193" s="2243"/>
    </row>
    <row r="1194" spans="1:44" ht="12" customHeight="1">
      <c r="B1194" s="1875" t="s">
        <v>1615</v>
      </c>
      <c r="C1194" s="1875" t="s">
        <v>2418</v>
      </c>
      <c r="G1194" s="2339"/>
      <c r="H1194" s="2339"/>
      <c r="J1194" s="2339"/>
      <c r="K1194" s="2339"/>
      <c r="L1194" s="2339"/>
      <c r="M1194" s="2339"/>
      <c r="O1194" s="2362" t="s">
        <v>1615</v>
      </c>
      <c r="P1194" s="2344" t="str">
        <f>'Part VII-Threshold Criteria'!P156</f>
        <v>Yes</v>
      </c>
      <c r="Q1194" s="2243"/>
    </row>
    <row r="1195" spans="1:44" ht="12" customHeight="1">
      <c r="A1195" s="1889"/>
      <c r="B1195" s="1875" t="s">
        <v>1616</v>
      </c>
      <c r="C1195" s="1875" t="s">
        <v>6866</v>
      </c>
      <c r="G1195" s="2339"/>
      <c r="H1195" s="2339"/>
      <c r="I1195" s="2339"/>
      <c r="J1195" s="2339"/>
      <c r="K1195" s="2339"/>
      <c r="L1195" s="2339"/>
      <c r="M1195" s="2339"/>
      <c r="O1195" s="2362" t="s">
        <v>1616</v>
      </c>
      <c r="P1195" s="2344" t="str">
        <f>'Part VII-Threshold Criteria'!P157</f>
        <v>Yes</v>
      </c>
      <c r="Q1195" s="2243"/>
    </row>
    <row r="1196" spans="1:44" s="2265" customFormat="1">
      <c r="A1196" s="2336"/>
      <c r="B1196" s="2339" t="s">
        <v>1617</v>
      </c>
      <c r="C1196" s="1889" t="s">
        <v>3238</v>
      </c>
      <c r="D1196" s="2331"/>
      <c r="E1196" s="2331"/>
      <c r="F1196" s="2331"/>
      <c r="G1196" s="2331"/>
      <c r="H1196" s="2331"/>
      <c r="I1196" s="2331"/>
      <c r="J1196" s="2331"/>
      <c r="K1196" s="2331"/>
      <c r="L1196" s="2331"/>
      <c r="M1196" s="2331"/>
      <c r="N1196" s="2331"/>
      <c r="O1196" s="2336" t="s">
        <v>1617</v>
      </c>
      <c r="P1196" s="2355" t="str">
        <f>'Part VII-Threshold Criteria'!P158</f>
        <v>Yes</v>
      </c>
      <c r="Q1196" s="2337"/>
    </row>
    <row r="1197" spans="1:44" ht="12" customHeight="1">
      <c r="A1197" s="2336"/>
      <c r="B1197" s="1875" t="s">
        <v>2183</v>
      </c>
      <c r="C1197" s="1875" t="s">
        <v>2420</v>
      </c>
      <c r="G1197" s="2339"/>
      <c r="H1197" s="2339"/>
      <c r="I1197" s="2339"/>
      <c r="J1197" s="2339"/>
      <c r="K1197" s="2339"/>
      <c r="L1197" s="2339"/>
      <c r="M1197" s="2339"/>
      <c r="O1197" s="2362" t="s">
        <v>2183</v>
      </c>
      <c r="P1197" s="2344" t="str">
        <f>'Part VII-Threshold Criteria'!P159</f>
        <v>Yes</v>
      </c>
      <c r="Q1197" s="2243"/>
    </row>
    <row r="1198" spans="1:44" s="2265" customFormat="1">
      <c r="A1198" s="2336"/>
      <c r="B1198" s="2339" t="s">
        <v>1449</v>
      </c>
      <c r="C1198" s="1889" t="s">
        <v>2421</v>
      </c>
      <c r="D1198" s="2331"/>
      <c r="E1198" s="2331"/>
      <c r="F1198" s="2331"/>
      <c r="G1198" s="2331"/>
      <c r="H1198" s="2331"/>
      <c r="I1198" s="2331"/>
      <c r="J1198" s="2331"/>
      <c r="K1198" s="2331"/>
      <c r="L1198" s="2331"/>
      <c r="M1198" s="2331"/>
      <c r="N1198" s="2331"/>
      <c r="O1198" s="2336" t="s">
        <v>1449</v>
      </c>
      <c r="P1198" s="2355" t="str">
        <f>'Part VII-Threshold Criteria'!P160</f>
        <v>N/Ap</v>
      </c>
      <c r="Q1198" s="2337"/>
    </row>
    <row r="1199" spans="1:44" s="2265" customFormat="1">
      <c r="A1199" s="2336"/>
      <c r="B1199" s="2339" t="s">
        <v>1450</v>
      </c>
      <c r="C1199" s="1889" t="s">
        <v>3310</v>
      </c>
      <c r="D1199" s="2331"/>
      <c r="E1199" s="2331"/>
      <c r="F1199" s="2331"/>
      <c r="G1199" s="2331"/>
      <c r="H1199" s="2331"/>
      <c r="I1199" s="2331"/>
      <c r="J1199" s="2331"/>
      <c r="K1199" s="2331"/>
      <c r="L1199" s="2331"/>
      <c r="M1199" s="2331"/>
      <c r="N1199" s="2331"/>
      <c r="O1199" s="2336" t="s">
        <v>1450</v>
      </c>
      <c r="P1199" s="2355" t="str">
        <f>'Part VII-Threshold Criteria'!P161</f>
        <v>N/Ap</v>
      </c>
      <c r="Q1199" s="2337"/>
    </row>
    <row r="1200" spans="1:44">
      <c r="A1200" s="2336" t="s">
        <v>1963</v>
      </c>
      <c r="B1200" s="1889" t="s">
        <v>2422</v>
      </c>
      <c r="C1200" s="2331"/>
      <c r="D1200" s="2331"/>
      <c r="E1200" s="2331"/>
      <c r="F1200" s="2331"/>
      <c r="G1200" s="2331"/>
      <c r="H1200" s="2331"/>
      <c r="I1200" s="2331"/>
      <c r="J1200" s="2331"/>
      <c r="K1200" s="2331"/>
      <c r="L1200" s="2331"/>
      <c r="M1200" s="2331"/>
      <c r="N1200" s="2331"/>
      <c r="O1200" s="2336" t="s">
        <v>1963</v>
      </c>
      <c r="P1200" s="2355" t="str">
        <f>'Part VII-Threshold Criteria'!P162</f>
        <v>Yes</v>
      </c>
      <c r="Q1200" s="2337"/>
    </row>
    <row r="1201" spans="1:44" ht="12" customHeight="1">
      <c r="A1201" s="2336" t="s">
        <v>1613</v>
      </c>
      <c r="B1201" s="2339" t="s">
        <v>2195</v>
      </c>
      <c r="D1201" s="2339"/>
      <c r="E1201" s="2339"/>
      <c r="F1201" s="2339"/>
      <c r="G1201" s="2339"/>
      <c r="H1201" s="2339"/>
      <c r="I1201" s="2339"/>
      <c r="J1201" s="2339"/>
      <c r="K1201" s="2339"/>
      <c r="L1201" s="2339"/>
      <c r="M1201" s="2339"/>
      <c r="O1201" s="2336" t="s">
        <v>1613</v>
      </c>
      <c r="P1201" s="2344" t="str">
        <f>'Part VII-Threshold Criteria'!P163</f>
        <v>Yes</v>
      </c>
      <c r="Q1201" s="2243"/>
    </row>
    <row r="1202" spans="1:44" ht="12" customHeight="1">
      <c r="B1202" s="2268" t="s">
        <v>3243</v>
      </c>
      <c r="D1202" s="2268"/>
      <c r="E1202" s="2268"/>
      <c r="F1202" s="2268"/>
      <c r="G1202" s="2268"/>
      <c r="H1202" s="1875"/>
      <c r="I1202" s="2243"/>
      <c r="J1202" s="2243"/>
      <c r="K1202" s="2243"/>
      <c r="L1202" s="1902"/>
      <c r="M1202" s="1902"/>
      <c r="N1202" s="1902"/>
      <c r="O1202" s="1902"/>
      <c r="P1202" s="1902"/>
      <c r="Q1202" s="1902"/>
    </row>
    <row r="1203" spans="1:44" ht="11.45" customHeight="1">
      <c r="A1203" s="2327" t="str">
        <f>'Part VII-Threshold Criteria'!A165</f>
        <v>The project was previously zoned RII which is acceptable for the site plan and design.  Gainesville City Planning has reviewed the Conceptual Site plan and agreed the plan and density are acceptable.</v>
      </c>
      <c r="B1203" s="2327"/>
      <c r="C1203" s="2327"/>
      <c r="D1203" s="2327"/>
      <c r="E1203" s="2327"/>
      <c r="F1203" s="2327"/>
      <c r="G1203" s="2327"/>
      <c r="H1203" s="2327"/>
      <c r="I1203" s="2327"/>
      <c r="J1203" s="2327"/>
      <c r="K1203" s="2327"/>
      <c r="L1203" s="2327"/>
      <c r="M1203" s="2327"/>
      <c r="N1203" s="2327"/>
      <c r="O1203" s="2327"/>
      <c r="P1203" s="2327"/>
      <c r="Q1203" s="2327"/>
      <c r="U1203" s="1505"/>
      <c r="V1203" s="1505"/>
      <c r="W1203" s="1505"/>
      <c r="X1203" s="1505"/>
      <c r="Y1203" s="1505"/>
      <c r="Z1203" s="1505"/>
      <c r="AA1203" s="1505"/>
      <c r="AB1203" s="1505"/>
      <c r="AC1203" s="1505"/>
      <c r="AD1203" s="1505"/>
      <c r="AE1203" s="1505"/>
    </row>
    <row r="1204" spans="1:44" ht="12" customHeight="1">
      <c r="B1204" s="2328" t="s">
        <v>1730</v>
      </c>
      <c r="C1204" s="2329"/>
      <c r="D1204" s="2330"/>
      <c r="E1204" s="2330"/>
      <c r="F1204" s="2330"/>
      <c r="G1204" s="2330"/>
      <c r="H1204" s="2330"/>
      <c r="I1204" s="2330"/>
      <c r="J1204" s="2330"/>
      <c r="K1204" s="2330"/>
      <c r="L1204" s="2330"/>
      <c r="M1204" s="2330"/>
      <c r="N1204" s="2330"/>
      <c r="O1204" s="2330"/>
      <c r="P1204" s="2330"/>
      <c r="Q1204" s="2330"/>
    </row>
    <row r="1205" spans="1:44" ht="11.45" customHeight="1">
      <c r="A1205" s="2331"/>
      <c r="B1205" s="2331"/>
      <c r="C1205" s="2331"/>
      <c r="D1205" s="2331"/>
      <c r="E1205" s="2331"/>
      <c r="F1205" s="2331"/>
      <c r="G1205" s="2331"/>
      <c r="H1205" s="2331"/>
      <c r="I1205" s="2331"/>
      <c r="J1205" s="2331"/>
      <c r="K1205" s="2331"/>
      <c r="L1205" s="2331"/>
      <c r="M1205" s="2331"/>
      <c r="N1205" s="2331"/>
      <c r="O1205" s="2331"/>
      <c r="P1205" s="2331"/>
      <c r="Q1205" s="2331"/>
    </row>
    <row r="1206" spans="1:44" ht="3" customHeight="1">
      <c r="A1206" s="1902"/>
      <c r="B1206" s="2243"/>
      <c r="C1206" s="2330"/>
      <c r="D1206" s="2330"/>
      <c r="E1206" s="2330"/>
      <c r="F1206" s="2330"/>
      <c r="G1206" s="2330"/>
      <c r="H1206" s="2330"/>
      <c r="I1206" s="2330"/>
      <c r="J1206" s="2330"/>
      <c r="K1206" s="2330"/>
      <c r="L1206" s="2330"/>
      <c r="M1206" s="2330"/>
      <c r="N1206" s="2330"/>
      <c r="O1206" s="2330"/>
      <c r="P1206" s="2330"/>
      <c r="Q1206" s="1902"/>
    </row>
    <row r="1207" spans="1:44" ht="14.1" customHeight="1">
      <c r="A1207" s="2206" t="s">
        <v>343</v>
      </c>
      <c r="B1207" s="2206" t="s">
        <v>2429</v>
      </c>
      <c r="C1207" s="2206"/>
      <c r="D1207" s="2330"/>
      <c r="E1207" s="2363"/>
      <c r="F1207" s="403"/>
      <c r="G1207" s="2330"/>
      <c r="J1207" s="2331"/>
      <c r="K1207" s="2331"/>
      <c r="L1207" s="2331"/>
      <c r="M1207" s="2331"/>
      <c r="N1207" s="403" t="s">
        <v>6541</v>
      </c>
      <c r="O1207" s="2325" t="s">
        <v>1731</v>
      </c>
      <c r="P1207" s="1505"/>
      <c r="Q1207" s="1505"/>
      <c r="R1207" s="403" t="s">
        <v>6528</v>
      </c>
    </row>
    <row r="1208" spans="1:44" ht="12.75" customHeight="1">
      <c r="B1208" s="807" t="s">
        <v>6666</v>
      </c>
      <c r="N1208" s="1750"/>
      <c r="O1208" s="1750"/>
      <c r="P1208" s="1750"/>
      <c r="Q1208" s="1750"/>
      <c r="S1208" s="2361"/>
      <c r="T1208" s="2361"/>
      <c r="U1208" s="2361"/>
      <c r="V1208" s="2361"/>
      <c r="W1208" s="2361"/>
      <c r="X1208" s="2361"/>
      <c r="Y1208" s="2361"/>
      <c r="Z1208" s="2361"/>
      <c r="AA1208" s="2361"/>
      <c r="AB1208" s="2361"/>
      <c r="AC1208" s="2361"/>
      <c r="AD1208" s="2361"/>
      <c r="AE1208" s="2361"/>
      <c r="AF1208" s="2361"/>
      <c r="AG1208" s="2361"/>
      <c r="AH1208" s="2361"/>
      <c r="AI1208" s="2361"/>
      <c r="AJ1208" s="2361"/>
      <c r="AK1208" s="2361"/>
      <c r="AL1208" s="2361"/>
      <c r="AM1208" s="2361"/>
      <c r="AN1208" s="2361"/>
      <c r="AO1208" s="2361"/>
      <c r="AP1208" s="2361"/>
      <c r="AQ1208" s="2361"/>
      <c r="AR1208" s="2361"/>
    </row>
    <row r="1209" spans="1:44" ht="12.75" customHeight="1">
      <c r="A1209" s="2239"/>
      <c r="B1209" s="1889" t="s">
        <v>92</v>
      </c>
      <c r="D1209" s="1889"/>
      <c r="E1209" s="1889"/>
      <c r="F1209" s="1889"/>
      <c r="G1209" s="1889"/>
      <c r="H1209" s="2342" t="s">
        <v>1615</v>
      </c>
      <c r="I1209" s="362" t="s">
        <v>145</v>
      </c>
      <c r="J1209" s="2211" t="str">
        <f>'Part VII-Threshold Criteria'!J171</f>
        <v>N/A</v>
      </c>
      <c r="K1209" s="2211"/>
      <c r="L1209" s="2211"/>
      <c r="M1209" s="2211"/>
      <c r="N1209" s="2211"/>
      <c r="O1209" s="2342" t="s">
        <v>1615</v>
      </c>
      <c r="P1209" s="2344" t="str">
        <f>'Part VII-Threshold Criteria'!P171</f>
        <v>No</v>
      </c>
      <c r="Q1209" s="2243"/>
    </row>
    <row r="1210" spans="1:44" ht="12.75" customHeight="1">
      <c r="A1210" s="2239"/>
      <c r="B1210" s="2268" t="s">
        <v>3243</v>
      </c>
      <c r="C1210" s="2258"/>
      <c r="D1210" s="2258"/>
      <c r="E1210" s="2258"/>
      <c r="F1210" s="2258"/>
      <c r="H1210" s="2342" t="s">
        <v>1616</v>
      </c>
      <c r="I1210" s="362" t="s">
        <v>1492</v>
      </c>
      <c r="J1210" s="2211" t="str">
        <f>'Part VII-Threshold Criteria'!J172</f>
        <v xml:space="preserve">Georgia Power </v>
      </c>
      <c r="K1210" s="2211"/>
      <c r="L1210" s="2211"/>
      <c r="M1210" s="2211"/>
      <c r="N1210" s="2211"/>
      <c r="O1210" s="2342" t="s">
        <v>1616</v>
      </c>
      <c r="P1210" s="2344" t="str">
        <f>'Part VII-Threshold Criteria'!P172</f>
        <v>Yes</v>
      </c>
      <c r="Q1210" s="2243"/>
    </row>
    <row r="1211" spans="1:44" ht="12.75" customHeight="1">
      <c r="A1211" s="2327" t="str">
        <f>'Part VII-Threshold Criteria'!A173</f>
        <v>Georgia Power Electric Availability is included with the Application.</v>
      </c>
      <c r="B1211" s="2327"/>
      <c r="C1211" s="2327"/>
      <c r="D1211" s="2327"/>
      <c r="E1211" s="2327"/>
      <c r="F1211" s="2327"/>
      <c r="G1211" s="2327"/>
      <c r="H1211" s="2327"/>
      <c r="I1211" s="2327"/>
      <c r="J1211" s="2327"/>
      <c r="K1211" s="2327"/>
      <c r="L1211" s="2327"/>
      <c r="M1211" s="2327"/>
      <c r="N1211" s="2327"/>
      <c r="O1211" s="2327"/>
      <c r="P1211" s="2327"/>
      <c r="Q1211" s="2327"/>
      <c r="U1211" s="1505"/>
      <c r="V1211" s="1505"/>
      <c r="W1211" s="1505"/>
      <c r="X1211" s="1505"/>
      <c r="Y1211" s="1505"/>
      <c r="Z1211" s="1505"/>
      <c r="AA1211" s="1505"/>
      <c r="AB1211" s="1505"/>
      <c r="AC1211" s="1505"/>
      <c r="AD1211" s="1505"/>
      <c r="AE1211" s="1505"/>
    </row>
    <row r="1212" spans="1:44" ht="12.75" customHeight="1">
      <c r="B1212" s="2328" t="s">
        <v>1730</v>
      </c>
      <c r="C1212" s="2329"/>
      <c r="D1212" s="2330"/>
      <c r="E1212" s="2330"/>
      <c r="F1212" s="2330"/>
      <c r="G1212" s="2330"/>
      <c r="H1212" s="2330"/>
      <c r="I1212" s="2330"/>
      <c r="J1212" s="2330"/>
      <c r="K1212" s="2330"/>
      <c r="L1212" s="2330"/>
      <c r="M1212" s="2330"/>
      <c r="N1212" s="2330"/>
      <c r="O1212" s="2330"/>
      <c r="P1212" s="2330"/>
      <c r="Q1212" s="2330"/>
    </row>
    <row r="1213" spans="1:44" ht="12.75" customHeight="1">
      <c r="A1213" s="2331"/>
      <c r="B1213" s="2331"/>
      <c r="C1213" s="2331"/>
      <c r="D1213" s="2331"/>
      <c r="E1213" s="2331"/>
      <c r="F1213" s="2331"/>
      <c r="G1213" s="2331"/>
      <c r="H1213" s="2331"/>
      <c r="I1213" s="2331"/>
      <c r="J1213" s="2331"/>
      <c r="K1213" s="2331"/>
      <c r="L1213" s="2331"/>
      <c r="M1213" s="2331"/>
      <c r="N1213" s="2331"/>
      <c r="O1213" s="2331"/>
      <c r="P1213" s="2331"/>
      <c r="Q1213" s="2331"/>
    </row>
    <row r="1214" spans="1:44" ht="4.3499999999999996" customHeight="1">
      <c r="B1214" s="2243"/>
      <c r="C1214" s="2330"/>
      <c r="D1214" s="2330"/>
      <c r="E1214" s="2330"/>
      <c r="F1214" s="2330"/>
      <c r="G1214" s="2330"/>
      <c r="H1214" s="2330"/>
      <c r="I1214" s="2330"/>
      <c r="J1214" s="2330"/>
      <c r="K1214" s="2330"/>
      <c r="L1214" s="2330"/>
      <c r="M1214" s="2330"/>
      <c r="Q1214" s="1902"/>
    </row>
    <row r="1215" spans="1:44" ht="14.1" customHeight="1">
      <c r="A1215" s="2206" t="s">
        <v>344</v>
      </c>
      <c r="B1215" s="359" t="s">
        <v>2430</v>
      </c>
      <c r="C1215" s="359"/>
      <c r="D1215" s="362"/>
      <c r="E1215" s="362"/>
      <c r="F1215" s="362"/>
      <c r="G1215" s="2330"/>
      <c r="H1215" s="2330"/>
      <c r="I1215" s="2364"/>
      <c r="J1215" s="2330"/>
      <c r="K1215" s="2330"/>
      <c r="L1215" s="2330"/>
      <c r="M1215" s="2330"/>
      <c r="N1215" s="403" t="s">
        <v>6541</v>
      </c>
      <c r="O1215" s="2325" t="s">
        <v>1731</v>
      </c>
      <c r="P1215" s="1505"/>
      <c r="Q1215" s="1505"/>
      <c r="R1215" s="403" t="s">
        <v>6528</v>
      </c>
    </row>
    <row r="1216" spans="1:44" ht="12.75" customHeight="1">
      <c r="B1216" s="807" t="s">
        <v>6666</v>
      </c>
      <c r="N1216" s="1750"/>
      <c r="O1216" s="1750"/>
      <c r="P1216" s="1750"/>
      <c r="Q1216" s="1750"/>
      <c r="S1216" s="2361"/>
      <c r="T1216" s="2361"/>
      <c r="U1216" s="2361"/>
      <c r="V1216" s="2361"/>
      <c r="W1216" s="2361"/>
      <c r="X1216" s="2361"/>
      <c r="Y1216" s="2361"/>
      <c r="Z1216" s="2361"/>
      <c r="AA1216" s="2361"/>
      <c r="AB1216" s="2361"/>
      <c r="AC1216" s="2361"/>
      <c r="AD1216" s="2361"/>
      <c r="AE1216" s="2361"/>
      <c r="AF1216" s="2361"/>
      <c r="AG1216" s="2361"/>
      <c r="AH1216" s="2361"/>
      <c r="AI1216" s="2361"/>
      <c r="AJ1216" s="2361"/>
      <c r="AK1216" s="2361"/>
      <c r="AL1216" s="2361"/>
      <c r="AM1216" s="2361"/>
      <c r="AN1216" s="2361"/>
      <c r="AO1216" s="2361"/>
      <c r="AP1216" s="2361"/>
      <c r="AQ1216" s="2361"/>
      <c r="AR1216" s="2361"/>
    </row>
    <row r="1217" spans="1:44" ht="12.75" customHeight="1">
      <c r="A1217" s="2336" t="s">
        <v>1842</v>
      </c>
      <c r="B1217" s="1889" t="s">
        <v>1713</v>
      </c>
      <c r="C1217" s="2331"/>
      <c r="D1217" s="2331"/>
      <c r="E1217" s="2331"/>
      <c r="F1217" s="2331"/>
      <c r="G1217" s="2331"/>
      <c r="H1217" s="2342" t="s">
        <v>1615</v>
      </c>
      <c r="I1217" s="362" t="s">
        <v>592</v>
      </c>
      <c r="J1217" s="2211" t="str">
        <f>'Part VII-Threshold Criteria'!J179</f>
        <v>City of Gainesville</v>
      </c>
      <c r="K1217" s="2211"/>
      <c r="L1217" s="2211"/>
      <c r="M1217" s="2211"/>
      <c r="N1217" s="2211"/>
      <c r="O1217" s="2336" t="s">
        <v>1392</v>
      </c>
      <c r="P1217" s="2344" t="str">
        <f>'Part VII-Threshold Criteria'!P179</f>
        <v>Yes</v>
      </c>
      <c r="Q1217" s="2243"/>
    </row>
    <row r="1218" spans="1:44" ht="12.75" customHeight="1">
      <c r="A1218" s="2025"/>
      <c r="B1218" s="2331"/>
      <c r="C1218" s="2331"/>
      <c r="D1218" s="2331"/>
      <c r="E1218" s="2331"/>
      <c r="F1218" s="2331"/>
      <c r="G1218" s="2331"/>
      <c r="H1218" s="2342" t="s">
        <v>1616</v>
      </c>
      <c r="I1218" s="362" t="s">
        <v>110</v>
      </c>
      <c r="J1218" s="2211" t="str">
        <f>'Part VII-Threshold Criteria'!J180</f>
        <v>City of Gainesville</v>
      </c>
      <c r="K1218" s="2211"/>
      <c r="L1218" s="2211"/>
      <c r="M1218" s="2211"/>
      <c r="N1218" s="2211"/>
      <c r="O1218" s="2336" t="s">
        <v>1616</v>
      </c>
      <c r="P1218" s="2344" t="str">
        <f>'Part VII-Threshold Criteria'!P180</f>
        <v>Yes</v>
      </c>
      <c r="Q1218" s="2243"/>
    </row>
    <row r="1219" spans="1:44" ht="12.75" customHeight="1">
      <c r="A1219" s="2342" t="s">
        <v>1844</v>
      </c>
      <c r="B1219" s="1875" t="s">
        <v>1615</v>
      </c>
      <c r="C1219" s="362" t="s">
        <v>6867</v>
      </c>
      <c r="E1219" s="362"/>
      <c r="F1219" s="362"/>
      <c r="G1219" s="362"/>
      <c r="H1219" s="362"/>
      <c r="I1219" s="362"/>
      <c r="J1219" s="362"/>
      <c r="K1219" s="359"/>
      <c r="L1219" s="362"/>
      <c r="M1219" s="362"/>
      <c r="O1219" s="2336" t="s">
        <v>6512</v>
      </c>
      <c r="P1219" s="2344" t="str">
        <f>'Part VII-Threshold Criteria'!P181</f>
        <v>Yes</v>
      </c>
      <c r="Q1219" s="2243"/>
    </row>
    <row r="1220" spans="1:44" ht="12.75" customHeight="1">
      <c r="A1220" s="2342"/>
      <c r="B1220" s="1875" t="s">
        <v>1616</v>
      </c>
      <c r="C1220" s="362" t="s">
        <v>6868</v>
      </c>
      <c r="D1220" s="362"/>
      <c r="E1220" s="362"/>
      <c r="F1220" s="362"/>
      <c r="G1220" s="362"/>
      <c r="H1220" s="362"/>
      <c r="I1220" s="362"/>
      <c r="J1220" s="362"/>
      <c r="K1220" s="359"/>
      <c r="L1220" s="362"/>
      <c r="M1220" s="362"/>
      <c r="O1220" s="2336" t="s">
        <v>1616</v>
      </c>
      <c r="P1220" s="2344" t="str">
        <f>'Part VII-Threshold Criteria'!P182</f>
        <v>No</v>
      </c>
      <c r="Q1220" s="2243"/>
    </row>
    <row r="1221" spans="1:44" ht="12.75" customHeight="1">
      <c r="A1221" s="2342" t="s">
        <v>698</v>
      </c>
      <c r="B1221" s="362" t="s">
        <v>6535</v>
      </c>
      <c r="D1221" s="362"/>
      <c r="E1221" s="362"/>
      <c r="F1221" s="362"/>
      <c r="G1221" s="362"/>
      <c r="H1221" s="362"/>
      <c r="I1221" s="362"/>
      <c r="J1221" s="362"/>
      <c r="K1221" s="359"/>
      <c r="L1221" s="362"/>
      <c r="M1221" s="362"/>
      <c r="O1221" s="2342" t="s">
        <v>698</v>
      </c>
      <c r="P1221" s="2344" t="str">
        <f>'Part VII-Threshold Criteria'!P183</f>
        <v>N/A</v>
      </c>
      <c r="Q1221" s="2243"/>
    </row>
    <row r="1222" spans="1:44" ht="12.75" customHeight="1">
      <c r="B1222" s="2268" t="s">
        <v>3243</v>
      </c>
      <c r="D1222" s="2268"/>
      <c r="E1222" s="2268"/>
      <c r="F1222" s="2268"/>
      <c r="G1222" s="2268"/>
      <c r="H1222" s="1875"/>
      <c r="I1222" s="2243"/>
      <c r="J1222" s="2243"/>
      <c r="K1222" s="2243"/>
      <c r="L1222" s="1902"/>
      <c r="M1222" s="1902"/>
      <c r="N1222" s="1902"/>
      <c r="O1222" s="1902"/>
      <c r="P1222" s="1902"/>
      <c r="Q1222" s="1902"/>
    </row>
    <row r="1223" spans="1:44" ht="12.75" customHeight="1">
      <c r="A1223" s="2327" t="str">
        <f>'Part VII-Threshold Criteria'!A185</f>
        <v>Water and Sewer Availability Letters are included with the Application.</v>
      </c>
      <c r="B1223" s="2327"/>
      <c r="C1223" s="2327"/>
      <c r="D1223" s="2327"/>
      <c r="E1223" s="2327"/>
      <c r="F1223" s="2327"/>
      <c r="G1223" s="2327"/>
      <c r="H1223" s="2327"/>
      <c r="I1223" s="2327"/>
      <c r="J1223" s="2327"/>
      <c r="K1223" s="2327"/>
      <c r="L1223" s="2327"/>
      <c r="M1223" s="2327"/>
      <c r="N1223" s="2327"/>
      <c r="O1223" s="2327"/>
      <c r="P1223" s="2327"/>
      <c r="Q1223" s="2327"/>
      <c r="U1223" s="1505"/>
      <c r="V1223" s="1505"/>
      <c r="W1223" s="1505"/>
      <c r="X1223" s="1505"/>
      <c r="Y1223" s="1505"/>
      <c r="Z1223" s="1505"/>
      <c r="AA1223" s="1505"/>
      <c r="AB1223" s="1505"/>
      <c r="AC1223" s="1505"/>
      <c r="AD1223" s="1505"/>
      <c r="AE1223" s="1505"/>
    </row>
    <row r="1224" spans="1:44" ht="12.75" customHeight="1">
      <c r="B1224" s="2328" t="s">
        <v>1730</v>
      </c>
      <c r="C1224" s="2329"/>
      <c r="D1224" s="2330"/>
      <c r="E1224" s="2330"/>
      <c r="F1224" s="2330"/>
      <c r="G1224" s="2330"/>
      <c r="H1224" s="2330"/>
      <c r="I1224" s="2330"/>
      <c r="J1224" s="2330"/>
      <c r="K1224" s="2330"/>
      <c r="L1224" s="2330"/>
      <c r="M1224" s="2330"/>
      <c r="N1224" s="2330"/>
      <c r="O1224" s="2330"/>
      <c r="P1224" s="2330"/>
      <c r="Q1224" s="2330"/>
    </row>
    <row r="1225" spans="1:44" ht="12.75" customHeight="1">
      <c r="A1225" s="2331"/>
      <c r="B1225" s="2331"/>
      <c r="C1225" s="2331"/>
      <c r="D1225" s="2331"/>
      <c r="E1225" s="2331"/>
      <c r="F1225" s="2331"/>
      <c r="G1225" s="2331"/>
      <c r="H1225" s="2331"/>
      <c r="I1225" s="2331"/>
      <c r="J1225" s="2331"/>
      <c r="K1225" s="2331"/>
      <c r="L1225" s="2331"/>
      <c r="M1225" s="2331"/>
      <c r="N1225" s="2331"/>
      <c r="O1225" s="2331"/>
      <c r="P1225" s="2331"/>
      <c r="Q1225" s="2331"/>
      <c r="S1225" s="2361"/>
      <c r="T1225" s="2361"/>
      <c r="U1225" s="2361"/>
      <c r="V1225" s="2361"/>
      <c r="W1225" s="2361"/>
      <c r="X1225" s="2361"/>
      <c r="Y1225" s="2361"/>
      <c r="Z1225" s="2361"/>
      <c r="AA1225" s="2361"/>
      <c r="AB1225" s="2361"/>
      <c r="AC1225" s="2361"/>
      <c r="AD1225" s="2361"/>
      <c r="AE1225" s="2361"/>
      <c r="AF1225" s="2361"/>
      <c r="AG1225" s="2361"/>
      <c r="AH1225" s="2361"/>
      <c r="AI1225" s="2361"/>
      <c r="AJ1225" s="2361"/>
      <c r="AK1225" s="2361"/>
      <c r="AL1225" s="2361"/>
      <c r="AM1225" s="2361"/>
      <c r="AN1225" s="2361"/>
      <c r="AO1225" s="2361"/>
      <c r="AP1225" s="2361"/>
      <c r="AQ1225" s="2361"/>
      <c r="AR1225" s="2361"/>
    </row>
    <row r="1226" spans="1:44" ht="3" customHeight="1">
      <c r="A1226" s="1902"/>
      <c r="B1226" s="2243"/>
      <c r="C1226" s="2330"/>
      <c r="D1226" s="2330"/>
      <c r="E1226" s="2330"/>
      <c r="F1226" s="2330"/>
      <c r="G1226" s="2330"/>
      <c r="H1226" s="2330"/>
      <c r="I1226" s="2330"/>
      <c r="J1226" s="2330"/>
      <c r="K1226" s="2330"/>
      <c r="L1226" s="2330"/>
      <c r="M1226" s="2330"/>
      <c r="Q1226" s="1902"/>
      <c r="S1226" s="2361"/>
      <c r="T1226" s="2361"/>
      <c r="U1226" s="2361"/>
      <c r="V1226" s="2361"/>
      <c r="W1226" s="2361"/>
      <c r="X1226" s="2361"/>
      <c r="Y1226" s="2361"/>
      <c r="Z1226" s="2361"/>
      <c r="AA1226" s="2361"/>
      <c r="AB1226" s="2361"/>
      <c r="AC1226" s="2361"/>
      <c r="AD1226" s="2361"/>
      <c r="AE1226" s="2361"/>
      <c r="AF1226" s="2361"/>
      <c r="AG1226" s="2361"/>
      <c r="AH1226" s="2361"/>
      <c r="AI1226" s="2361"/>
      <c r="AJ1226" s="2361"/>
      <c r="AK1226" s="2361"/>
      <c r="AL1226" s="2361"/>
      <c r="AM1226" s="2361"/>
      <c r="AN1226" s="2361"/>
      <c r="AO1226" s="2361"/>
      <c r="AP1226" s="2361"/>
      <c r="AQ1226" s="2361"/>
      <c r="AR1226" s="2361"/>
    </row>
    <row r="1227" spans="1:44" ht="14.1" customHeight="1">
      <c r="A1227" s="2206" t="s">
        <v>1605</v>
      </c>
      <c r="B1227" s="2206" t="s">
        <v>2431</v>
      </c>
      <c r="C1227" s="1875"/>
      <c r="D1227" s="2330"/>
      <c r="E1227" s="2330"/>
      <c r="F1227" s="2330"/>
      <c r="G1227" s="2330"/>
      <c r="H1227" s="2330"/>
      <c r="I1227" s="2330"/>
      <c r="J1227" s="2330"/>
      <c r="K1227" s="2330"/>
      <c r="L1227" s="2330"/>
      <c r="M1227" s="2330"/>
      <c r="O1227" s="2325" t="s">
        <v>1731</v>
      </c>
      <c r="P1227" s="1505"/>
      <c r="Q1227" s="1505"/>
      <c r="S1227" s="2361"/>
      <c r="T1227" s="2361"/>
      <c r="U1227" s="2361"/>
      <c r="V1227" s="2361"/>
      <c r="W1227" s="2361"/>
      <c r="X1227" s="2361"/>
      <c r="Y1227" s="2361"/>
      <c r="Z1227" s="2361"/>
      <c r="AA1227" s="2361"/>
      <c r="AB1227" s="2361"/>
      <c r="AC1227" s="2361"/>
      <c r="AD1227" s="2361"/>
      <c r="AE1227" s="2361"/>
      <c r="AF1227" s="2361"/>
      <c r="AG1227" s="2361"/>
      <c r="AH1227" s="2361"/>
      <c r="AI1227" s="2361"/>
      <c r="AJ1227" s="2361"/>
      <c r="AK1227" s="2361"/>
      <c r="AL1227" s="2361"/>
      <c r="AM1227" s="2361"/>
      <c r="AN1227" s="2361"/>
      <c r="AO1227" s="2361"/>
      <c r="AP1227" s="2361"/>
      <c r="AQ1227" s="2361"/>
      <c r="AR1227" s="2361"/>
    </row>
    <row r="1228" spans="1:44" ht="12.75" customHeight="1">
      <c r="B1228" s="807" t="s">
        <v>1120</v>
      </c>
      <c r="N1228" s="1750"/>
      <c r="P1228" s="2344" t="str">
        <f>'Part VII-Threshold Criteria'!P190</f>
        <v>No</v>
      </c>
      <c r="Q1228" s="2243"/>
      <c r="S1228" s="2361"/>
      <c r="T1228" s="2361"/>
      <c r="U1228" s="2361"/>
      <c r="V1228" s="2361"/>
      <c r="W1228" s="2361"/>
      <c r="X1228" s="2361"/>
      <c r="Y1228" s="2361"/>
      <c r="Z1228" s="2361"/>
      <c r="AA1228" s="2361"/>
      <c r="AB1228" s="2361"/>
      <c r="AC1228" s="2361"/>
      <c r="AD1228" s="2361"/>
      <c r="AE1228" s="2361"/>
      <c r="AF1228" s="2361"/>
      <c r="AG1228" s="2361"/>
      <c r="AH1228" s="2361"/>
      <c r="AI1228" s="2361"/>
      <c r="AJ1228" s="2361"/>
      <c r="AK1228" s="2361"/>
      <c r="AL1228" s="2361"/>
      <c r="AM1228" s="2361"/>
      <c r="AN1228" s="2361"/>
      <c r="AO1228" s="2361"/>
      <c r="AP1228" s="2361"/>
      <c r="AQ1228" s="2361"/>
      <c r="AR1228" s="2361"/>
    </row>
    <row r="1229" spans="1:44" ht="12.75" customHeight="1">
      <c r="A1229" s="2342" t="s">
        <v>1842</v>
      </c>
      <c r="B1229" s="362" t="s">
        <v>6869</v>
      </c>
      <c r="D1229" s="359"/>
      <c r="E1229" s="359"/>
      <c r="F1229" s="359"/>
      <c r="G1229" s="359"/>
      <c r="H1229" s="359"/>
      <c r="I1229" s="359"/>
      <c r="J1229" s="359"/>
      <c r="K1229" s="359"/>
      <c r="L1229" s="359"/>
      <c r="M1229" s="359"/>
      <c r="O1229" s="2342" t="s">
        <v>1842</v>
      </c>
      <c r="P1229" s="2344" t="str">
        <f>'Part VII-Threshold Criteria'!P191</f>
        <v>Agree</v>
      </c>
      <c r="Q1229" s="2243"/>
      <c r="S1229" s="2361"/>
      <c r="T1229" s="2361"/>
      <c r="U1229" s="2361"/>
      <c r="V1229" s="2361"/>
      <c r="W1229" s="2361"/>
      <c r="X1229" s="2361"/>
      <c r="Y1229" s="2361"/>
      <c r="Z1229" s="2361"/>
      <c r="AA1229" s="2361"/>
      <c r="AB1229" s="2361"/>
      <c r="AC1229" s="2361"/>
      <c r="AD1229" s="2361"/>
      <c r="AE1229" s="2361"/>
      <c r="AF1229" s="2361"/>
      <c r="AG1229" s="2361"/>
      <c r="AH1229" s="2361"/>
      <c r="AI1229" s="2361"/>
      <c r="AJ1229" s="2361"/>
      <c r="AK1229" s="2361"/>
      <c r="AL1229" s="2361"/>
      <c r="AM1229" s="2361"/>
      <c r="AN1229" s="2361"/>
      <c r="AO1229" s="2361"/>
      <c r="AP1229" s="2361"/>
      <c r="AQ1229" s="2361"/>
      <c r="AR1229" s="2361"/>
    </row>
    <row r="1230" spans="1:44" ht="12.75" customHeight="1">
      <c r="A1230" s="2342"/>
      <c r="B1230" s="1875" t="s">
        <v>1615</v>
      </c>
      <c r="C1230" s="362" t="s">
        <v>1792</v>
      </c>
      <c r="E1230" s="362"/>
      <c r="F1230" s="362"/>
      <c r="G1230" s="362"/>
      <c r="H1230" s="362"/>
      <c r="I1230" s="359"/>
      <c r="J1230" s="2342" t="s">
        <v>1392</v>
      </c>
      <c r="K1230" s="2211" t="str">
        <f>'Part VII-Threshold Criteria'!K192</f>
        <v>Building</v>
      </c>
      <c r="L1230" s="2211"/>
      <c r="Q1230" s="2243"/>
      <c r="S1230" s="2361"/>
      <c r="T1230" s="2361"/>
      <c r="U1230" s="2361"/>
      <c r="V1230" s="2361"/>
      <c r="W1230" s="2361"/>
      <c r="X1230" s="2361"/>
      <c r="Y1230" s="2361"/>
      <c r="Z1230" s="2361"/>
      <c r="AA1230" s="2361"/>
      <c r="AB1230" s="2361"/>
      <c r="AC1230" s="2361"/>
      <c r="AD1230" s="2361"/>
      <c r="AE1230" s="2361"/>
      <c r="AF1230" s="2361"/>
      <c r="AG1230" s="2361"/>
      <c r="AH1230" s="2361"/>
      <c r="AI1230" s="2361"/>
      <c r="AJ1230" s="2361"/>
      <c r="AK1230" s="2361"/>
      <c r="AL1230" s="2361"/>
      <c r="AM1230" s="2361"/>
      <c r="AN1230" s="2361"/>
      <c r="AO1230" s="2361"/>
      <c r="AP1230" s="2361"/>
      <c r="AQ1230" s="2361"/>
      <c r="AR1230" s="2361"/>
    </row>
    <row r="1231" spans="1:44" ht="12.75" customHeight="1">
      <c r="A1231" s="2342"/>
      <c r="B1231" s="1875" t="s">
        <v>1616</v>
      </c>
      <c r="C1231" s="1875" t="s">
        <v>6721</v>
      </c>
      <c r="E1231" s="1875"/>
      <c r="F1231" s="1875"/>
      <c r="G1231" s="1875"/>
      <c r="H1231" s="1875"/>
      <c r="I1231" s="359"/>
      <c r="J1231" s="2342" t="s">
        <v>1393</v>
      </c>
      <c r="K1231" s="2211" t="str">
        <f>'Part VII-Threshold Criteria'!K193</f>
        <v>Gazebo</v>
      </c>
      <c r="L1231" s="2211"/>
      <c r="Q1231" s="362"/>
      <c r="S1231" s="2361"/>
      <c r="T1231" s="2361"/>
      <c r="U1231" s="2361"/>
      <c r="V1231" s="2361"/>
      <c r="W1231" s="2361"/>
      <c r="X1231" s="2361"/>
      <c r="Y1231" s="2361"/>
      <c r="Z1231" s="2361"/>
      <c r="AA1231" s="2361"/>
      <c r="AB1231" s="2361"/>
      <c r="AC1231" s="2361"/>
      <c r="AD1231" s="2361"/>
      <c r="AE1231" s="2361"/>
      <c r="AF1231" s="2361"/>
      <c r="AG1231" s="2361"/>
      <c r="AH1231" s="2361"/>
      <c r="AI1231" s="2361"/>
      <c r="AJ1231" s="2361"/>
      <c r="AK1231" s="2361"/>
      <c r="AL1231" s="2361"/>
      <c r="AM1231" s="2361"/>
      <c r="AN1231" s="2361"/>
      <c r="AO1231" s="2361"/>
      <c r="AP1231" s="2361"/>
      <c r="AQ1231" s="2361"/>
      <c r="AR1231" s="2361"/>
    </row>
    <row r="1232" spans="1:44" ht="12.75" customHeight="1">
      <c r="A1232" s="2342"/>
      <c r="B1232" s="1875"/>
      <c r="C1232" s="2069" t="str">
        <f>'Part VII-Threshold Criteria'!C194</f>
        <v>If "Other Pre-Approved", explain here</v>
      </c>
      <c r="D1232" s="2070"/>
      <c r="E1232" s="2070"/>
      <c r="F1232" s="2070"/>
      <c r="G1232" s="2070"/>
      <c r="H1232" s="2070"/>
      <c r="I1232" s="2070"/>
      <c r="J1232" s="2070"/>
      <c r="K1232" s="2070"/>
      <c r="L1232" s="2070"/>
      <c r="M1232" s="2070"/>
      <c r="N1232" s="2070"/>
      <c r="O1232" s="2070"/>
      <c r="Q1232" s="362"/>
      <c r="S1232" s="2361"/>
      <c r="T1232" s="2361"/>
      <c r="U1232" s="2361"/>
      <c r="V1232" s="2361"/>
      <c r="W1232" s="2361"/>
      <c r="X1232" s="2361"/>
      <c r="Y1232" s="2361"/>
      <c r="Z1232" s="2361"/>
      <c r="AA1232" s="2361"/>
      <c r="AB1232" s="2361"/>
      <c r="AC1232" s="2361"/>
      <c r="AD1232" s="2361"/>
      <c r="AE1232" s="2361"/>
      <c r="AF1232" s="2361"/>
      <c r="AG1232" s="2361"/>
      <c r="AH1232" s="2361"/>
      <c r="AI1232" s="2361"/>
      <c r="AJ1232" s="2361"/>
      <c r="AK1232" s="2361"/>
      <c r="AL1232" s="2361"/>
      <c r="AM1232" s="2361"/>
      <c r="AN1232" s="2361"/>
      <c r="AO1232" s="2361"/>
      <c r="AP1232" s="2361"/>
      <c r="AQ1232" s="2361"/>
      <c r="AR1232" s="2361"/>
    </row>
    <row r="1233" spans="1:44" ht="12.75" customHeight="1">
      <c r="A1233" s="2342"/>
      <c r="B1233" s="1875" t="s">
        <v>1617</v>
      </c>
      <c r="C1233" s="1875" t="s">
        <v>3791</v>
      </c>
      <c r="E1233" s="1875"/>
      <c r="F1233" s="1875"/>
      <c r="G1233" s="1875"/>
      <c r="H1233" s="1875"/>
      <c r="I1233" s="359"/>
      <c r="J1233" s="2342" t="s">
        <v>1394</v>
      </c>
      <c r="K1233" s="2211" t="str">
        <f>'Part VII-Threshold Criteria'!K195</f>
        <v>W&amp;D installed in each unit</v>
      </c>
      <c r="L1233" s="2211"/>
      <c r="M1233" s="2211"/>
      <c r="N1233" s="2211"/>
      <c r="Q1233" s="2243"/>
      <c r="R1233" s="359"/>
      <c r="S1233" s="2361"/>
      <c r="T1233" s="2361"/>
      <c r="U1233" s="2361"/>
      <c r="V1233" s="2361"/>
      <c r="W1233" s="2361"/>
      <c r="X1233" s="2361"/>
      <c r="Y1233" s="2361"/>
      <c r="Z1233" s="2361"/>
      <c r="AA1233" s="2361"/>
      <c r="AB1233" s="2361"/>
      <c r="AC1233" s="2361"/>
      <c r="AD1233" s="2361"/>
      <c r="AE1233" s="2361"/>
      <c r="AF1233" s="2361"/>
      <c r="AG1233" s="2361"/>
      <c r="AH1233" s="2361"/>
      <c r="AI1233" s="2361"/>
      <c r="AJ1233" s="2361"/>
      <c r="AK1233" s="2361"/>
      <c r="AL1233" s="2361"/>
      <c r="AM1233" s="2361"/>
      <c r="AN1233" s="2361"/>
      <c r="AO1233" s="2361"/>
      <c r="AP1233" s="2361"/>
      <c r="AQ1233" s="2361"/>
      <c r="AR1233" s="2361"/>
    </row>
    <row r="1234" spans="1:44" ht="12.75" customHeight="1">
      <c r="A1234" s="2342" t="s">
        <v>1844</v>
      </c>
      <c r="B1234" s="362" t="s">
        <v>6870</v>
      </c>
      <c r="D1234" s="362"/>
      <c r="E1234" s="362"/>
      <c r="F1234" s="362"/>
      <c r="G1234" s="362"/>
      <c r="H1234" s="362"/>
      <c r="I1234" s="362"/>
      <c r="J1234" s="362"/>
      <c r="K1234" s="359"/>
      <c r="L1234" s="359"/>
      <c r="M1234" s="359"/>
      <c r="N1234" s="359"/>
      <c r="O1234" s="2342" t="s">
        <v>1844</v>
      </c>
      <c r="P1234" s="2344" t="str">
        <f>'Part VII-Threshold Criteria'!P196</f>
        <v>Agree</v>
      </c>
      <c r="Q1234" s="2243"/>
      <c r="S1234" s="2361"/>
      <c r="T1234" s="2361"/>
      <c r="U1234" s="2361"/>
      <c r="V1234" s="2361"/>
      <c r="W1234" s="2361"/>
      <c r="X1234" s="2361"/>
      <c r="Y1234" s="2361"/>
      <c r="Z1234" s="2361"/>
      <c r="AA1234" s="2361"/>
      <c r="AB1234" s="2361"/>
      <c r="AC1234" s="2361"/>
      <c r="AD1234" s="2361"/>
      <c r="AE1234" s="2361"/>
      <c r="AF1234" s="2361"/>
      <c r="AG1234" s="2361"/>
      <c r="AH1234" s="2361"/>
      <c r="AI1234" s="2361"/>
      <c r="AJ1234" s="2361"/>
      <c r="AK1234" s="2361"/>
      <c r="AL1234" s="2361"/>
      <c r="AM1234" s="2361"/>
      <c r="AN1234" s="2361"/>
      <c r="AO1234" s="2361"/>
      <c r="AP1234" s="2361"/>
      <c r="AQ1234" s="2361"/>
      <c r="AR1234" s="2361"/>
    </row>
    <row r="1235" spans="1:44" ht="12.75" customHeight="1">
      <c r="A1235" s="2342"/>
      <c r="B1235" s="362" t="s">
        <v>6772</v>
      </c>
      <c r="D1235" s="362"/>
      <c r="E1235" s="362"/>
      <c r="F1235" s="362"/>
      <c r="G1235" s="362"/>
      <c r="H1235" s="362"/>
      <c r="I1235" s="362"/>
      <c r="J1235" s="362"/>
      <c r="K1235" s="359"/>
      <c r="L1235" s="359"/>
      <c r="M1235" s="359"/>
      <c r="N1235" s="2342" t="s">
        <v>3155</v>
      </c>
      <c r="O1235" s="2365">
        <f>'Part V-Revenues &amp; Expenses'!$P$67</f>
        <v>120</v>
      </c>
      <c r="P1235" s="807" t="s">
        <v>3860</v>
      </c>
      <c r="Q1235" s="807"/>
      <c r="S1235" s="2361"/>
      <c r="T1235" s="2361"/>
      <c r="U1235" s="2361"/>
      <c r="V1235" s="2361"/>
      <c r="W1235" s="2361"/>
      <c r="X1235" s="2361"/>
      <c r="Y1235" s="2361"/>
      <c r="Z1235" s="2361"/>
      <c r="AA1235" s="2361"/>
      <c r="AB1235" s="2361"/>
      <c r="AC1235" s="2361"/>
      <c r="AD1235" s="2361"/>
      <c r="AE1235" s="2361"/>
      <c r="AF1235" s="2361"/>
      <c r="AG1235" s="2361"/>
      <c r="AH1235" s="2361"/>
      <c r="AI1235" s="2361"/>
      <c r="AJ1235" s="2361"/>
      <c r="AK1235" s="2361"/>
      <c r="AL1235" s="2361"/>
      <c r="AM1235" s="2361"/>
      <c r="AN1235" s="2361"/>
      <c r="AO1235" s="2361"/>
      <c r="AP1235" s="2361"/>
      <c r="AQ1235" s="2361"/>
      <c r="AR1235" s="2361"/>
    </row>
    <row r="1236" spans="1:44" ht="12.75" customHeight="1">
      <c r="A1236" s="2342"/>
      <c r="B1236" s="1875" t="s">
        <v>1615</v>
      </c>
      <c r="C1236" s="362" t="s">
        <v>3861</v>
      </c>
      <c r="D1236" s="362"/>
      <c r="E1236" s="362"/>
      <c r="F1236" s="362"/>
      <c r="H1236" s="2342" t="s">
        <v>3862</v>
      </c>
      <c r="I1236" s="362" t="s">
        <v>6871</v>
      </c>
      <c r="M1236" s="359"/>
      <c r="N1236" s="359"/>
      <c r="O1236" s="1322"/>
      <c r="P1236" s="2227" t="s">
        <v>721</v>
      </c>
      <c r="Q1236" s="2227" t="s">
        <v>3859</v>
      </c>
      <c r="S1236" s="2361"/>
      <c r="T1236" s="2361"/>
      <c r="U1236" s="2361"/>
      <c r="V1236" s="2361"/>
      <c r="W1236" s="2361"/>
      <c r="X1236" s="2361"/>
      <c r="Y1236" s="2361"/>
      <c r="Z1236" s="2361"/>
      <c r="AA1236" s="2361"/>
      <c r="AB1236" s="2361"/>
      <c r="AC1236" s="2361"/>
      <c r="AD1236" s="2361"/>
      <c r="AE1236" s="2361"/>
      <c r="AF1236" s="2361"/>
      <c r="AG1236" s="2361"/>
      <c r="AH1236" s="2361"/>
      <c r="AI1236" s="2361"/>
      <c r="AJ1236" s="2361"/>
      <c r="AK1236" s="2361"/>
      <c r="AL1236" s="2361"/>
      <c r="AM1236" s="2361"/>
      <c r="AN1236" s="2361"/>
      <c r="AO1236" s="2361"/>
      <c r="AP1236" s="2361"/>
      <c r="AQ1236" s="2361"/>
      <c r="AR1236" s="2361"/>
    </row>
    <row r="1237" spans="1:44" s="2366" customFormat="1" ht="12.75" customHeight="1">
      <c r="A1237" s="2243"/>
      <c r="B1237" s="2342" t="s">
        <v>1964</v>
      </c>
      <c r="C1237" s="2338" t="str">
        <f>'Part VII-Threshold Criteria'!C199</f>
        <v>Equipped playground</v>
      </c>
      <c r="D1237" s="2327"/>
      <c r="E1237" s="2327"/>
      <c r="F1237" s="2327"/>
      <c r="G1237" s="2327"/>
      <c r="H1237" s="2342" t="s">
        <v>1964</v>
      </c>
      <c r="I1237" s="2070" t="str">
        <f>'Part VII-Threshold Criteria'!I199</f>
        <v xml:space="preserve">  </v>
      </c>
      <c r="J1237" s="2070"/>
      <c r="K1237" s="2070"/>
      <c r="L1237" s="2070"/>
      <c r="M1237" s="2070"/>
      <c r="N1237" s="2070"/>
      <c r="O1237" s="2070"/>
      <c r="P1237" s="2243"/>
      <c r="Q1237" s="2243"/>
      <c r="S1237" s="2367"/>
      <c r="T1237" s="2367"/>
      <c r="U1237" s="2367"/>
      <c r="V1237" s="2367"/>
      <c r="W1237" s="2367"/>
      <c r="X1237" s="2367"/>
      <c r="Y1237" s="2367"/>
      <c r="Z1237" s="2367"/>
      <c r="AA1237" s="2367"/>
      <c r="AB1237" s="2367"/>
      <c r="AC1237" s="2367"/>
      <c r="AD1237" s="2367"/>
      <c r="AE1237" s="2367"/>
      <c r="AF1237" s="2367"/>
      <c r="AG1237" s="2367"/>
      <c r="AH1237" s="2367"/>
      <c r="AI1237" s="2367"/>
      <c r="AJ1237" s="2367"/>
      <c r="AK1237" s="2367"/>
      <c r="AL1237" s="2367"/>
      <c r="AM1237" s="2367"/>
      <c r="AN1237" s="2367"/>
      <c r="AO1237" s="2367"/>
      <c r="AP1237" s="2367"/>
      <c r="AQ1237" s="2367"/>
      <c r="AR1237" s="2367"/>
    </row>
    <row r="1238" spans="1:44" s="2366" customFormat="1" ht="12.75" customHeight="1">
      <c r="A1238" s="2243"/>
      <c r="B1238" s="2342" t="s">
        <v>1965</v>
      </c>
      <c r="C1238" s="2338" t="str">
        <f>'Part VII-Threshold Criteria'!C200</f>
        <v xml:space="preserve">Equipped Computer Center and WiFi </v>
      </c>
      <c r="D1238" s="2327"/>
      <c r="E1238" s="2327"/>
      <c r="F1238" s="2327"/>
      <c r="G1238" s="2327"/>
      <c r="H1238" s="2342" t="s">
        <v>1965</v>
      </c>
      <c r="I1238" s="2070">
        <f>'Part VII-Threshold Criteria'!I200</f>
        <v>0</v>
      </c>
      <c r="J1238" s="2070"/>
      <c r="K1238" s="2070"/>
      <c r="L1238" s="2070"/>
      <c r="M1238" s="2070"/>
      <c r="N1238" s="2070"/>
      <c r="O1238" s="2070"/>
      <c r="P1238" s="2243"/>
      <c r="Q1238" s="2243"/>
      <c r="S1238" s="2367"/>
      <c r="T1238" s="2367"/>
      <c r="U1238" s="2367"/>
      <c r="V1238" s="2367"/>
      <c r="W1238" s="2367"/>
      <c r="X1238" s="2367"/>
      <c r="Y1238" s="2367"/>
      <c r="Z1238" s="2367"/>
      <c r="AA1238" s="2367"/>
      <c r="AB1238" s="2367"/>
      <c r="AC1238" s="2367"/>
      <c r="AD1238" s="2367"/>
      <c r="AE1238" s="2367"/>
      <c r="AF1238" s="2367"/>
      <c r="AG1238" s="2367"/>
      <c r="AH1238" s="2367"/>
      <c r="AI1238" s="2367"/>
      <c r="AJ1238" s="2367"/>
      <c r="AK1238" s="2367"/>
      <c r="AL1238" s="2367"/>
      <c r="AM1238" s="2367"/>
      <c r="AN1238" s="2367"/>
      <c r="AO1238" s="2367"/>
      <c r="AP1238" s="2367"/>
      <c r="AQ1238" s="2367"/>
      <c r="AR1238" s="2367"/>
    </row>
    <row r="1239" spans="1:44" s="2366" customFormat="1" ht="12.75" customHeight="1">
      <c r="A1239" s="2243"/>
      <c r="B1239" s="2342" t="s">
        <v>1612</v>
      </c>
      <c r="C1239" s="2338" t="str">
        <f>'Part VII-Threshold Criteria'!C201</f>
        <v xml:space="preserve">Covered pavilion with picnic/BBQ facilities </v>
      </c>
      <c r="D1239" s="2327"/>
      <c r="E1239" s="2327"/>
      <c r="F1239" s="2327"/>
      <c r="G1239" s="2327"/>
      <c r="H1239" s="2342" t="s">
        <v>1612</v>
      </c>
      <c r="I1239" s="2070" t="str">
        <f>'Part VII-Threshold Criteria'!I201</f>
        <v xml:space="preserve">  </v>
      </c>
      <c r="J1239" s="2070"/>
      <c r="K1239" s="2070"/>
      <c r="L1239" s="2070"/>
      <c r="M1239" s="2070"/>
      <c r="N1239" s="2070"/>
      <c r="O1239" s="2070"/>
      <c r="P1239" s="2243"/>
      <c r="Q1239" s="2243"/>
      <c r="S1239" s="2367"/>
      <c r="T1239" s="2367"/>
      <c r="U1239" s="2367"/>
      <c r="V1239" s="2367"/>
      <c r="W1239" s="2367"/>
      <c r="X1239" s="2367"/>
      <c r="Y1239" s="2367"/>
      <c r="Z1239" s="2367"/>
      <c r="AA1239" s="2367"/>
      <c r="AB1239" s="2367"/>
      <c r="AC1239" s="2367"/>
      <c r="AD1239" s="2367"/>
      <c r="AE1239" s="2367"/>
      <c r="AF1239" s="2367"/>
      <c r="AG1239" s="2367"/>
      <c r="AH1239" s="2367"/>
      <c r="AI1239" s="2367"/>
      <c r="AJ1239" s="2367"/>
      <c r="AK1239" s="2367"/>
      <c r="AL1239" s="2367"/>
      <c r="AM1239" s="2367"/>
      <c r="AN1239" s="2367"/>
      <c r="AO1239" s="2367"/>
      <c r="AP1239" s="2367"/>
      <c r="AQ1239" s="2367"/>
      <c r="AR1239" s="2367"/>
    </row>
    <row r="1240" spans="1:44" s="2366" customFormat="1" ht="12.75" customHeight="1">
      <c r="A1240" s="2243"/>
      <c r="B1240" s="2342" t="s">
        <v>3870</v>
      </c>
      <c r="C1240" s="2338" t="str">
        <f>'Part VII-Threshold Criteria'!C202</f>
        <v>Furnished Exercise /Fitness Center</v>
      </c>
      <c r="D1240" s="2327"/>
      <c r="E1240" s="2327"/>
      <c r="F1240" s="2327"/>
      <c r="G1240" s="2327"/>
      <c r="H1240" s="2342" t="s">
        <v>3870</v>
      </c>
      <c r="I1240" s="2070">
        <f>'Part VII-Threshold Criteria'!I202</f>
        <v>0</v>
      </c>
      <c r="J1240" s="2070"/>
      <c r="K1240" s="2070"/>
      <c r="L1240" s="2070"/>
      <c r="M1240" s="2070"/>
      <c r="N1240" s="2070"/>
      <c r="O1240" s="2070"/>
      <c r="P1240" s="2243"/>
      <c r="Q1240" s="2243"/>
      <c r="S1240" s="2367"/>
      <c r="T1240" s="2367"/>
      <c r="U1240" s="2367"/>
      <c r="V1240" s="2367"/>
      <c r="W1240" s="2367"/>
      <c r="X1240" s="2367"/>
      <c r="Y1240" s="2367"/>
      <c r="Z1240" s="2367"/>
      <c r="AA1240" s="2367"/>
      <c r="AB1240" s="2367"/>
      <c r="AC1240" s="2367"/>
      <c r="AD1240" s="2367"/>
      <c r="AE1240" s="2367"/>
      <c r="AF1240" s="2367"/>
      <c r="AG1240" s="2367"/>
      <c r="AH1240" s="2367"/>
      <c r="AI1240" s="2367"/>
      <c r="AJ1240" s="2367"/>
      <c r="AK1240" s="2367"/>
      <c r="AL1240" s="2367"/>
      <c r="AM1240" s="2367"/>
      <c r="AN1240" s="2367"/>
      <c r="AO1240" s="2367"/>
      <c r="AP1240" s="2367"/>
      <c r="AQ1240" s="2367"/>
      <c r="AR1240" s="2367"/>
    </row>
    <row r="1241" spans="1:44" ht="12.75" customHeight="1">
      <c r="A1241" s="2342" t="s">
        <v>698</v>
      </c>
      <c r="B1241" s="362" t="s">
        <v>1304</v>
      </c>
      <c r="C1241" s="362"/>
      <c r="E1241" s="362"/>
      <c r="F1241" s="362"/>
      <c r="G1241" s="362"/>
      <c r="H1241" s="362"/>
      <c r="I1241" s="362"/>
      <c r="J1241" s="362"/>
      <c r="K1241" s="359"/>
      <c r="L1241" s="362"/>
      <c r="M1241" s="362"/>
      <c r="O1241" s="2342" t="s">
        <v>698</v>
      </c>
      <c r="P1241" s="2344" t="str">
        <f>'Part VII-Threshold Criteria'!P203</f>
        <v>Agree</v>
      </c>
      <c r="Q1241" s="2243"/>
      <c r="S1241" s="2361"/>
      <c r="T1241" s="2361"/>
      <c r="U1241" s="2361"/>
      <c r="V1241" s="2361"/>
      <c r="W1241" s="2361"/>
      <c r="X1241" s="2361"/>
      <c r="Y1241" s="2361"/>
      <c r="Z1241" s="2361"/>
      <c r="AA1241" s="2361"/>
      <c r="AB1241" s="2361"/>
      <c r="AC1241" s="2361"/>
      <c r="AD1241" s="2361"/>
      <c r="AE1241" s="2361"/>
      <c r="AF1241" s="2361"/>
      <c r="AG1241" s="2361"/>
      <c r="AH1241" s="2361"/>
      <c r="AI1241" s="2361"/>
      <c r="AJ1241" s="2361"/>
      <c r="AK1241" s="2361"/>
      <c r="AL1241" s="2361"/>
      <c r="AM1241" s="2361"/>
      <c r="AN1241" s="2361"/>
      <c r="AO1241" s="2361"/>
      <c r="AP1241" s="2361"/>
      <c r="AQ1241" s="2361"/>
      <c r="AR1241" s="2361"/>
    </row>
    <row r="1242" spans="1:44" ht="12.75" customHeight="1">
      <c r="A1242" s="2342"/>
      <c r="B1242" s="1875" t="s">
        <v>1615</v>
      </c>
      <c r="C1242" s="362" t="s">
        <v>3077</v>
      </c>
      <c r="E1242" s="362"/>
      <c r="F1242" s="362"/>
      <c r="L1242" s="359"/>
      <c r="M1242" s="359"/>
      <c r="O1242" s="2342" t="s">
        <v>1615</v>
      </c>
      <c r="P1242" s="2344" t="str">
        <f>'Part VII-Threshold Criteria'!P204</f>
        <v>Yes</v>
      </c>
      <c r="Q1242" s="2243"/>
      <c r="S1242" s="2361"/>
      <c r="T1242" s="2361"/>
      <c r="U1242" s="2361"/>
      <c r="V1242" s="2361"/>
      <c r="W1242" s="2361"/>
      <c r="X1242" s="2361"/>
      <c r="Y1242" s="2361"/>
      <c r="Z1242" s="2361"/>
      <c r="AA1242" s="2361"/>
      <c r="AB1242" s="2361"/>
      <c r="AC1242" s="2361"/>
      <c r="AD1242" s="2361"/>
      <c r="AE1242" s="2361"/>
      <c r="AF1242" s="2361"/>
      <c r="AG1242" s="2361"/>
      <c r="AH1242" s="2361"/>
      <c r="AI1242" s="2361"/>
      <c r="AJ1242" s="2361"/>
      <c r="AK1242" s="2361"/>
      <c r="AL1242" s="2361"/>
      <c r="AM1242" s="2361"/>
      <c r="AN1242" s="2361"/>
      <c r="AO1242" s="2361"/>
      <c r="AP1242" s="2361"/>
      <c r="AQ1242" s="2361"/>
      <c r="AR1242" s="2361"/>
    </row>
    <row r="1243" spans="1:44" ht="12.75" customHeight="1">
      <c r="B1243" s="1875" t="s">
        <v>1616</v>
      </c>
      <c r="C1243" s="1875" t="s">
        <v>2506</v>
      </c>
      <c r="E1243" s="1875"/>
      <c r="F1243" s="1875"/>
      <c r="L1243" s="359"/>
      <c r="M1243" s="359"/>
      <c r="O1243" s="2342" t="s">
        <v>1616</v>
      </c>
      <c r="P1243" s="2344" t="str">
        <f>'Part VII-Threshold Criteria'!P205</f>
        <v>Yes</v>
      </c>
      <c r="Q1243" s="2243"/>
      <c r="S1243" s="2361"/>
      <c r="T1243" s="2361"/>
      <c r="U1243" s="2361"/>
      <c r="V1243" s="2361"/>
      <c r="W1243" s="2361"/>
      <c r="X1243" s="2361"/>
      <c r="Y1243" s="2361"/>
      <c r="Z1243" s="2361"/>
      <c r="AA1243" s="2361"/>
      <c r="AB1243" s="2361"/>
      <c r="AC1243" s="2361"/>
      <c r="AD1243" s="2361"/>
      <c r="AE1243" s="2361"/>
      <c r="AF1243" s="2361"/>
      <c r="AG1243" s="2361"/>
      <c r="AH1243" s="2361"/>
      <c r="AI1243" s="2361"/>
      <c r="AJ1243" s="2361"/>
      <c r="AK1243" s="2361"/>
      <c r="AL1243" s="2361"/>
      <c r="AM1243" s="2361"/>
      <c r="AN1243" s="2361"/>
      <c r="AO1243" s="2361"/>
      <c r="AP1243" s="2361"/>
      <c r="AQ1243" s="2361"/>
      <c r="AR1243" s="2361"/>
    </row>
    <row r="1244" spans="1:44" ht="12.75" customHeight="1">
      <c r="B1244" s="1875" t="s">
        <v>1617</v>
      </c>
      <c r="C1244" s="1875" t="s">
        <v>6119</v>
      </c>
      <c r="E1244" s="1875"/>
      <c r="F1244" s="1875"/>
      <c r="G1244" s="1875"/>
      <c r="H1244" s="1875"/>
      <c r="I1244" s="359"/>
      <c r="J1244" s="359"/>
      <c r="K1244" s="359"/>
      <c r="L1244" s="359"/>
      <c r="M1244" s="359"/>
      <c r="O1244" s="2342" t="s">
        <v>1617</v>
      </c>
      <c r="P1244" s="2344" t="str">
        <f>'Part VII-Threshold Criteria'!P206</f>
        <v>Yes</v>
      </c>
      <c r="Q1244" s="2243"/>
      <c r="S1244" s="2361"/>
      <c r="T1244" s="2361"/>
      <c r="U1244" s="2361"/>
      <c r="V1244" s="2361"/>
      <c r="W1244" s="2361"/>
      <c r="X1244" s="2361"/>
      <c r="Y1244" s="2361"/>
      <c r="Z1244" s="2361"/>
      <c r="AA1244" s="2361"/>
      <c r="AB1244" s="2361"/>
      <c r="AC1244" s="2361"/>
      <c r="AD1244" s="2361"/>
      <c r="AE1244" s="2361"/>
      <c r="AF1244" s="2361"/>
      <c r="AG1244" s="2361"/>
      <c r="AH1244" s="2361"/>
      <c r="AI1244" s="2361"/>
      <c r="AJ1244" s="2361"/>
      <c r="AK1244" s="2361"/>
      <c r="AL1244" s="2361"/>
      <c r="AM1244" s="2361"/>
      <c r="AN1244" s="2361"/>
      <c r="AO1244" s="2361"/>
      <c r="AP1244" s="2361"/>
      <c r="AQ1244" s="2361"/>
      <c r="AR1244" s="2361"/>
    </row>
    <row r="1245" spans="1:44" ht="12.75" customHeight="1">
      <c r="A1245" s="2342"/>
      <c r="B1245" s="1875" t="s">
        <v>2183</v>
      </c>
      <c r="C1245" s="1875" t="s">
        <v>2507</v>
      </c>
      <c r="E1245" s="1875"/>
      <c r="F1245" s="1875"/>
      <c r="G1245" s="1875"/>
      <c r="H1245" s="1875"/>
      <c r="I1245" s="359"/>
      <c r="J1245" s="359"/>
      <c r="K1245" s="359"/>
      <c r="L1245" s="359"/>
      <c r="M1245" s="359"/>
      <c r="O1245" s="2342" t="s">
        <v>2183</v>
      </c>
      <c r="P1245" s="2344" t="str">
        <f>'Part VII-Threshold Criteria'!P207</f>
        <v>Yes</v>
      </c>
      <c r="Q1245" s="2243"/>
      <c r="S1245" s="2361"/>
      <c r="T1245" s="2361"/>
      <c r="U1245" s="2361"/>
      <c r="V1245" s="2361"/>
      <c r="W1245" s="2361"/>
      <c r="X1245" s="2361"/>
      <c r="Y1245" s="2361"/>
      <c r="Z1245" s="2361"/>
      <c r="AA1245" s="2361"/>
      <c r="AB1245" s="2361"/>
      <c r="AC1245" s="2361"/>
      <c r="AD1245" s="2361"/>
      <c r="AE1245" s="2361"/>
      <c r="AF1245" s="2361"/>
      <c r="AG1245" s="2361"/>
      <c r="AH1245" s="2361"/>
      <c r="AI1245" s="2361"/>
      <c r="AJ1245" s="2361"/>
      <c r="AK1245" s="2361"/>
      <c r="AL1245" s="2361"/>
      <c r="AM1245" s="2361"/>
      <c r="AN1245" s="2361"/>
      <c r="AO1245" s="2361"/>
      <c r="AP1245" s="2361"/>
      <c r="AQ1245" s="2361"/>
      <c r="AR1245" s="2361"/>
    </row>
    <row r="1246" spans="1:44" ht="12.75" customHeight="1">
      <c r="A1246" s="2342"/>
      <c r="B1246" s="1875" t="s">
        <v>1449</v>
      </c>
      <c r="C1246" s="1875" t="s">
        <v>2508</v>
      </c>
      <c r="E1246" s="1875"/>
      <c r="F1246" s="1875"/>
      <c r="G1246" s="1875"/>
      <c r="H1246" s="1875"/>
      <c r="I1246" s="359"/>
      <c r="J1246" s="359"/>
      <c r="K1246" s="359"/>
      <c r="L1246" s="359"/>
      <c r="M1246" s="359"/>
      <c r="O1246" s="2342" t="s">
        <v>1449</v>
      </c>
      <c r="P1246" s="2344" t="str">
        <f>'Part VII-Threshold Criteria'!P208</f>
        <v>Yes</v>
      </c>
      <c r="Q1246" s="2243"/>
      <c r="S1246" s="2361"/>
      <c r="T1246" s="2361"/>
      <c r="U1246" s="2361"/>
      <c r="V1246" s="2361"/>
      <c r="W1246" s="2361"/>
      <c r="X1246" s="2361"/>
      <c r="Y1246" s="2361"/>
      <c r="Z1246" s="2361"/>
      <c r="AA1246" s="2361"/>
      <c r="AB1246" s="2361"/>
      <c r="AC1246" s="2361"/>
      <c r="AD1246" s="2361"/>
      <c r="AE1246" s="2361"/>
      <c r="AF1246" s="2361"/>
      <c r="AG1246" s="2361"/>
      <c r="AH1246" s="2361"/>
      <c r="AI1246" s="2361"/>
      <c r="AJ1246" s="2361"/>
      <c r="AK1246" s="2361"/>
      <c r="AL1246" s="2361"/>
      <c r="AM1246" s="2361"/>
      <c r="AN1246" s="2361"/>
      <c r="AO1246" s="2361"/>
      <c r="AP1246" s="2361"/>
      <c r="AQ1246" s="2361"/>
      <c r="AR1246" s="2361"/>
    </row>
    <row r="1247" spans="1:44" ht="12.75" customHeight="1">
      <c r="A1247" s="2342"/>
      <c r="B1247" s="2339" t="s">
        <v>1450</v>
      </c>
      <c r="C1247" s="2331" t="s">
        <v>6747</v>
      </c>
      <c r="D1247" s="2331"/>
      <c r="E1247" s="2331"/>
      <c r="F1247" s="2331"/>
      <c r="G1247" s="2331"/>
      <c r="H1247" s="2331"/>
      <c r="I1247" s="2331"/>
      <c r="J1247" s="2331"/>
      <c r="K1247" s="2331"/>
      <c r="L1247" s="2331"/>
      <c r="M1247" s="2331"/>
      <c r="N1247" s="2331"/>
      <c r="O1247" s="2336" t="s">
        <v>1450</v>
      </c>
      <c r="P1247" s="2355" t="str">
        <f>'Part VII-Threshold Criteria'!P209</f>
        <v>Yes</v>
      </c>
      <c r="Q1247" s="2337"/>
      <c r="S1247" s="2361"/>
      <c r="T1247" s="2361"/>
      <c r="U1247" s="2361"/>
      <c r="V1247" s="2361"/>
      <c r="W1247" s="2361"/>
      <c r="X1247" s="2361"/>
      <c r="Y1247" s="2361"/>
      <c r="Z1247" s="2361"/>
      <c r="AA1247" s="2361"/>
      <c r="AB1247" s="2361"/>
      <c r="AC1247" s="2361"/>
      <c r="AD1247" s="2361"/>
      <c r="AE1247" s="2361"/>
      <c r="AF1247" s="2361"/>
      <c r="AG1247" s="2361"/>
      <c r="AH1247" s="2361"/>
      <c r="AI1247" s="2361"/>
      <c r="AJ1247" s="2361"/>
      <c r="AK1247" s="2361"/>
      <c r="AL1247" s="2361"/>
      <c r="AM1247" s="2361"/>
      <c r="AN1247" s="2361"/>
      <c r="AO1247" s="2361"/>
      <c r="AP1247" s="2361"/>
      <c r="AQ1247" s="2361"/>
      <c r="AR1247" s="2361"/>
    </row>
    <row r="1248" spans="1:44" ht="12" customHeight="1">
      <c r="A1248" s="2342" t="s">
        <v>1963</v>
      </c>
      <c r="B1248" s="362" t="s">
        <v>6103</v>
      </c>
      <c r="C1248" s="362"/>
      <c r="E1248" s="362"/>
      <c r="F1248" s="362"/>
      <c r="G1248" s="362"/>
      <c r="H1248" s="362"/>
      <c r="I1248" s="362"/>
      <c r="J1248" s="362"/>
      <c r="K1248" s="359"/>
      <c r="N1248" s="2342">
        <f>'Part VII-Threshold Criteria'!J1073</f>
        <v>0</v>
      </c>
      <c r="O1248" s="2342" t="s">
        <v>1963</v>
      </c>
      <c r="P1248" s="2344">
        <f>'Part VII-Threshold Criteria'!P210</f>
        <v>0</v>
      </c>
      <c r="Q1248" s="2243"/>
      <c r="S1248" s="2361"/>
      <c r="T1248" s="2361"/>
      <c r="U1248" s="2361"/>
      <c r="V1248" s="2361"/>
      <c r="W1248" s="2361"/>
      <c r="X1248" s="2361"/>
      <c r="Y1248" s="2361"/>
      <c r="Z1248" s="2361"/>
      <c r="AA1248" s="2361"/>
      <c r="AB1248" s="2361"/>
      <c r="AC1248" s="2361"/>
      <c r="AD1248" s="2361"/>
      <c r="AE1248" s="2361"/>
      <c r="AF1248" s="2361"/>
      <c r="AG1248" s="2361"/>
      <c r="AH1248" s="2361"/>
      <c r="AI1248" s="2361"/>
      <c r="AJ1248" s="2361"/>
      <c r="AK1248" s="2361"/>
      <c r="AL1248" s="2361"/>
      <c r="AM1248" s="2361"/>
      <c r="AN1248" s="2361"/>
      <c r="AO1248" s="2361"/>
      <c r="AP1248" s="2361"/>
      <c r="AQ1248" s="2361"/>
      <c r="AR1248" s="2361"/>
    </row>
    <row r="1249" spans="1:44" ht="12" customHeight="1">
      <c r="B1249" s="1875" t="s">
        <v>1615</v>
      </c>
      <c r="C1249" s="362" t="s">
        <v>1182</v>
      </c>
      <c r="E1249" s="359"/>
      <c r="F1249" s="359"/>
      <c r="G1249" s="362"/>
      <c r="H1249" s="1875"/>
      <c r="I1249" s="359"/>
      <c r="J1249" s="1875"/>
      <c r="K1249" s="359"/>
      <c r="L1249" s="1875"/>
      <c r="M1249" s="1875"/>
      <c r="O1249" s="2342" t="s">
        <v>1615</v>
      </c>
      <c r="P1249" s="2344">
        <f>'Part VII-Threshold Criteria'!P211</f>
        <v>0</v>
      </c>
      <c r="Q1249" s="2243"/>
      <c r="S1249" s="2361"/>
      <c r="T1249" s="2361"/>
      <c r="U1249" s="2361"/>
      <c r="V1249" s="2361"/>
      <c r="W1249" s="2361"/>
      <c r="X1249" s="2361"/>
      <c r="Y1249" s="2361"/>
      <c r="Z1249" s="2361"/>
      <c r="AA1249" s="2361"/>
      <c r="AB1249" s="2361"/>
      <c r="AC1249" s="2361"/>
      <c r="AD1249" s="2361"/>
      <c r="AE1249" s="2361"/>
      <c r="AF1249" s="2361"/>
      <c r="AG1249" s="2361"/>
      <c r="AH1249" s="2361"/>
      <c r="AI1249" s="2361"/>
      <c r="AJ1249" s="2361"/>
      <c r="AK1249" s="2361"/>
      <c r="AL1249" s="2361"/>
      <c r="AM1249" s="2361"/>
      <c r="AN1249" s="2361"/>
      <c r="AO1249" s="2361"/>
      <c r="AP1249" s="2361"/>
      <c r="AQ1249" s="2361"/>
      <c r="AR1249" s="2361"/>
    </row>
    <row r="1250" spans="1:44" ht="12" customHeight="1">
      <c r="B1250" s="1875" t="s">
        <v>1616</v>
      </c>
      <c r="C1250" s="362" t="s">
        <v>3805</v>
      </c>
      <c r="E1250" s="359"/>
      <c r="F1250" s="359"/>
      <c r="G1250" s="1875"/>
      <c r="H1250" s="1875"/>
      <c r="I1250" s="359"/>
      <c r="J1250" s="1875"/>
      <c r="K1250" s="359"/>
      <c r="L1250" s="1875"/>
      <c r="M1250" s="1875"/>
      <c r="O1250" s="2342" t="s">
        <v>1616</v>
      </c>
      <c r="P1250" s="2344">
        <f>'Part VII-Threshold Criteria'!P212</f>
        <v>0</v>
      </c>
      <c r="Q1250" s="2243"/>
      <c r="S1250" s="2361"/>
      <c r="T1250" s="2361"/>
      <c r="U1250" s="2361"/>
      <c r="V1250" s="2361"/>
      <c r="W1250" s="2361"/>
      <c r="X1250" s="2361"/>
      <c r="Y1250" s="2361"/>
      <c r="Z1250" s="2361"/>
      <c r="AA1250" s="2361"/>
      <c r="AB1250" s="2361"/>
      <c r="AC1250" s="2361"/>
      <c r="AD1250" s="2361"/>
      <c r="AE1250" s="2361"/>
      <c r="AF1250" s="2361"/>
      <c r="AG1250" s="2361"/>
      <c r="AH1250" s="2361"/>
      <c r="AI1250" s="2361"/>
      <c r="AJ1250" s="2361"/>
      <c r="AK1250" s="2361"/>
      <c r="AL1250" s="2361"/>
      <c r="AM1250" s="2361"/>
      <c r="AN1250" s="2361"/>
      <c r="AO1250" s="2361"/>
      <c r="AP1250" s="2361"/>
      <c r="AQ1250" s="2361"/>
      <c r="AR1250" s="2361"/>
    </row>
    <row r="1251" spans="1:44" ht="11.25" customHeight="1">
      <c r="B1251" s="2268" t="s">
        <v>3243</v>
      </c>
      <c r="D1251" s="2268"/>
      <c r="E1251" s="2268"/>
      <c r="F1251" s="2268"/>
      <c r="G1251" s="2268"/>
      <c r="H1251" s="1875"/>
      <c r="I1251" s="2243"/>
      <c r="J1251" s="2243"/>
      <c r="K1251" s="2243"/>
      <c r="L1251" s="1902"/>
      <c r="M1251" s="1902"/>
      <c r="N1251" s="1902"/>
      <c r="O1251" s="1902"/>
      <c r="P1251" s="1902"/>
      <c r="Q1251" s="1902"/>
      <c r="S1251" s="2361"/>
      <c r="T1251" s="2361"/>
      <c r="U1251" s="2361"/>
      <c r="V1251" s="2361"/>
      <c r="W1251" s="2361"/>
      <c r="X1251" s="2361"/>
      <c r="Y1251" s="2361"/>
      <c r="Z1251" s="2361"/>
      <c r="AA1251" s="2361"/>
      <c r="AB1251" s="2361"/>
      <c r="AC1251" s="2361"/>
      <c r="AD1251" s="2361"/>
      <c r="AE1251" s="2361"/>
      <c r="AF1251" s="2361"/>
      <c r="AG1251" s="2361"/>
      <c r="AH1251" s="2361"/>
      <c r="AI1251" s="2361"/>
      <c r="AJ1251" s="2361"/>
      <c r="AK1251" s="2361"/>
      <c r="AL1251" s="2361"/>
      <c r="AM1251" s="2361"/>
      <c r="AN1251" s="2361"/>
      <c r="AO1251" s="2361"/>
      <c r="AP1251" s="2361"/>
      <c r="AQ1251" s="2361"/>
      <c r="AR1251" s="2361"/>
    </row>
    <row r="1252" spans="1:44" ht="12" customHeight="1">
      <c r="A1252" s="2327" t="str">
        <f>'Part VII-Threshold Criteria'!A214</f>
        <v>The above amenities will be included in the final plans and specifications.</v>
      </c>
      <c r="B1252" s="2327"/>
      <c r="C1252" s="2327"/>
      <c r="D1252" s="2327"/>
      <c r="E1252" s="2327"/>
      <c r="F1252" s="2327"/>
      <c r="G1252" s="2327"/>
      <c r="H1252" s="2327"/>
      <c r="I1252" s="2327"/>
      <c r="J1252" s="2327"/>
      <c r="K1252" s="2327"/>
      <c r="L1252" s="2327"/>
      <c r="M1252" s="2327"/>
      <c r="N1252" s="2327"/>
      <c r="O1252" s="2327"/>
      <c r="P1252" s="2327"/>
      <c r="Q1252" s="2327"/>
      <c r="R1252" s="2017" t="s">
        <v>1181</v>
      </c>
      <c r="S1252" s="2368"/>
      <c r="T1252" s="2361"/>
      <c r="U1252" s="2282"/>
      <c r="V1252" s="2282"/>
      <c r="W1252" s="2282"/>
      <c r="X1252" s="2282"/>
      <c r="Y1252" s="2282"/>
      <c r="Z1252" s="2282"/>
      <c r="AA1252" s="2282"/>
      <c r="AB1252" s="2282"/>
      <c r="AC1252" s="2282"/>
      <c r="AD1252" s="2282"/>
      <c r="AE1252" s="2282"/>
      <c r="AF1252" s="2361"/>
      <c r="AG1252" s="2361"/>
      <c r="AH1252" s="2361"/>
      <c r="AI1252" s="2361"/>
      <c r="AJ1252" s="2361"/>
      <c r="AK1252" s="2361"/>
      <c r="AL1252" s="2361"/>
      <c r="AM1252" s="2361"/>
      <c r="AN1252" s="2361"/>
      <c r="AO1252" s="2361"/>
      <c r="AP1252" s="2361"/>
      <c r="AQ1252" s="2361"/>
      <c r="AR1252" s="2361"/>
    </row>
    <row r="1253" spans="1:44" ht="11.25" customHeight="1">
      <c r="B1253" s="2328" t="s">
        <v>1730</v>
      </c>
      <c r="C1253" s="2329"/>
      <c r="D1253" s="2330"/>
      <c r="E1253" s="2330"/>
      <c r="F1253" s="2330"/>
      <c r="G1253" s="2330"/>
      <c r="H1253" s="2330"/>
      <c r="I1253" s="2330"/>
      <c r="J1253" s="2330"/>
      <c r="K1253" s="2330"/>
      <c r="L1253" s="2330"/>
      <c r="M1253" s="2330"/>
      <c r="N1253" s="2330"/>
      <c r="O1253" s="2330"/>
      <c r="P1253" s="2330"/>
      <c r="Q1253" s="2330"/>
      <c r="S1253" s="2361"/>
      <c r="T1253" s="2361"/>
      <c r="U1253" s="2361"/>
      <c r="V1253" s="2361"/>
      <c r="W1253" s="2361"/>
      <c r="X1253" s="2361"/>
      <c r="Y1253" s="2361"/>
      <c r="Z1253" s="2361"/>
      <c r="AA1253" s="2361"/>
      <c r="AB1253" s="2361"/>
      <c r="AC1253" s="2361"/>
      <c r="AD1253" s="2361"/>
      <c r="AE1253" s="2361"/>
      <c r="AF1253" s="2361"/>
      <c r="AG1253" s="2361"/>
      <c r="AH1253" s="2361"/>
      <c r="AI1253" s="2361"/>
      <c r="AJ1253" s="2361"/>
      <c r="AK1253" s="2361"/>
      <c r="AL1253" s="2361"/>
      <c r="AM1253" s="2361"/>
      <c r="AN1253" s="2361"/>
      <c r="AO1253" s="2361"/>
      <c r="AP1253" s="2361"/>
      <c r="AQ1253" s="2361"/>
      <c r="AR1253" s="2361"/>
    </row>
    <row r="1254" spans="1:44" ht="12" customHeight="1">
      <c r="A1254" s="2331"/>
      <c r="B1254" s="2331"/>
      <c r="C1254" s="2331"/>
      <c r="D1254" s="2331"/>
      <c r="E1254" s="2331"/>
      <c r="F1254" s="2331"/>
      <c r="G1254" s="2331"/>
      <c r="H1254" s="2331"/>
      <c r="I1254" s="2331"/>
      <c r="J1254" s="2331"/>
      <c r="K1254" s="2331"/>
      <c r="L1254" s="2331"/>
      <c r="M1254" s="2331"/>
      <c r="N1254" s="2331"/>
      <c r="O1254" s="2331"/>
      <c r="P1254" s="2331"/>
      <c r="Q1254" s="2331"/>
      <c r="S1254" s="2361"/>
      <c r="T1254" s="2361"/>
      <c r="U1254" s="2361"/>
      <c r="V1254" s="2361"/>
      <c r="W1254" s="2361"/>
      <c r="X1254" s="2361"/>
      <c r="Y1254" s="2361"/>
      <c r="Z1254" s="2361"/>
      <c r="AA1254" s="2361"/>
      <c r="AB1254" s="2361"/>
      <c r="AC1254" s="2361"/>
      <c r="AD1254" s="2361"/>
      <c r="AE1254" s="2361"/>
      <c r="AF1254" s="2361"/>
      <c r="AG1254" s="2361"/>
      <c r="AH1254" s="2361"/>
      <c r="AI1254" s="2361"/>
      <c r="AJ1254" s="2361"/>
      <c r="AK1254" s="2361"/>
      <c r="AL1254" s="2361"/>
      <c r="AM1254" s="2361"/>
      <c r="AN1254" s="2361"/>
      <c r="AO1254" s="2361"/>
      <c r="AP1254" s="2361"/>
      <c r="AQ1254" s="2361"/>
      <c r="AR1254" s="2361"/>
    </row>
    <row r="1255" spans="1:44" ht="14.1" customHeight="1">
      <c r="A1255" s="2206" t="s">
        <v>2498</v>
      </c>
      <c r="B1255" s="2206" t="s">
        <v>6120</v>
      </c>
      <c r="C1255" s="1875"/>
      <c r="D1255" s="2330"/>
      <c r="E1255" s="2330"/>
      <c r="F1255" s="2330"/>
      <c r="G1255" s="2330"/>
      <c r="H1255" s="2330"/>
      <c r="I1255" s="2330"/>
      <c r="J1255" s="2330"/>
      <c r="K1255" s="2342" t="s">
        <v>6743</v>
      </c>
      <c r="L1255" s="2346" t="str">
        <f>'Part I-Project Identification'!$P$29</f>
        <v>Yes</v>
      </c>
      <c r="M1255" s="2330"/>
      <c r="O1255" s="2325" t="s">
        <v>1731</v>
      </c>
      <c r="P1255" s="1505"/>
      <c r="Q1255" s="1505"/>
    </row>
    <row r="1256" spans="1:44" ht="11.25" customHeight="1">
      <c r="A1256" s="2336" t="s">
        <v>1842</v>
      </c>
      <c r="B1256" s="1889" t="s">
        <v>6123</v>
      </c>
    </row>
    <row r="1257" spans="1:44" ht="10.5" customHeight="1">
      <c r="A1257" s="2336"/>
      <c r="B1257" s="362" t="s">
        <v>6125</v>
      </c>
      <c r="C1257" s="359"/>
      <c r="D1257" s="359"/>
      <c r="E1257" s="359"/>
      <c r="F1257" s="359"/>
      <c r="G1257" s="359"/>
      <c r="H1257" s="359"/>
      <c r="I1257" s="359"/>
      <c r="J1257" s="2369" t="s">
        <v>6124</v>
      </c>
      <c r="K1257" s="362" t="s">
        <v>6125</v>
      </c>
      <c r="L1257" s="359"/>
      <c r="M1257" s="359"/>
      <c r="N1257" s="359"/>
      <c r="O1257" s="359"/>
      <c r="P1257" s="359"/>
      <c r="Q1257" s="2369" t="s">
        <v>6124</v>
      </c>
    </row>
    <row r="1258" spans="1:44" s="2265" customFormat="1" ht="11.25" customHeight="1">
      <c r="B1258" s="2070">
        <f>'Part VII-Threshold Criteria'!B220</f>
        <v>0</v>
      </c>
      <c r="C1258" s="2070"/>
      <c r="D1258" s="2070"/>
      <c r="E1258" s="2070"/>
      <c r="F1258" s="2070"/>
      <c r="G1258" s="2070"/>
      <c r="H1258" s="2070"/>
      <c r="I1258" s="2070"/>
      <c r="J1258" s="2370">
        <f>'Part VII-Threshold Criteria'!J220</f>
        <v>0</v>
      </c>
      <c r="K1258" s="2070">
        <f>'Part VII-Threshold Criteria'!K220</f>
        <v>0</v>
      </c>
      <c r="L1258" s="2070"/>
      <c r="M1258" s="2070"/>
      <c r="N1258" s="2070"/>
      <c r="O1258" s="2070"/>
      <c r="P1258" s="2070"/>
      <c r="Q1258" s="2370">
        <f>'Part VII-Threshold Criteria'!Q220</f>
        <v>0</v>
      </c>
    </row>
    <row r="1259" spans="1:44" s="2265" customFormat="1" ht="11.25" customHeight="1">
      <c r="A1259" s="2336"/>
      <c r="B1259" s="2070">
        <f>'Part VII-Threshold Criteria'!B221</f>
        <v>0</v>
      </c>
      <c r="C1259" s="2070"/>
      <c r="D1259" s="2070"/>
      <c r="E1259" s="2070"/>
      <c r="F1259" s="2070"/>
      <c r="G1259" s="2070"/>
      <c r="H1259" s="2070"/>
      <c r="I1259" s="2070"/>
      <c r="J1259" s="2371">
        <f>'Part VII-Threshold Criteria'!J221</f>
        <v>0</v>
      </c>
      <c r="K1259" s="2070">
        <f>'Part VII-Threshold Criteria'!K221</f>
        <v>0</v>
      </c>
      <c r="L1259" s="2070"/>
      <c r="M1259" s="2070"/>
      <c r="N1259" s="2070"/>
      <c r="O1259" s="2070"/>
      <c r="P1259" s="2070"/>
      <c r="Q1259" s="2371">
        <f>'Part VII-Threshold Criteria'!Q221</f>
        <v>0</v>
      </c>
    </row>
    <row r="1260" spans="1:44" s="2265" customFormat="1" ht="11.25" customHeight="1">
      <c r="A1260" s="2336"/>
      <c r="B1260" s="2070">
        <f>'Part VII-Threshold Criteria'!B222</f>
        <v>0</v>
      </c>
      <c r="C1260" s="2070"/>
      <c r="D1260" s="2070"/>
      <c r="E1260" s="2070"/>
      <c r="F1260" s="2070"/>
      <c r="G1260" s="2070"/>
      <c r="H1260" s="2070"/>
      <c r="I1260" s="2070"/>
      <c r="J1260" s="2371">
        <f>'Part VII-Threshold Criteria'!J222</f>
        <v>0</v>
      </c>
      <c r="K1260" s="2070">
        <f>'Part VII-Threshold Criteria'!K222</f>
        <v>0</v>
      </c>
      <c r="L1260" s="2070"/>
      <c r="M1260" s="2070"/>
      <c r="N1260" s="2070"/>
      <c r="O1260" s="2070"/>
      <c r="P1260" s="2070"/>
      <c r="Q1260" s="2371">
        <f>'Part VII-Threshold Criteria'!Q222</f>
        <v>0</v>
      </c>
    </row>
    <row r="1261" spans="1:44" s="2265" customFormat="1" ht="11.25" customHeight="1">
      <c r="A1261" s="2336"/>
      <c r="B1261" s="2070">
        <f>'Part VII-Threshold Criteria'!B223</f>
        <v>0</v>
      </c>
      <c r="C1261" s="2070"/>
      <c r="D1261" s="2070"/>
      <c r="E1261" s="2070"/>
      <c r="F1261" s="2070"/>
      <c r="G1261" s="2070"/>
      <c r="H1261" s="2070"/>
      <c r="I1261" s="2070"/>
      <c r="J1261" s="2371">
        <f>'Part VII-Threshold Criteria'!J223</f>
        <v>0</v>
      </c>
      <c r="K1261" s="2070">
        <f>'Part VII-Threshold Criteria'!K223</f>
        <v>0</v>
      </c>
      <c r="L1261" s="2070"/>
      <c r="M1261" s="2070"/>
      <c r="N1261" s="2070"/>
      <c r="O1261" s="2070"/>
      <c r="P1261" s="2070"/>
      <c r="Q1261" s="2371">
        <f>'Part VII-Threshold Criteria'!Q223</f>
        <v>0</v>
      </c>
    </row>
    <row r="1262" spans="1:44" s="2265" customFormat="1" ht="11.25" customHeight="1">
      <c r="A1262" s="2336"/>
      <c r="B1262" s="2070">
        <f>'Part VII-Threshold Criteria'!B224</f>
        <v>0</v>
      </c>
      <c r="C1262" s="2070"/>
      <c r="D1262" s="2070"/>
      <c r="E1262" s="2070"/>
      <c r="F1262" s="2070"/>
      <c r="G1262" s="2070"/>
      <c r="H1262" s="2070"/>
      <c r="I1262" s="2070"/>
      <c r="J1262" s="2371">
        <f>'Part VII-Threshold Criteria'!J224</f>
        <v>0</v>
      </c>
      <c r="K1262" s="2070">
        <f>'Part VII-Threshold Criteria'!K224</f>
        <v>0</v>
      </c>
      <c r="L1262" s="2070"/>
      <c r="M1262" s="2070"/>
      <c r="N1262" s="2070"/>
      <c r="O1262" s="2070"/>
      <c r="P1262" s="2070"/>
      <c r="Q1262" s="2371">
        <f>'Part VII-Threshold Criteria'!Q224</f>
        <v>0</v>
      </c>
    </row>
    <row r="1263" spans="1:44" s="2265" customFormat="1" ht="11.25" customHeight="1">
      <c r="A1263" s="2336"/>
      <c r="B1263" s="2070">
        <f>'Part VII-Threshold Criteria'!B225</f>
        <v>0</v>
      </c>
      <c r="C1263" s="2070"/>
      <c r="D1263" s="2070"/>
      <c r="E1263" s="2070"/>
      <c r="F1263" s="2070"/>
      <c r="G1263" s="2070"/>
      <c r="H1263" s="2070"/>
      <c r="I1263" s="2070"/>
      <c r="J1263" s="2371">
        <f>'Part VII-Threshold Criteria'!J225</f>
        <v>0</v>
      </c>
      <c r="K1263" s="2070">
        <f>'Part VII-Threshold Criteria'!K225</f>
        <v>0</v>
      </c>
      <c r="L1263" s="2070"/>
      <c r="M1263" s="2070"/>
      <c r="N1263" s="2070"/>
      <c r="O1263" s="2070"/>
      <c r="P1263" s="2070"/>
      <c r="Q1263" s="2371">
        <f>'Part VII-Threshold Criteria'!Q225</f>
        <v>0</v>
      </c>
    </row>
    <row r="1264" spans="1:44" s="2265" customFormat="1" ht="11.25" customHeight="1">
      <c r="A1264" s="2336"/>
      <c r="B1264" s="2070">
        <f>'Part VII-Threshold Criteria'!B226</f>
        <v>0</v>
      </c>
      <c r="C1264" s="2070"/>
      <c r="D1264" s="2070"/>
      <c r="E1264" s="2070"/>
      <c r="F1264" s="2070"/>
      <c r="G1264" s="2070"/>
      <c r="H1264" s="2070"/>
      <c r="I1264" s="2070"/>
      <c r="J1264" s="2371">
        <f>'Part VII-Threshold Criteria'!J226</f>
        <v>0</v>
      </c>
      <c r="K1264" s="2070">
        <f>'Part VII-Threshold Criteria'!K226</f>
        <v>0</v>
      </c>
      <c r="L1264" s="2070"/>
      <c r="M1264" s="2070"/>
      <c r="N1264" s="2070"/>
      <c r="O1264" s="2070"/>
      <c r="P1264" s="2070"/>
      <c r="Q1264" s="2371">
        <f>'Part VII-Threshold Criteria'!Q226</f>
        <v>0</v>
      </c>
    </row>
    <row r="1265" spans="1:44" s="2265" customFormat="1" ht="11.25" customHeight="1">
      <c r="B1265" s="2070">
        <f>'Part VII-Threshold Criteria'!B227</f>
        <v>0</v>
      </c>
      <c r="C1265" s="2070"/>
      <c r="D1265" s="2070"/>
      <c r="E1265" s="2070"/>
      <c r="F1265" s="2070"/>
      <c r="G1265" s="2070"/>
      <c r="H1265" s="2070"/>
      <c r="I1265" s="2070"/>
      <c r="J1265" s="2371">
        <f>'Part VII-Threshold Criteria'!J227</f>
        <v>0</v>
      </c>
      <c r="K1265" s="2070">
        <f>'Part VII-Threshold Criteria'!K227</f>
        <v>0</v>
      </c>
      <c r="L1265" s="2070"/>
      <c r="M1265" s="2070"/>
      <c r="N1265" s="2070"/>
      <c r="O1265" s="2070"/>
      <c r="P1265" s="2070"/>
      <c r="Q1265" s="2371">
        <f>'Part VII-Threshold Criteria'!Q227</f>
        <v>0</v>
      </c>
    </row>
    <row r="1266" spans="1:44" ht="12" customHeight="1">
      <c r="A1266" s="2336" t="s">
        <v>1844</v>
      </c>
      <c r="B1266" s="362" t="s">
        <v>6126</v>
      </c>
      <c r="D1266" s="2292"/>
      <c r="E1266" s="2292"/>
      <c r="F1266" s="2292"/>
      <c r="G1266" s="2292"/>
      <c r="H1266" s="2292"/>
      <c r="I1266" s="359"/>
      <c r="J1266" s="359"/>
      <c r="K1266" s="2292"/>
      <c r="L1266" s="2252"/>
      <c r="O1266" s="2336" t="s">
        <v>1844</v>
      </c>
      <c r="P1266" s="2344">
        <f>'Part VII-Threshold Criteria'!P228</f>
        <v>0</v>
      </c>
      <c r="Q1266" s="2243"/>
    </row>
    <row r="1267" spans="1:44" s="2265" customFormat="1" ht="12.75" customHeight="1">
      <c r="A1267" s="2336" t="s">
        <v>698</v>
      </c>
      <c r="B1267" s="1889" t="s">
        <v>6122</v>
      </c>
      <c r="C1267" s="2331"/>
      <c r="D1267" s="2331"/>
      <c r="E1267" s="2331"/>
      <c r="F1267" s="2331"/>
      <c r="G1267" s="2331"/>
      <c r="H1267" s="2331"/>
      <c r="I1267" s="2331"/>
      <c r="J1267" s="2331"/>
      <c r="K1267" s="2331"/>
      <c r="L1267" s="2331"/>
      <c r="M1267" s="2331"/>
      <c r="N1267" s="2331"/>
      <c r="O1267" s="2336" t="s">
        <v>698</v>
      </c>
      <c r="P1267" s="2355">
        <f>'Part VII-Threshold Criteria'!P229</f>
        <v>0</v>
      </c>
      <c r="Q1267" s="2337"/>
      <c r="S1267" s="2372"/>
      <c r="T1267" s="2372"/>
      <c r="U1267" s="2372"/>
      <c r="V1267" s="2372"/>
      <c r="W1267" s="2372"/>
      <c r="X1267" s="2372"/>
      <c r="Y1267" s="2372"/>
      <c r="Z1267" s="2372"/>
      <c r="AA1267" s="2372"/>
      <c r="AB1267" s="2372"/>
      <c r="AC1267" s="2372"/>
      <c r="AD1267" s="2372"/>
      <c r="AE1267" s="2372"/>
      <c r="AF1267" s="2372"/>
      <c r="AG1267" s="2372"/>
      <c r="AH1267" s="2372"/>
      <c r="AI1267" s="2372"/>
      <c r="AJ1267" s="2372"/>
      <c r="AK1267" s="2372"/>
      <c r="AL1267" s="2372"/>
      <c r="AM1267" s="2372"/>
      <c r="AN1267" s="2372"/>
      <c r="AO1267" s="2372"/>
      <c r="AP1267" s="2372"/>
      <c r="AQ1267" s="2372"/>
      <c r="AR1267" s="2372"/>
    </row>
    <row r="1268" spans="1:44" s="2265" customFormat="1" ht="12" customHeight="1">
      <c r="A1268" s="2342" t="s">
        <v>1963</v>
      </c>
      <c r="B1268" s="1889" t="s">
        <v>6121</v>
      </c>
      <c r="D1268" s="1889"/>
      <c r="E1268" s="1889"/>
      <c r="F1268" s="1889"/>
      <c r="G1268" s="1889"/>
      <c r="H1268" s="1889"/>
      <c r="I1268" s="1889"/>
      <c r="J1268" s="1889"/>
      <c r="K1268" s="1889"/>
      <c r="L1268" s="1889"/>
      <c r="M1268" s="1889"/>
      <c r="O1268" s="2342" t="s">
        <v>1963</v>
      </c>
      <c r="P1268" s="2355">
        <f>'Part VII-Threshold Criteria'!P230</f>
        <v>0</v>
      </c>
      <c r="Q1268" s="2337"/>
      <c r="S1268" s="2372"/>
      <c r="T1268" s="2372"/>
      <c r="U1268" s="2372"/>
      <c r="V1268" s="2372"/>
      <c r="W1268" s="2372"/>
      <c r="X1268" s="2372"/>
      <c r="Y1268" s="2372"/>
      <c r="Z1268" s="2372"/>
      <c r="AA1268" s="2372"/>
      <c r="AB1268" s="2372"/>
      <c r="AC1268" s="2372"/>
      <c r="AD1268" s="2372"/>
      <c r="AE1268" s="2372"/>
      <c r="AF1268" s="2372"/>
      <c r="AG1268" s="2372"/>
      <c r="AH1268" s="2372"/>
      <c r="AI1268" s="2372"/>
      <c r="AJ1268" s="2372"/>
      <c r="AK1268" s="2372"/>
      <c r="AL1268" s="2372"/>
      <c r="AM1268" s="2372"/>
      <c r="AN1268" s="2372"/>
      <c r="AO1268" s="2372"/>
      <c r="AP1268" s="2372"/>
      <c r="AQ1268" s="2372"/>
      <c r="AR1268" s="2372"/>
    </row>
    <row r="1269" spans="1:44" ht="11.25" customHeight="1">
      <c r="B1269" s="2268" t="s">
        <v>3243</v>
      </c>
      <c r="D1269" s="2268"/>
      <c r="E1269" s="2268"/>
      <c r="F1269" s="2268"/>
      <c r="G1269" s="2268"/>
      <c r="H1269" s="1875"/>
      <c r="I1269" s="2243"/>
      <c r="J1269" s="2243"/>
      <c r="K1269" s="2243"/>
      <c r="L1269" s="1902"/>
      <c r="M1269" s="1902"/>
      <c r="N1269" s="1902"/>
      <c r="O1269" s="1902"/>
      <c r="P1269" s="1902"/>
      <c r="Q1269" s="1902"/>
      <c r="S1269" s="2361"/>
      <c r="T1269" s="2361"/>
      <c r="U1269" s="2361"/>
      <c r="V1269" s="2361"/>
      <c r="W1269" s="2361"/>
      <c r="X1269" s="2361"/>
      <c r="Y1269" s="2361"/>
      <c r="Z1269" s="2361"/>
      <c r="AA1269" s="2361"/>
      <c r="AB1269" s="2361"/>
      <c r="AC1269" s="2361"/>
      <c r="AD1269" s="2361"/>
      <c r="AE1269" s="2361"/>
      <c r="AF1269" s="2361"/>
      <c r="AG1269" s="2361"/>
      <c r="AH1269" s="2361"/>
      <c r="AI1269" s="2361"/>
      <c r="AJ1269" s="2361"/>
      <c r="AK1269" s="2361"/>
      <c r="AL1269" s="2361"/>
      <c r="AM1269" s="2361"/>
      <c r="AN1269" s="2361"/>
      <c r="AO1269" s="2361"/>
      <c r="AP1269" s="2361"/>
      <c r="AQ1269" s="2361"/>
      <c r="AR1269" s="2361"/>
    </row>
    <row r="1270" spans="1:44" ht="12" customHeight="1">
      <c r="A1270" s="2327" t="str">
        <f>'Part VII-Threshold Criteria'!A232</f>
        <v>N/A</v>
      </c>
      <c r="B1270" s="2327"/>
      <c r="C1270" s="2327"/>
      <c r="D1270" s="2327"/>
      <c r="E1270" s="2327"/>
      <c r="F1270" s="2327"/>
      <c r="G1270" s="2327"/>
      <c r="H1270" s="2327"/>
      <c r="I1270" s="2327"/>
      <c r="J1270" s="2327"/>
      <c r="K1270" s="2327"/>
      <c r="L1270" s="2327"/>
      <c r="M1270" s="2327"/>
      <c r="N1270" s="2327"/>
      <c r="O1270" s="2327"/>
      <c r="P1270" s="2327"/>
      <c r="Q1270" s="2327"/>
      <c r="R1270" s="2017" t="s">
        <v>1181</v>
      </c>
      <c r="S1270" s="2368"/>
      <c r="T1270" s="2361"/>
      <c r="U1270" s="2282"/>
      <c r="V1270" s="2282"/>
      <c r="W1270" s="2282"/>
      <c r="X1270" s="2282"/>
      <c r="Y1270" s="2282"/>
      <c r="Z1270" s="2282"/>
      <c r="AA1270" s="2282"/>
      <c r="AB1270" s="2282"/>
      <c r="AC1270" s="2282"/>
      <c r="AD1270" s="2282"/>
      <c r="AE1270" s="2282"/>
      <c r="AF1270" s="2361"/>
      <c r="AG1270" s="2361"/>
      <c r="AH1270" s="2361"/>
      <c r="AI1270" s="2361"/>
      <c r="AJ1270" s="2361"/>
      <c r="AK1270" s="2361"/>
      <c r="AL1270" s="2361"/>
      <c r="AM1270" s="2361"/>
      <c r="AN1270" s="2361"/>
      <c r="AO1270" s="2361"/>
      <c r="AP1270" s="2361"/>
      <c r="AQ1270" s="2361"/>
      <c r="AR1270" s="2361"/>
    </row>
    <row r="1271" spans="1:44" ht="11.25" customHeight="1">
      <c r="B1271" s="2328" t="s">
        <v>1730</v>
      </c>
      <c r="C1271" s="2329"/>
      <c r="D1271" s="2330"/>
      <c r="E1271" s="2330"/>
      <c r="F1271" s="2330"/>
      <c r="G1271" s="2330"/>
      <c r="H1271" s="2330"/>
      <c r="I1271" s="2330"/>
      <c r="J1271" s="2330"/>
      <c r="K1271" s="2330"/>
      <c r="L1271" s="2330"/>
      <c r="M1271" s="2330"/>
      <c r="N1271" s="2330"/>
      <c r="O1271" s="2330"/>
      <c r="P1271" s="2330"/>
      <c r="Q1271" s="2330"/>
      <c r="S1271" s="2361"/>
      <c r="T1271" s="2361"/>
      <c r="U1271" s="2361"/>
      <c r="V1271" s="2361"/>
      <c r="W1271" s="2361"/>
      <c r="X1271" s="2361"/>
      <c r="Y1271" s="2361"/>
      <c r="Z1271" s="2361"/>
      <c r="AA1271" s="2361"/>
      <c r="AB1271" s="2361"/>
      <c r="AC1271" s="2361"/>
      <c r="AD1271" s="2361"/>
      <c r="AE1271" s="2361"/>
      <c r="AF1271" s="2361"/>
      <c r="AG1271" s="2361"/>
      <c r="AH1271" s="2361"/>
      <c r="AI1271" s="2361"/>
      <c r="AJ1271" s="2361"/>
      <c r="AK1271" s="2361"/>
      <c r="AL1271" s="2361"/>
      <c r="AM1271" s="2361"/>
      <c r="AN1271" s="2361"/>
      <c r="AO1271" s="2361"/>
      <c r="AP1271" s="2361"/>
      <c r="AQ1271" s="2361"/>
      <c r="AR1271" s="2361"/>
    </row>
    <row r="1272" spans="1:44" ht="12" customHeight="1">
      <c r="A1272" s="2331"/>
      <c r="B1272" s="2331"/>
      <c r="C1272" s="2331"/>
      <c r="D1272" s="2331"/>
      <c r="E1272" s="2331"/>
      <c r="F1272" s="2331"/>
      <c r="G1272" s="2331"/>
      <c r="H1272" s="2331"/>
      <c r="I1272" s="2331"/>
      <c r="J1272" s="2331"/>
      <c r="K1272" s="2331"/>
      <c r="L1272" s="2331"/>
      <c r="M1272" s="2331"/>
      <c r="N1272" s="2331"/>
      <c r="O1272" s="2331"/>
      <c r="P1272" s="2331"/>
      <c r="Q1272" s="2331"/>
      <c r="S1272" s="2361"/>
      <c r="T1272" s="2361"/>
      <c r="U1272" s="2361"/>
      <c r="V1272" s="2361"/>
      <c r="W1272" s="2361"/>
      <c r="X1272" s="2361"/>
      <c r="Y1272" s="2361"/>
      <c r="Z1272" s="2361"/>
      <c r="AA1272" s="2361"/>
      <c r="AB1272" s="2361"/>
      <c r="AC1272" s="2361"/>
      <c r="AD1272" s="2361"/>
      <c r="AE1272" s="2361"/>
      <c r="AF1272" s="2361"/>
      <c r="AG1272" s="2361"/>
      <c r="AH1272" s="2361"/>
      <c r="AI1272" s="2361"/>
      <c r="AJ1272" s="2361"/>
      <c r="AK1272" s="2361"/>
      <c r="AL1272" s="2361"/>
      <c r="AM1272" s="2361"/>
      <c r="AN1272" s="2361"/>
      <c r="AO1272" s="2361"/>
      <c r="AP1272" s="2361"/>
      <c r="AQ1272" s="2361"/>
      <c r="AR1272" s="2361"/>
    </row>
    <row r="1273" spans="1:44" ht="3" customHeight="1">
      <c r="A1273" s="1902"/>
      <c r="B1273" s="2243"/>
      <c r="C1273" s="2330"/>
      <c r="D1273" s="2330"/>
      <c r="E1273" s="2330"/>
      <c r="F1273" s="2330"/>
      <c r="G1273" s="2330"/>
      <c r="H1273" s="2330"/>
      <c r="I1273" s="2330"/>
      <c r="J1273" s="2330"/>
      <c r="K1273" s="2330"/>
      <c r="L1273" s="2330"/>
      <c r="M1273" s="2330"/>
      <c r="Q1273" s="1902"/>
      <c r="S1273" s="2361"/>
      <c r="T1273" s="2361"/>
      <c r="U1273" s="2361"/>
      <c r="V1273" s="2361"/>
      <c r="W1273" s="2361"/>
      <c r="X1273" s="2361"/>
      <c r="Y1273" s="2361"/>
      <c r="Z1273" s="2361"/>
      <c r="AA1273" s="2361"/>
      <c r="AB1273" s="2361"/>
      <c r="AC1273" s="2361"/>
      <c r="AD1273" s="2361"/>
      <c r="AE1273" s="2361"/>
      <c r="AF1273" s="2361"/>
      <c r="AG1273" s="2361"/>
      <c r="AH1273" s="2361"/>
      <c r="AI1273" s="2361"/>
      <c r="AJ1273" s="2361"/>
      <c r="AK1273" s="2361"/>
      <c r="AL1273" s="2361"/>
      <c r="AM1273" s="2361"/>
      <c r="AN1273" s="2361"/>
      <c r="AO1273" s="2361"/>
      <c r="AP1273" s="2361"/>
      <c r="AQ1273" s="2361"/>
      <c r="AR1273" s="2361"/>
    </row>
    <row r="1274" spans="1:44" ht="14.1" customHeight="1">
      <c r="A1274" s="2206" t="s">
        <v>2081</v>
      </c>
      <c r="B1274" s="359" t="s">
        <v>3956</v>
      </c>
      <c r="C1274" s="359"/>
      <c r="D1274" s="362"/>
      <c r="E1274" s="362"/>
      <c r="F1274" s="362"/>
      <c r="G1274" s="362"/>
      <c r="H1274" s="2330"/>
      <c r="I1274" s="2330"/>
      <c r="J1274" s="2330"/>
      <c r="K1274" s="2330"/>
      <c r="L1274" s="2300"/>
      <c r="M1274" s="2373"/>
      <c r="O1274" s="2325" t="s">
        <v>1731</v>
      </c>
      <c r="P1274" s="1505"/>
      <c r="Q1274" s="1505"/>
      <c r="S1274" s="2361"/>
      <c r="T1274" s="2361"/>
      <c r="U1274" s="2361"/>
      <c r="V1274" s="2361"/>
      <c r="W1274" s="2361"/>
      <c r="X1274" s="2361"/>
      <c r="Y1274" s="2361"/>
      <c r="Z1274" s="2361"/>
      <c r="AA1274" s="2361"/>
      <c r="AB1274" s="2361"/>
      <c r="AC1274" s="2361"/>
      <c r="AD1274" s="2361"/>
      <c r="AE1274" s="2361"/>
      <c r="AF1274" s="2361"/>
      <c r="AG1274" s="2361"/>
      <c r="AH1274" s="2361"/>
      <c r="AI1274" s="2361"/>
      <c r="AJ1274" s="2361"/>
      <c r="AK1274" s="2361"/>
      <c r="AL1274" s="2361"/>
      <c r="AM1274" s="2361"/>
      <c r="AN1274" s="2361"/>
      <c r="AO1274" s="2361"/>
      <c r="AP1274" s="2361"/>
      <c r="AQ1274" s="2361"/>
      <c r="AR1274" s="2361"/>
    </row>
    <row r="1275" spans="1:44" ht="12" customHeight="1">
      <c r="B1275" s="807" t="s">
        <v>6202</v>
      </c>
      <c r="N1275" s="1750"/>
      <c r="P1275" s="2344">
        <v>0</v>
      </c>
      <c r="Q1275" s="2243"/>
      <c r="S1275" s="2361"/>
      <c r="T1275" s="2361"/>
      <c r="U1275" s="2361"/>
      <c r="V1275" s="2361"/>
      <c r="W1275" s="2361"/>
      <c r="X1275" s="2361"/>
      <c r="Y1275" s="2361"/>
      <c r="Z1275" s="2361"/>
      <c r="AA1275" s="2361"/>
      <c r="AB1275" s="2361"/>
      <c r="AC1275" s="2361"/>
      <c r="AD1275" s="2361"/>
      <c r="AE1275" s="2361"/>
      <c r="AF1275" s="2361"/>
      <c r="AG1275" s="2361"/>
      <c r="AH1275" s="2361"/>
      <c r="AI1275" s="2361"/>
      <c r="AJ1275" s="2361"/>
      <c r="AK1275" s="2361"/>
      <c r="AL1275" s="2361"/>
      <c r="AM1275" s="2361"/>
      <c r="AN1275" s="2361"/>
      <c r="AO1275" s="2361"/>
      <c r="AP1275" s="2361"/>
      <c r="AQ1275" s="2361"/>
      <c r="AR1275" s="2361"/>
    </row>
    <row r="1276" spans="1:44" ht="11.45" customHeight="1">
      <c r="A1276" s="2342" t="s">
        <v>1842</v>
      </c>
      <c r="B1276" s="362" t="s">
        <v>1193</v>
      </c>
      <c r="D1276" s="359"/>
      <c r="E1276" s="362"/>
      <c r="F1276" s="362"/>
      <c r="J1276" s="2342" t="s">
        <v>1842</v>
      </c>
      <c r="K1276" s="2211" t="str">
        <f>'Part VII-Threshold Criteria'!K238</f>
        <v>&lt;&lt;Select&gt;&gt;</v>
      </c>
      <c r="L1276" s="2211"/>
      <c r="M1276" s="2211"/>
      <c r="N1276" s="2211"/>
      <c r="O1276" s="2211"/>
      <c r="P1276" s="362" t="s">
        <v>1647</v>
      </c>
      <c r="Q1276" s="362"/>
      <c r="S1276" s="2361"/>
      <c r="T1276" s="2361"/>
      <c r="U1276" s="2361"/>
      <c r="V1276" s="2361"/>
      <c r="W1276" s="2361"/>
      <c r="X1276" s="2361"/>
      <c r="Y1276" s="2361"/>
      <c r="Z1276" s="2361"/>
      <c r="AA1276" s="2361"/>
      <c r="AB1276" s="2361"/>
      <c r="AC1276" s="2361"/>
      <c r="AD1276" s="2361"/>
      <c r="AE1276" s="2361"/>
      <c r="AF1276" s="2361"/>
      <c r="AG1276" s="2361"/>
      <c r="AH1276" s="2361"/>
      <c r="AI1276" s="2361"/>
      <c r="AJ1276" s="2361"/>
      <c r="AK1276" s="2361"/>
      <c r="AL1276" s="2361"/>
      <c r="AM1276" s="2361"/>
      <c r="AN1276" s="2361"/>
      <c r="AO1276" s="2361"/>
      <c r="AP1276" s="2361"/>
      <c r="AQ1276" s="2361"/>
      <c r="AR1276" s="2361"/>
    </row>
    <row r="1277" spans="1:44" ht="12.75" customHeight="1">
      <c r="B1277" s="1889" t="s">
        <v>6203</v>
      </c>
      <c r="C1277" s="2331"/>
      <c r="D1277" s="2331"/>
      <c r="E1277" s="2331"/>
      <c r="F1277" s="2331"/>
      <c r="G1277" s="2331"/>
      <c r="H1277" s="2331"/>
      <c r="I1277" s="2331"/>
      <c r="J1277" s="2331"/>
      <c r="K1277" s="2331"/>
      <c r="L1277" s="2331"/>
      <c r="M1277" s="2331"/>
      <c r="N1277" s="2331"/>
      <c r="O1277" s="2331"/>
      <c r="P1277" s="2355">
        <f>'Part VII-Threshold Criteria'!P239</f>
        <v>0</v>
      </c>
      <c r="Q1277" s="2337"/>
      <c r="S1277" s="2361"/>
      <c r="T1277" s="2361"/>
      <c r="U1277" s="2361"/>
      <c r="V1277" s="2361"/>
      <c r="W1277" s="2361"/>
      <c r="X1277" s="2361"/>
      <c r="Y1277" s="2361"/>
      <c r="Z1277" s="2361"/>
      <c r="AA1277" s="2361"/>
      <c r="AB1277" s="2361"/>
      <c r="AC1277" s="2361"/>
      <c r="AD1277" s="2361"/>
      <c r="AE1277" s="2361"/>
      <c r="AF1277" s="2361"/>
      <c r="AG1277" s="2361"/>
      <c r="AH1277" s="2361"/>
      <c r="AI1277" s="2361"/>
      <c r="AJ1277" s="2361"/>
      <c r="AK1277" s="2361"/>
      <c r="AL1277" s="2361"/>
      <c r="AM1277" s="2361"/>
      <c r="AN1277" s="2361"/>
      <c r="AO1277" s="2361"/>
      <c r="AP1277" s="2361"/>
      <c r="AQ1277" s="2361"/>
      <c r="AR1277" s="2361"/>
    </row>
    <row r="1278" spans="1:44" ht="12" customHeight="1">
      <c r="A1278" s="2342" t="s">
        <v>1844</v>
      </c>
      <c r="B1278" s="362" t="s">
        <v>2509</v>
      </c>
      <c r="D1278" s="362"/>
      <c r="E1278" s="362"/>
      <c r="F1278" s="362"/>
      <c r="J1278" s="2342" t="s">
        <v>1844</v>
      </c>
      <c r="K1278" s="2374">
        <f>'Part VII-Threshold Criteria'!K240</f>
        <v>0</v>
      </c>
      <c r="L1278" s="2374"/>
      <c r="M1278" s="2374"/>
      <c r="N1278" s="2374"/>
      <c r="O1278" s="2374"/>
      <c r="P1278" s="2375"/>
      <c r="Q1278" s="2375"/>
      <c r="S1278" s="2361"/>
      <c r="T1278" s="2361"/>
      <c r="U1278" s="2361"/>
      <c r="V1278" s="2361"/>
      <c r="W1278" s="2361"/>
      <c r="X1278" s="2361"/>
      <c r="Y1278" s="2361"/>
      <c r="Z1278" s="2361"/>
      <c r="AA1278" s="2361"/>
      <c r="AB1278" s="2361"/>
      <c r="AC1278" s="2361"/>
      <c r="AD1278" s="2361"/>
      <c r="AE1278" s="2361"/>
      <c r="AF1278" s="2361"/>
      <c r="AG1278" s="2361"/>
      <c r="AH1278" s="2361"/>
      <c r="AI1278" s="2361"/>
      <c r="AJ1278" s="2361"/>
      <c r="AK1278" s="2361"/>
      <c r="AL1278" s="2361"/>
      <c r="AM1278" s="2361"/>
      <c r="AN1278" s="2361"/>
      <c r="AO1278" s="2361"/>
      <c r="AP1278" s="2361"/>
      <c r="AQ1278" s="2361"/>
      <c r="AR1278" s="2361"/>
    </row>
    <row r="1279" spans="1:44" ht="12" customHeight="1">
      <c r="A1279" s="2342"/>
      <c r="B1279" s="2330" t="s">
        <v>1615</v>
      </c>
      <c r="C1279" s="362" t="s">
        <v>1806</v>
      </c>
      <c r="D1279" s="362"/>
      <c r="E1279" s="362"/>
      <c r="F1279" s="362"/>
      <c r="J1279" s="2342" t="s">
        <v>1615</v>
      </c>
      <c r="K1279" s="2211">
        <f>'Part VII-Threshold Criteria'!K241</f>
        <v>0</v>
      </c>
      <c r="L1279" s="2211"/>
      <c r="M1279" s="2211"/>
      <c r="N1279" s="2211"/>
      <c r="O1279" s="2211"/>
      <c r="P1279" s="362"/>
      <c r="Q1279" s="362"/>
      <c r="S1279" s="2361"/>
      <c r="T1279" s="2361"/>
      <c r="U1279" s="2361"/>
      <c r="V1279" s="2361"/>
      <c r="W1279" s="2361"/>
      <c r="X1279" s="2361"/>
      <c r="Y1279" s="2361"/>
      <c r="Z1279" s="2361"/>
      <c r="AA1279" s="2361"/>
      <c r="AB1279" s="2361"/>
      <c r="AC1279" s="2361"/>
      <c r="AD1279" s="2361"/>
      <c r="AE1279" s="2361"/>
      <c r="AF1279" s="2361"/>
      <c r="AG1279" s="2361"/>
      <c r="AH1279" s="2361"/>
      <c r="AI1279" s="2361"/>
      <c r="AJ1279" s="2361"/>
      <c r="AK1279" s="2361"/>
      <c r="AL1279" s="2361"/>
      <c r="AM1279" s="2361"/>
      <c r="AN1279" s="2361"/>
      <c r="AO1279" s="2361"/>
      <c r="AP1279" s="2361"/>
      <c r="AQ1279" s="2361"/>
      <c r="AR1279" s="2361"/>
    </row>
    <row r="1280" spans="1:44" ht="12" customHeight="1">
      <c r="A1280" s="2342"/>
      <c r="B1280" s="2330" t="s">
        <v>1616</v>
      </c>
      <c r="C1280" s="362" t="s">
        <v>6204</v>
      </c>
      <c r="D1280" s="362"/>
      <c r="E1280" s="362"/>
      <c r="F1280" s="362"/>
      <c r="G1280" s="362"/>
      <c r="H1280" s="362"/>
      <c r="I1280" s="359"/>
      <c r="J1280" s="359"/>
      <c r="M1280" s="362"/>
      <c r="N1280" s="2376"/>
      <c r="O1280" s="2342" t="s">
        <v>1616</v>
      </c>
      <c r="P1280" s="2344">
        <f>'Part VII-Threshold Criteria'!P242</f>
        <v>0</v>
      </c>
      <c r="Q1280" s="2243"/>
      <c r="S1280" s="2361"/>
      <c r="T1280" s="2361"/>
      <c r="U1280" s="2361"/>
      <c r="V1280" s="2361"/>
      <c r="W1280" s="2361"/>
      <c r="X1280" s="2361"/>
      <c r="Y1280" s="2361"/>
      <c r="Z1280" s="2361"/>
      <c r="AA1280" s="2361"/>
      <c r="AB1280" s="2361"/>
      <c r="AC1280" s="2361"/>
      <c r="AD1280" s="2361"/>
      <c r="AE1280" s="2361"/>
      <c r="AF1280" s="2361"/>
      <c r="AG1280" s="2361"/>
      <c r="AH1280" s="2361"/>
      <c r="AI1280" s="2361"/>
      <c r="AJ1280" s="2361"/>
      <c r="AK1280" s="2361"/>
      <c r="AL1280" s="2361"/>
      <c r="AM1280" s="2361"/>
      <c r="AN1280" s="2361"/>
      <c r="AO1280" s="2361"/>
      <c r="AP1280" s="2361"/>
      <c r="AQ1280" s="2361"/>
      <c r="AR1280" s="2361"/>
    </row>
    <row r="1281" spans="1:44">
      <c r="A1281" s="2342"/>
      <c r="B1281" s="2330" t="s">
        <v>1617</v>
      </c>
      <c r="C1281" s="1889" t="s">
        <v>6214</v>
      </c>
      <c r="D1281" s="2331"/>
      <c r="E1281" s="2331"/>
      <c r="F1281" s="2331"/>
      <c r="G1281" s="2331"/>
      <c r="H1281" s="2331"/>
      <c r="I1281" s="2331"/>
      <c r="J1281" s="2331"/>
      <c r="K1281" s="2331"/>
      <c r="L1281" s="2331"/>
      <c r="M1281" s="2331"/>
      <c r="N1281" s="2331"/>
      <c r="O1281" s="2336" t="s">
        <v>1617</v>
      </c>
      <c r="P1281" s="2355">
        <f>'Part VII-Threshold Criteria'!P243</f>
        <v>0</v>
      </c>
      <c r="Q1281" s="2337"/>
      <c r="S1281" s="2361"/>
      <c r="T1281" s="2361"/>
      <c r="U1281" s="2361"/>
      <c r="V1281" s="2361"/>
      <c r="W1281" s="2361"/>
      <c r="X1281" s="2361"/>
      <c r="Y1281" s="2361"/>
      <c r="Z1281" s="2361"/>
      <c r="AA1281" s="2361"/>
      <c r="AB1281" s="2361"/>
      <c r="AC1281" s="2361"/>
      <c r="AD1281" s="2361"/>
      <c r="AE1281" s="2361"/>
      <c r="AF1281" s="2361"/>
      <c r="AG1281" s="2361"/>
      <c r="AH1281" s="2361"/>
      <c r="AI1281" s="2361"/>
      <c r="AJ1281" s="2361"/>
      <c r="AK1281" s="2361"/>
      <c r="AL1281" s="2361"/>
      <c r="AM1281" s="2361"/>
      <c r="AN1281" s="2361"/>
      <c r="AO1281" s="2361"/>
      <c r="AP1281" s="2361"/>
      <c r="AQ1281" s="2361"/>
      <c r="AR1281" s="2361"/>
    </row>
    <row r="1282" spans="1:44">
      <c r="A1282" s="2342"/>
      <c r="B1282" s="2330" t="s">
        <v>2183</v>
      </c>
      <c r="C1282" s="1889" t="s">
        <v>6215</v>
      </c>
      <c r="D1282" s="2331"/>
      <c r="E1282" s="2331"/>
      <c r="F1282" s="2331"/>
      <c r="G1282" s="2331"/>
      <c r="H1282" s="2331"/>
      <c r="I1282" s="2331"/>
      <c r="J1282" s="2331"/>
      <c r="K1282" s="2331"/>
      <c r="L1282" s="2331"/>
      <c r="M1282" s="2331"/>
      <c r="N1282" s="2331"/>
      <c r="O1282" s="2336" t="s">
        <v>2183</v>
      </c>
      <c r="P1282" s="2355">
        <f>'Part VII-Threshold Criteria'!P244</f>
        <v>0</v>
      </c>
      <c r="Q1282" s="2337"/>
      <c r="S1282" s="2361"/>
      <c r="T1282" s="2361"/>
      <c r="U1282" s="2361"/>
      <c r="V1282" s="2361"/>
      <c r="W1282" s="2361"/>
      <c r="X1282" s="2361"/>
      <c r="Y1282" s="2361"/>
      <c r="Z1282" s="2361"/>
      <c r="AA1282" s="2361"/>
      <c r="AB1282" s="2361"/>
      <c r="AC1282" s="2361"/>
      <c r="AD1282" s="2361"/>
      <c r="AE1282" s="2361"/>
      <c r="AF1282" s="2361"/>
      <c r="AG1282" s="2361"/>
      <c r="AH1282" s="2361"/>
      <c r="AI1282" s="2361"/>
      <c r="AJ1282" s="2361"/>
      <c r="AK1282" s="2361"/>
      <c r="AL1282" s="2361"/>
      <c r="AM1282" s="2361"/>
      <c r="AN1282" s="2361"/>
      <c r="AO1282" s="2361"/>
      <c r="AP1282" s="2361"/>
      <c r="AQ1282" s="2361"/>
      <c r="AR1282" s="2361"/>
    </row>
    <row r="1283" spans="1:44" ht="12" customHeight="1">
      <c r="A1283" s="2342" t="s">
        <v>698</v>
      </c>
      <c r="B1283" s="362" t="s">
        <v>3313</v>
      </c>
      <c r="D1283" s="362"/>
      <c r="E1283" s="362"/>
      <c r="F1283" s="362"/>
      <c r="G1283" s="362"/>
      <c r="H1283" s="362"/>
      <c r="I1283" s="359"/>
      <c r="J1283" s="359"/>
      <c r="K1283" s="359"/>
      <c r="M1283" s="362"/>
      <c r="N1283" s="2376"/>
      <c r="P1283" s="2344">
        <f>'Part VII-Threshold Criteria'!P245</f>
        <v>0</v>
      </c>
      <c r="Q1283" s="2243"/>
      <c r="S1283" s="2361"/>
      <c r="T1283" s="2361"/>
      <c r="U1283" s="2361"/>
      <c r="V1283" s="2361"/>
      <c r="W1283" s="2361"/>
      <c r="X1283" s="2361"/>
      <c r="Y1283" s="2361"/>
      <c r="Z1283" s="2361"/>
      <c r="AA1283" s="2361"/>
      <c r="AB1283" s="2361"/>
      <c r="AC1283" s="2361"/>
      <c r="AD1283" s="2361"/>
      <c r="AE1283" s="2361"/>
      <c r="AF1283" s="2361"/>
      <c r="AG1283" s="2361"/>
      <c r="AH1283" s="2361"/>
      <c r="AI1283" s="2361"/>
      <c r="AJ1283" s="2361"/>
      <c r="AK1283" s="2361"/>
      <c r="AL1283" s="2361"/>
      <c r="AM1283" s="2361"/>
      <c r="AN1283" s="2361"/>
      <c r="AO1283" s="2361"/>
      <c r="AP1283" s="2361"/>
      <c r="AQ1283" s="2361"/>
      <c r="AR1283" s="2361"/>
    </row>
    <row r="1284" spans="1:44" ht="12" customHeight="1">
      <c r="A1284" s="2342"/>
      <c r="B1284" s="1889" t="s">
        <v>3248</v>
      </c>
      <c r="C1284" s="2331"/>
      <c r="D1284" s="2331"/>
      <c r="E1284" s="807" t="s">
        <v>3386</v>
      </c>
      <c r="F1284" s="2331"/>
      <c r="G1284" s="2331"/>
      <c r="K1284" s="359"/>
      <c r="M1284" s="362"/>
      <c r="N1284" s="2376"/>
      <c r="O1284" s="2342" t="s">
        <v>1615</v>
      </c>
      <c r="P1284" s="2344">
        <f>'Part VII-Threshold Criteria'!P246</f>
        <v>0</v>
      </c>
      <c r="Q1284" s="2243"/>
      <c r="S1284" s="2361"/>
      <c r="T1284" s="2361"/>
      <c r="U1284" s="2361"/>
      <c r="V1284" s="2361"/>
      <c r="W1284" s="2361"/>
      <c r="X1284" s="2361"/>
      <c r="Y1284" s="2361"/>
      <c r="Z1284" s="2361"/>
      <c r="AA1284" s="2361"/>
      <c r="AB1284" s="2361"/>
      <c r="AC1284" s="2361"/>
      <c r="AD1284" s="2361"/>
      <c r="AE1284" s="2361"/>
      <c r="AF1284" s="2361"/>
      <c r="AG1284" s="2361"/>
      <c r="AH1284" s="2361"/>
      <c r="AI1284" s="2361"/>
      <c r="AJ1284" s="2361"/>
      <c r="AK1284" s="2361"/>
      <c r="AL1284" s="2361"/>
      <c r="AM1284" s="2361"/>
      <c r="AN1284" s="2361"/>
      <c r="AO1284" s="2361"/>
      <c r="AP1284" s="2361"/>
      <c r="AQ1284" s="2361"/>
      <c r="AR1284" s="2361"/>
    </row>
    <row r="1285" spans="1:44" ht="12" customHeight="1">
      <c r="A1285" s="2342"/>
      <c r="B1285" s="2331"/>
      <c r="C1285" s="2331"/>
      <c r="D1285" s="2331"/>
      <c r="E1285" s="807" t="s">
        <v>3387</v>
      </c>
      <c r="F1285" s="2331"/>
      <c r="G1285" s="2331"/>
      <c r="K1285" s="359"/>
      <c r="M1285" s="362"/>
      <c r="N1285" s="2376"/>
      <c r="O1285" s="2342" t="s">
        <v>1616</v>
      </c>
      <c r="P1285" s="2344">
        <f>'Part VII-Threshold Criteria'!P247</f>
        <v>0</v>
      </c>
      <c r="Q1285" s="2243"/>
      <c r="S1285" s="2361"/>
      <c r="T1285" s="2361"/>
      <c r="U1285" s="2361"/>
      <c r="V1285" s="2361"/>
      <c r="W1285" s="2361"/>
      <c r="X1285" s="2361"/>
      <c r="Y1285" s="2361"/>
      <c r="Z1285" s="2361"/>
      <c r="AA1285" s="2361"/>
      <c r="AB1285" s="2361"/>
      <c r="AC1285" s="2361"/>
      <c r="AD1285" s="2361"/>
      <c r="AE1285" s="2361"/>
      <c r="AF1285" s="2361"/>
      <c r="AG1285" s="2361"/>
      <c r="AH1285" s="2361"/>
      <c r="AI1285" s="2361"/>
      <c r="AJ1285" s="2361"/>
      <c r="AK1285" s="2361"/>
      <c r="AL1285" s="2361"/>
      <c r="AM1285" s="2361"/>
      <c r="AN1285" s="2361"/>
      <c r="AO1285" s="2361"/>
      <c r="AP1285" s="2361"/>
      <c r="AQ1285" s="2361"/>
      <c r="AR1285" s="2361"/>
    </row>
    <row r="1286" spans="1:44" ht="12" customHeight="1">
      <c r="A1286" s="2342"/>
      <c r="B1286" s="2331"/>
      <c r="C1286" s="2331"/>
      <c r="D1286" s="2331"/>
      <c r="E1286" s="807" t="s">
        <v>3388</v>
      </c>
      <c r="F1286" s="362"/>
      <c r="G1286" s="362"/>
      <c r="K1286" s="359"/>
      <c r="M1286" s="362"/>
      <c r="N1286" s="2376"/>
      <c r="O1286" s="2342" t="s">
        <v>1617</v>
      </c>
      <c r="P1286" s="2344">
        <f>'Part VII-Threshold Criteria'!P248</f>
        <v>0</v>
      </c>
      <c r="Q1286" s="2243"/>
      <c r="S1286" s="2361"/>
      <c r="T1286" s="2361"/>
      <c r="U1286" s="2361"/>
      <c r="V1286" s="2361"/>
      <c r="W1286" s="2361"/>
      <c r="X1286" s="2361"/>
      <c r="Y1286" s="2361"/>
      <c r="Z1286" s="2361"/>
      <c r="AA1286" s="2361"/>
      <c r="AB1286" s="2361"/>
      <c r="AC1286" s="2361"/>
      <c r="AD1286" s="2361"/>
      <c r="AE1286" s="2361"/>
      <c r="AF1286" s="2361"/>
      <c r="AG1286" s="2361"/>
      <c r="AH1286" s="2361"/>
      <c r="AI1286" s="2361"/>
      <c r="AJ1286" s="2361"/>
      <c r="AK1286" s="2361"/>
      <c r="AL1286" s="2361"/>
      <c r="AM1286" s="2361"/>
      <c r="AN1286" s="2361"/>
      <c r="AO1286" s="2361"/>
      <c r="AP1286" s="2361"/>
      <c r="AQ1286" s="2361"/>
      <c r="AR1286" s="2361"/>
    </row>
    <row r="1287" spans="1:44" ht="12" customHeight="1">
      <c r="A1287" s="2342"/>
      <c r="B1287" s="2331"/>
      <c r="C1287" s="2331"/>
      <c r="D1287" s="2331"/>
      <c r="E1287" s="807" t="s">
        <v>3389</v>
      </c>
      <c r="F1287" s="362"/>
      <c r="G1287" s="362"/>
      <c r="K1287" s="359"/>
      <c r="M1287" s="362"/>
      <c r="N1287" s="2376"/>
      <c r="O1287" s="2342" t="s">
        <v>2183</v>
      </c>
      <c r="P1287" s="2344">
        <f>'Part VII-Threshold Criteria'!P249</f>
        <v>0</v>
      </c>
      <c r="Q1287" s="2243"/>
      <c r="S1287" s="2361"/>
      <c r="T1287" s="2361"/>
      <c r="U1287" s="2361"/>
      <c r="V1287" s="2361"/>
      <c r="W1287" s="2361"/>
      <c r="X1287" s="2361"/>
      <c r="Y1287" s="2361"/>
      <c r="Z1287" s="2361"/>
      <c r="AA1287" s="2361"/>
      <c r="AB1287" s="2361"/>
      <c r="AC1287" s="2361"/>
      <c r="AD1287" s="2361"/>
      <c r="AE1287" s="2361"/>
      <c r="AF1287" s="2361"/>
      <c r="AG1287" s="2361"/>
      <c r="AH1287" s="2361"/>
      <c r="AI1287" s="2361"/>
      <c r="AJ1287" s="2361"/>
      <c r="AK1287" s="2361"/>
      <c r="AL1287" s="2361"/>
      <c r="AM1287" s="2361"/>
      <c r="AN1287" s="2361"/>
      <c r="AO1287" s="2361"/>
      <c r="AP1287" s="2361"/>
      <c r="AQ1287" s="2361"/>
      <c r="AR1287" s="2361"/>
    </row>
    <row r="1288" spans="1:44">
      <c r="D1288" s="2325"/>
      <c r="E1288" s="1889" t="s">
        <v>6872</v>
      </c>
      <c r="F1288" s="2331"/>
      <c r="G1288" s="2331"/>
      <c r="H1288" s="2331"/>
      <c r="I1288" s="2331"/>
      <c r="J1288" s="2331"/>
      <c r="K1288" s="2331"/>
      <c r="L1288" s="2331"/>
      <c r="M1288" s="2331"/>
      <c r="N1288" s="2331"/>
      <c r="O1288" s="2336" t="s">
        <v>1449</v>
      </c>
      <c r="P1288" s="2355">
        <f>'Part VII-Threshold Criteria'!P250</f>
        <v>0</v>
      </c>
      <c r="Q1288" s="2337"/>
      <c r="S1288" s="2361"/>
      <c r="T1288" s="2361"/>
      <c r="U1288" s="2361"/>
      <c r="V1288" s="2361"/>
      <c r="W1288" s="2361"/>
      <c r="X1288" s="2361"/>
      <c r="Y1288" s="2361"/>
      <c r="Z1288" s="2361"/>
      <c r="AA1288" s="2361"/>
      <c r="AB1288" s="2361"/>
      <c r="AC1288" s="2361"/>
      <c r="AD1288" s="2361"/>
      <c r="AE1288" s="2361"/>
      <c r="AF1288" s="2361"/>
      <c r="AG1288" s="2361"/>
      <c r="AH1288" s="2361"/>
      <c r="AI1288" s="2361"/>
      <c r="AJ1288" s="2361"/>
      <c r="AK1288" s="2361"/>
      <c r="AL1288" s="2361"/>
      <c r="AM1288" s="2361"/>
      <c r="AN1288" s="2361"/>
      <c r="AO1288" s="2361"/>
      <c r="AP1288" s="2361"/>
      <c r="AQ1288" s="2361"/>
      <c r="AR1288" s="2361"/>
    </row>
    <row r="1289" spans="1:44" ht="12" customHeight="1">
      <c r="B1289" s="2268" t="s">
        <v>3243</v>
      </c>
      <c r="D1289" s="2268"/>
      <c r="E1289" s="2268"/>
      <c r="F1289" s="2268"/>
      <c r="G1289" s="2268"/>
      <c r="H1289" s="1875"/>
      <c r="I1289" s="2243"/>
      <c r="J1289" s="2243"/>
      <c r="K1289" s="2243"/>
      <c r="L1289" s="1902"/>
      <c r="M1289" s="1902"/>
      <c r="N1289" s="1902"/>
      <c r="O1289" s="1902"/>
      <c r="P1289" s="1902"/>
      <c r="Q1289" s="1902"/>
      <c r="S1289" s="2361"/>
      <c r="T1289" s="2361"/>
      <c r="U1289" s="2361"/>
      <c r="V1289" s="2361"/>
      <c r="W1289" s="2361"/>
      <c r="X1289" s="2361"/>
      <c r="Y1289" s="2361"/>
      <c r="Z1289" s="2361"/>
      <c r="AA1289" s="2361"/>
      <c r="AB1289" s="2361"/>
      <c r="AC1289" s="2361"/>
      <c r="AD1289" s="2361"/>
      <c r="AE1289" s="2361"/>
      <c r="AF1289" s="2361"/>
      <c r="AG1289" s="2361"/>
      <c r="AH1289" s="2361"/>
      <c r="AI1289" s="2361"/>
      <c r="AJ1289" s="2361"/>
      <c r="AK1289" s="2361"/>
      <c r="AL1289" s="2361"/>
      <c r="AM1289" s="2361"/>
      <c r="AN1289" s="2361"/>
      <c r="AO1289" s="2361"/>
      <c r="AP1289" s="2361"/>
      <c r="AQ1289" s="2361"/>
      <c r="AR1289" s="2361"/>
    </row>
    <row r="1290" spans="1:44" ht="12" customHeight="1">
      <c r="A1290" s="2327" t="str">
        <f>'Part VII-Threshold Criteria'!A252</f>
        <v>N/A- This appliction is a new construction RAD Preservation.</v>
      </c>
      <c r="B1290" s="2327"/>
      <c r="C1290" s="2327"/>
      <c r="D1290" s="2327"/>
      <c r="E1290" s="2327"/>
      <c r="F1290" s="2327"/>
      <c r="G1290" s="2327"/>
      <c r="H1290" s="2327"/>
      <c r="I1290" s="2327"/>
      <c r="J1290" s="2327"/>
      <c r="K1290" s="2327"/>
      <c r="L1290" s="2327"/>
      <c r="M1290" s="2327"/>
      <c r="N1290" s="2327"/>
      <c r="O1290" s="2327"/>
      <c r="P1290" s="2327"/>
      <c r="Q1290" s="2327"/>
      <c r="R1290" s="2017" t="s">
        <v>1181</v>
      </c>
      <c r="S1290" s="2368"/>
      <c r="T1290" s="2361"/>
      <c r="U1290" s="2282"/>
      <c r="V1290" s="2282"/>
      <c r="W1290" s="2282"/>
      <c r="X1290" s="2282"/>
      <c r="Y1290" s="2282"/>
      <c r="Z1290" s="2282"/>
      <c r="AA1290" s="2282"/>
      <c r="AB1290" s="2282"/>
      <c r="AC1290" s="2282"/>
      <c r="AD1290" s="2282"/>
      <c r="AE1290" s="2282"/>
      <c r="AF1290" s="2361"/>
      <c r="AG1290" s="2361"/>
      <c r="AH1290" s="2361"/>
      <c r="AI1290" s="2361"/>
      <c r="AJ1290" s="2361"/>
      <c r="AK1290" s="2361"/>
      <c r="AL1290" s="2361"/>
      <c r="AM1290" s="2361"/>
      <c r="AN1290" s="2361"/>
      <c r="AO1290" s="2361"/>
      <c r="AP1290" s="2361"/>
      <c r="AQ1290" s="2361"/>
      <c r="AR1290" s="2361"/>
    </row>
    <row r="1291" spans="1:44" ht="12" customHeight="1">
      <c r="B1291" s="2328" t="s">
        <v>1730</v>
      </c>
      <c r="C1291" s="2329"/>
      <c r="D1291" s="2330"/>
      <c r="E1291" s="2330"/>
      <c r="F1291" s="2330"/>
      <c r="G1291" s="2330"/>
      <c r="H1291" s="2330"/>
      <c r="I1291" s="2330"/>
      <c r="J1291" s="2330"/>
      <c r="K1291" s="2330"/>
      <c r="L1291" s="2330"/>
      <c r="M1291" s="2330"/>
      <c r="N1291" s="2330"/>
      <c r="O1291" s="2330"/>
      <c r="P1291" s="2330"/>
      <c r="Q1291" s="2330"/>
      <c r="S1291" s="2361"/>
      <c r="T1291" s="2361"/>
      <c r="U1291" s="2361"/>
      <c r="V1291" s="2361"/>
      <c r="W1291" s="2361"/>
      <c r="X1291" s="2361"/>
      <c r="Y1291" s="2361"/>
      <c r="Z1291" s="2361"/>
      <c r="AA1291" s="2361"/>
      <c r="AB1291" s="2361"/>
      <c r="AC1291" s="2361"/>
      <c r="AD1291" s="2361"/>
      <c r="AE1291" s="2361"/>
      <c r="AF1291" s="2361"/>
      <c r="AG1291" s="2361"/>
      <c r="AH1291" s="2361"/>
      <c r="AI1291" s="2361"/>
      <c r="AJ1291" s="2361"/>
      <c r="AK1291" s="2361"/>
      <c r="AL1291" s="2361"/>
      <c r="AM1291" s="2361"/>
      <c r="AN1291" s="2361"/>
      <c r="AO1291" s="2361"/>
      <c r="AP1291" s="2361"/>
      <c r="AQ1291" s="2361"/>
      <c r="AR1291" s="2361"/>
    </row>
    <row r="1292" spans="1:44" ht="12" customHeight="1">
      <c r="A1292" s="2331"/>
      <c r="B1292" s="2331"/>
      <c r="C1292" s="2331"/>
      <c r="D1292" s="2331"/>
      <c r="E1292" s="2331"/>
      <c r="F1292" s="2331"/>
      <c r="G1292" s="2331"/>
      <c r="H1292" s="2331"/>
      <c r="I1292" s="2331"/>
      <c r="J1292" s="2331"/>
      <c r="K1292" s="2331"/>
      <c r="L1292" s="2331"/>
      <c r="M1292" s="2331"/>
      <c r="N1292" s="2331"/>
      <c r="O1292" s="2331"/>
      <c r="P1292" s="2331"/>
      <c r="Q1292" s="2331"/>
      <c r="S1292" s="2361"/>
      <c r="T1292" s="2361"/>
      <c r="U1292" s="2361"/>
      <c r="V1292" s="2361"/>
      <c r="W1292" s="2361"/>
      <c r="X1292" s="2361"/>
      <c r="Y1292" s="2361"/>
      <c r="Z1292" s="2361"/>
      <c r="AA1292" s="2361"/>
      <c r="AB1292" s="2361"/>
      <c r="AC1292" s="2361"/>
      <c r="AD1292" s="2361"/>
      <c r="AE1292" s="2361"/>
      <c r="AF1292" s="2361"/>
      <c r="AG1292" s="2361"/>
      <c r="AH1292" s="2361"/>
      <c r="AI1292" s="2361"/>
      <c r="AJ1292" s="2361"/>
      <c r="AK1292" s="2361"/>
      <c r="AL1292" s="2361"/>
      <c r="AM1292" s="2361"/>
      <c r="AN1292" s="2361"/>
      <c r="AO1292" s="2361"/>
      <c r="AP1292" s="2361"/>
      <c r="AQ1292" s="2361"/>
      <c r="AR1292" s="2361"/>
    </row>
    <row r="1293" spans="1:44" ht="3" customHeight="1">
      <c r="A1293" s="1902"/>
      <c r="B1293" s="2243"/>
      <c r="C1293" s="2330"/>
      <c r="D1293" s="2330"/>
      <c r="E1293" s="2330"/>
      <c r="F1293" s="2330"/>
      <c r="G1293" s="2330"/>
      <c r="H1293" s="2330"/>
      <c r="I1293" s="2330"/>
      <c r="J1293" s="2330"/>
      <c r="K1293" s="2330"/>
      <c r="L1293" s="2330"/>
      <c r="M1293" s="2330"/>
      <c r="Q1293" s="1902"/>
      <c r="S1293" s="2361"/>
      <c r="T1293" s="2361"/>
      <c r="U1293" s="2361"/>
      <c r="V1293" s="2361"/>
      <c r="W1293" s="2361"/>
      <c r="X1293" s="2361"/>
      <c r="Y1293" s="2361"/>
      <c r="Z1293" s="2361"/>
      <c r="AA1293" s="2361"/>
      <c r="AB1293" s="2361"/>
      <c r="AC1293" s="2361"/>
      <c r="AD1293" s="2361"/>
      <c r="AE1293" s="2361"/>
      <c r="AF1293" s="2361"/>
      <c r="AG1293" s="2361"/>
      <c r="AH1293" s="2361"/>
      <c r="AI1293" s="2361"/>
      <c r="AJ1293" s="2361"/>
      <c r="AK1293" s="2361"/>
      <c r="AL1293" s="2361"/>
      <c r="AM1293" s="2361"/>
      <c r="AN1293" s="2361"/>
      <c r="AO1293" s="2361"/>
      <c r="AP1293" s="2361"/>
      <c r="AQ1293" s="2361"/>
      <c r="AR1293" s="2361"/>
    </row>
    <row r="1294" spans="1:44" ht="14.1" customHeight="1">
      <c r="A1294" s="2206" t="s">
        <v>3374</v>
      </c>
      <c r="B1294" s="359" t="s">
        <v>2432</v>
      </c>
      <c r="C1294" s="359"/>
      <c r="D1294" s="362"/>
      <c r="E1294" s="362"/>
      <c r="F1294" s="362"/>
      <c r="G1294" s="362"/>
      <c r="H1294" s="2330"/>
      <c r="I1294" s="2330"/>
      <c r="J1294" s="2330"/>
      <c r="K1294" s="2330"/>
      <c r="L1294" s="2330"/>
      <c r="M1294" s="2330"/>
      <c r="O1294" s="2325" t="s">
        <v>1731</v>
      </c>
      <c r="P1294" s="1505"/>
      <c r="Q1294" s="1505"/>
      <c r="S1294" s="2361"/>
      <c r="T1294" s="2361"/>
      <c r="U1294" s="2361"/>
      <c r="V1294" s="2361"/>
      <c r="W1294" s="2361"/>
      <c r="X1294" s="2361"/>
      <c r="Y1294" s="2361"/>
      <c r="Z1294" s="2361"/>
      <c r="AA1294" s="2361"/>
      <c r="AB1294" s="2361"/>
      <c r="AC1294" s="2361"/>
      <c r="AD1294" s="2361"/>
      <c r="AE1294" s="2361"/>
      <c r="AF1294" s="2361"/>
      <c r="AG1294" s="2361"/>
      <c r="AH1294" s="2361"/>
      <c r="AI1294" s="2361"/>
      <c r="AJ1294" s="2361"/>
      <c r="AK1294" s="2361"/>
      <c r="AL1294" s="2361"/>
      <c r="AM1294" s="2361"/>
      <c r="AN1294" s="2361"/>
      <c r="AO1294" s="2361"/>
      <c r="AP1294" s="2361"/>
      <c r="AQ1294" s="2361"/>
      <c r="AR1294" s="2361"/>
    </row>
    <row r="1295" spans="1:44" s="2265" customFormat="1">
      <c r="A1295" s="2336" t="s">
        <v>1842</v>
      </c>
      <c r="B1295" s="2330" t="s">
        <v>1615</v>
      </c>
      <c r="C1295" s="1889" t="s">
        <v>4035</v>
      </c>
      <c r="D1295" s="2331"/>
      <c r="E1295" s="2331"/>
      <c r="F1295" s="2331"/>
      <c r="G1295" s="2331"/>
      <c r="H1295" s="2331"/>
      <c r="I1295" s="2331"/>
      <c r="J1295" s="2331"/>
      <c r="K1295" s="2331"/>
      <c r="L1295" s="2331"/>
      <c r="M1295" s="2331"/>
      <c r="N1295" s="2331"/>
      <c r="O1295" s="2325" t="s">
        <v>1392</v>
      </c>
      <c r="P1295" s="2355" t="str">
        <f>'Part VII-Threshold Criteria'!P257</f>
        <v>Yes</v>
      </c>
      <c r="Q1295" s="2337"/>
      <c r="S1295" s="2372"/>
      <c r="T1295" s="2372"/>
      <c r="U1295" s="2372"/>
      <c r="V1295" s="2372"/>
      <c r="W1295" s="2372"/>
      <c r="X1295" s="2372"/>
      <c r="Y1295" s="2372"/>
      <c r="Z1295" s="2372"/>
      <c r="AA1295" s="2372"/>
      <c r="AB1295" s="2372"/>
      <c r="AC1295" s="2372"/>
      <c r="AD1295" s="2372"/>
      <c r="AE1295" s="2372"/>
      <c r="AF1295" s="2372"/>
      <c r="AG1295" s="2372"/>
      <c r="AH1295" s="2372"/>
      <c r="AI1295" s="2372"/>
      <c r="AJ1295" s="2372"/>
      <c r="AK1295" s="2372"/>
      <c r="AL1295" s="2372"/>
      <c r="AM1295" s="2372"/>
      <c r="AN1295" s="2372"/>
      <c r="AO1295" s="2372"/>
      <c r="AP1295" s="2372"/>
      <c r="AQ1295" s="2372"/>
      <c r="AR1295" s="2372"/>
    </row>
    <row r="1296" spans="1:44" ht="11.45" customHeight="1">
      <c r="A1296" s="2342"/>
      <c r="B1296" s="2330" t="s">
        <v>1616</v>
      </c>
      <c r="C1296" s="362" t="s">
        <v>3245</v>
      </c>
      <c r="D1296" s="362"/>
      <c r="E1296" s="362"/>
      <c r="F1296" s="362"/>
      <c r="G1296" s="362"/>
      <c r="H1296" s="362"/>
      <c r="I1296" s="362"/>
      <c r="J1296" s="362"/>
      <c r="K1296" s="362"/>
      <c r="L1296" s="362"/>
      <c r="M1296" s="362"/>
      <c r="O1296" s="2325" t="s">
        <v>1616</v>
      </c>
      <c r="P1296" s="2344" t="str">
        <f>'Part VII-Threshold Criteria'!P258</f>
        <v>Yes</v>
      </c>
      <c r="Q1296" s="2243"/>
      <c r="S1296" s="2361"/>
      <c r="T1296" s="2361"/>
      <c r="U1296" s="2361"/>
      <c r="V1296" s="2361"/>
      <c r="W1296" s="2361"/>
      <c r="X1296" s="2361"/>
      <c r="Y1296" s="2361"/>
      <c r="Z1296" s="2361"/>
      <c r="AA1296" s="2361"/>
      <c r="AB1296" s="2361"/>
      <c r="AC1296" s="2361"/>
      <c r="AD1296" s="2361"/>
      <c r="AE1296" s="2361"/>
      <c r="AF1296" s="2361"/>
      <c r="AG1296" s="2361"/>
      <c r="AH1296" s="2361"/>
      <c r="AI1296" s="2361"/>
      <c r="AJ1296" s="2361"/>
      <c r="AK1296" s="2361"/>
      <c r="AL1296" s="2361"/>
      <c r="AM1296" s="2361"/>
      <c r="AN1296" s="2361"/>
      <c r="AO1296" s="2361"/>
      <c r="AP1296" s="2361"/>
      <c r="AQ1296" s="2361"/>
      <c r="AR1296" s="2361"/>
    </row>
    <row r="1297" spans="1:44" ht="11.45" customHeight="1">
      <c r="A1297" s="2342" t="s">
        <v>1844</v>
      </c>
      <c r="B1297" s="362" t="s">
        <v>3246</v>
      </c>
      <c r="D1297" s="362"/>
      <c r="E1297" s="362"/>
      <c r="F1297" s="362"/>
      <c r="G1297" s="362"/>
      <c r="H1297" s="362"/>
      <c r="I1297" s="362"/>
      <c r="J1297" s="362"/>
      <c r="K1297" s="362"/>
      <c r="L1297" s="362"/>
      <c r="M1297" s="362"/>
      <c r="O1297" s="2342" t="s">
        <v>1844</v>
      </c>
      <c r="P1297" s="2344" t="str">
        <f>'Part VII-Threshold Criteria'!P259</f>
        <v>Yes</v>
      </c>
      <c r="Q1297" s="2243"/>
      <c r="S1297" s="2361"/>
      <c r="T1297" s="2361"/>
      <c r="U1297" s="2361"/>
      <c r="V1297" s="2361"/>
      <c r="W1297" s="2361"/>
      <c r="X1297" s="2361"/>
      <c r="Y1297" s="2361"/>
      <c r="Z1297" s="2361"/>
      <c r="AA1297" s="2361"/>
      <c r="AB1297" s="2361"/>
      <c r="AC1297" s="2361"/>
      <c r="AD1297" s="2361"/>
      <c r="AE1297" s="2361"/>
      <c r="AF1297" s="2361"/>
      <c r="AG1297" s="2361"/>
      <c r="AH1297" s="2361"/>
      <c r="AI1297" s="2361"/>
      <c r="AJ1297" s="2361"/>
      <c r="AK1297" s="2361"/>
      <c r="AL1297" s="2361"/>
      <c r="AM1297" s="2361"/>
      <c r="AN1297" s="2361"/>
      <c r="AO1297" s="2361"/>
      <c r="AP1297" s="2361"/>
      <c r="AQ1297" s="2361"/>
      <c r="AR1297" s="2361"/>
    </row>
    <row r="1298" spans="1:44" s="2265" customFormat="1">
      <c r="A1298" s="2336" t="s">
        <v>698</v>
      </c>
      <c r="B1298" s="2330" t="s">
        <v>1615</v>
      </c>
      <c r="C1298" s="1889" t="s">
        <v>4061</v>
      </c>
      <c r="D1298" s="2331"/>
      <c r="E1298" s="2331"/>
      <c r="F1298" s="2331"/>
      <c r="G1298" s="2331"/>
      <c r="H1298" s="2331"/>
      <c r="I1298" s="2331"/>
      <c r="J1298" s="2331"/>
      <c r="K1298" s="2331"/>
      <c r="L1298" s="2331"/>
      <c r="M1298" s="2331"/>
      <c r="N1298" s="2331"/>
      <c r="O1298" s="2325" t="s">
        <v>4062</v>
      </c>
      <c r="P1298" s="2355" t="str">
        <f>'Part VII-Threshold Criteria'!P260</f>
        <v>Yes</v>
      </c>
      <c r="Q1298" s="2337"/>
      <c r="S1298" s="2372"/>
      <c r="T1298" s="2372"/>
      <c r="U1298" s="2372"/>
      <c r="V1298" s="2372"/>
      <c r="W1298" s="2372"/>
      <c r="X1298" s="2372"/>
      <c r="Y1298" s="2372"/>
      <c r="Z1298" s="2372"/>
      <c r="AA1298" s="2372"/>
      <c r="AB1298" s="2372"/>
      <c r="AC1298" s="2372"/>
      <c r="AD1298" s="2372"/>
      <c r="AE1298" s="2372"/>
      <c r="AF1298" s="2372"/>
      <c r="AG1298" s="2372"/>
      <c r="AH1298" s="2372"/>
      <c r="AI1298" s="2372"/>
      <c r="AJ1298" s="2372"/>
      <c r="AK1298" s="2372"/>
      <c r="AL1298" s="2372"/>
      <c r="AM1298" s="2372"/>
      <c r="AN1298" s="2372"/>
      <c r="AO1298" s="2372"/>
      <c r="AP1298" s="2372"/>
      <c r="AQ1298" s="2372"/>
      <c r="AR1298" s="2372"/>
    </row>
    <row r="1299" spans="1:44" ht="11.45" customHeight="1">
      <c r="A1299" s="2342"/>
      <c r="B1299" s="2330" t="s">
        <v>1616</v>
      </c>
      <c r="C1299" s="362" t="s">
        <v>3247</v>
      </c>
      <c r="D1299" s="362"/>
      <c r="E1299" s="362"/>
      <c r="F1299" s="362"/>
      <c r="G1299" s="362"/>
      <c r="H1299" s="362"/>
      <c r="I1299" s="362"/>
      <c r="J1299" s="362"/>
      <c r="K1299" s="362"/>
      <c r="L1299" s="362"/>
      <c r="M1299" s="362"/>
      <c r="O1299" s="2325" t="s">
        <v>1616</v>
      </c>
      <c r="P1299" s="2344" t="str">
        <f>'Part VII-Threshold Criteria'!P261</f>
        <v>Yes</v>
      </c>
      <c r="Q1299" s="2243"/>
      <c r="S1299" s="2361"/>
      <c r="T1299" s="2361"/>
      <c r="U1299" s="2361"/>
      <c r="V1299" s="2361"/>
      <c r="W1299" s="2361"/>
      <c r="X1299" s="2361"/>
      <c r="Y1299" s="2361"/>
      <c r="Z1299" s="2361"/>
      <c r="AA1299" s="2361"/>
      <c r="AB1299" s="2361"/>
      <c r="AC1299" s="2361"/>
      <c r="AD1299" s="2361"/>
      <c r="AE1299" s="2361"/>
      <c r="AF1299" s="2361"/>
      <c r="AG1299" s="2361"/>
      <c r="AH1299" s="2361"/>
      <c r="AI1299" s="2361"/>
      <c r="AJ1299" s="2361"/>
      <c r="AK1299" s="2361"/>
      <c r="AL1299" s="2361"/>
      <c r="AM1299" s="2361"/>
      <c r="AN1299" s="2361"/>
      <c r="AO1299" s="2361"/>
      <c r="AP1299" s="2361"/>
      <c r="AQ1299" s="2361"/>
      <c r="AR1299" s="2361"/>
    </row>
    <row r="1300" spans="1:44">
      <c r="A1300" s="2336" t="s">
        <v>1963</v>
      </c>
      <c r="B1300" s="1889" t="s">
        <v>6127</v>
      </c>
      <c r="C1300" s="2331"/>
      <c r="D1300" s="2331"/>
      <c r="E1300" s="2331"/>
      <c r="F1300" s="2331"/>
      <c r="G1300" s="2331"/>
      <c r="H1300" s="2331"/>
      <c r="I1300" s="2331"/>
      <c r="J1300" s="2331"/>
      <c r="K1300" s="2331"/>
      <c r="L1300" s="2331"/>
      <c r="M1300" s="2331"/>
      <c r="N1300" s="2331"/>
      <c r="O1300" s="2336" t="s">
        <v>1963</v>
      </c>
      <c r="P1300" s="2355" t="str">
        <f>'Part VII-Threshold Criteria'!P262</f>
        <v>Yes</v>
      </c>
      <c r="Q1300" s="2337"/>
      <c r="S1300" s="2361"/>
      <c r="T1300" s="2361"/>
      <c r="U1300" s="2361"/>
      <c r="V1300" s="2361"/>
      <c r="W1300" s="2361"/>
      <c r="X1300" s="2361"/>
      <c r="Y1300" s="2361"/>
      <c r="Z1300" s="2361"/>
      <c r="AA1300" s="2361"/>
      <c r="AB1300" s="2361"/>
      <c r="AC1300" s="2361"/>
      <c r="AD1300" s="2361"/>
      <c r="AE1300" s="2361"/>
      <c r="AF1300" s="2361"/>
      <c r="AG1300" s="2361"/>
      <c r="AH1300" s="2361"/>
      <c r="AI1300" s="2361"/>
      <c r="AJ1300" s="2361"/>
      <c r="AK1300" s="2361"/>
      <c r="AL1300" s="2361"/>
      <c r="AM1300" s="2361"/>
      <c r="AN1300" s="2361"/>
      <c r="AO1300" s="2361"/>
      <c r="AP1300" s="2361"/>
      <c r="AQ1300" s="2361"/>
      <c r="AR1300" s="2361"/>
    </row>
    <row r="1301" spans="1:44" ht="11.25" customHeight="1">
      <c r="B1301" s="2268" t="s">
        <v>3243</v>
      </c>
      <c r="D1301" s="2268"/>
      <c r="E1301" s="2268"/>
      <c r="F1301" s="2268"/>
      <c r="G1301" s="2268"/>
      <c r="H1301" s="1875"/>
      <c r="I1301" s="2243"/>
      <c r="J1301" s="2243"/>
      <c r="K1301" s="2243"/>
      <c r="L1301" s="1902"/>
      <c r="M1301" s="1902"/>
      <c r="N1301" s="1902"/>
      <c r="O1301" s="1902"/>
      <c r="P1301" s="1902"/>
      <c r="Q1301" s="1902"/>
      <c r="S1301" s="2361"/>
      <c r="T1301" s="2361"/>
      <c r="U1301" s="2361"/>
      <c r="V1301" s="2361"/>
      <c r="W1301" s="2361"/>
      <c r="X1301" s="2361"/>
      <c r="Y1301" s="2361"/>
      <c r="Z1301" s="2361"/>
      <c r="AA1301" s="2361"/>
      <c r="AB1301" s="2361"/>
      <c r="AC1301" s="2361"/>
      <c r="AD1301" s="2361"/>
      <c r="AE1301" s="2361"/>
      <c r="AF1301" s="2361"/>
      <c r="AG1301" s="2361"/>
      <c r="AH1301" s="2361"/>
      <c r="AI1301" s="2361"/>
      <c r="AJ1301" s="2361"/>
      <c r="AK1301" s="2361"/>
      <c r="AL1301" s="2361"/>
      <c r="AM1301" s="2361"/>
      <c r="AN1301" s="2361"/>
      <c r="AO1301" s="2361"/>
      <c r="AP1301" s="2361"/>
      <c r="AQ1301" s="2361"/>
      <c r="AR1301" s="2361"/>
    </row>
    <row r="1302" spans="1:44" ht="13.35" customHeight="1">
      <c r="A1302" s="2327" t="str">
        <f>'Part VII-Threshold Criteria'!A264</f>
        <v>Conceptual Site Plans have been completed and circulated to architect who is working to finalize the development plans with the civil engineer.  Project is expected to be submitted for final plan approval by August 1, 2023.</v>
      </c>
      <c r="B1302" s="2327"/>
      <c r="C1302" s="2327"/>
      <c r="D1302" s="2327"/>
      <c r="E1302" s="2327"/>
      <c r="F1302" s="2327"/>
      <c r="G1302" s="2327"/>
      <c r="H1302" s="2327"/>
      <c r="I1302" s="2327"/>
      <c r="J1302" s="2327"/>
      <c r="K1302" s="2327"/>
      <c r="L1302" s="2327"/>
      <c r="M1302" s="2327"/>
      <c r="N1302" s="2327"/>
      <c r="O1302" s="2327"/>
      <c r="P1302" s="2327"/>
      <c r="Q1302" s="2327"/>
      <c r="R1302" s="2017" t="s">
        <v>1181</v>
      </c>
      <c r="S1302" s="2368"/>
      <c r="T1302" s="2361"/>
      <c r="U1302" s="2282"/>
      <c r="V1302" s="2282"/>
      <c r="W1302" s="2282"/>
      <c r="X1302" s="2282"/>
      <c r="Y1302" s="2282"/>
      <c r="Z1302" s="2282"/>
      <c r="AA1302" s="2282"/>
      <c r="AB1302" s="2282"/>
      <c r="AC1302" s="2282"/>
      <c r="AD1302" s="2282"/>
      <c r="AE1302" s="2282"/>
      <c r="AF1302" s="2361"/>
      <c r="AG1302" s="2361"/>
      <c r="AH1302" s="2361"/>
      <c r="AI1302" s="2361"/>
      <c r="AJ1302" s="2361"/>
      <c r="AK1302" s="2361"/>
      <c r="AL1302" s="2361"/>
      <c r="AM1302" s="2361"/>
      <c r="AN1302" s="2361"/>
      <c r="AO1302" s="2361"/>
      <c r="AP1302" s="2361"/>
      <c r="AQ1302" s="2361"/>
      <c r="AR1302" s="2361"/>
    </row>
    <row r="1303" spans="1:44" ht="11.25" customHeight="1">
      <c r="B1303" s="2328" t="s">
        <v>1730</v>
      </c>
      <c r="C1303" s="2329"/>
      <c r="D1303" s="2330"/>
      <c r="E1303" s="2330"/>
      <c r="F1303" s="2330"/>
      <c r="G1303" s="2330"/>
      <c r="H1303" s="2330"/>
      <c r="I1303" s="2330"/>
      <c r="J1303" s="2330"/>
      <c r="K1303" s="2330"/>
      <c r="L1303" s="2330"/>
      <c r="M1303" s="2330"/>
      <c r="N1303" s="2330"/>
      <c r="O1303" s="2330"/>
      <c r="P1303" s="2330"/>
      <c r="Q1303" s="2330"/>
      <c r="S1303" s="2361"/>
      <c r="T1303" s="2361"/>
      <c r="U1303" s="2361"/>
      <c r="V1303" s="2361"/>
      <c r="W1303" s="2361"/>
      <c r="X1303" s="2361"/>
      <c r="Y1303" s="2361"/>
      <c r="Z1303" s="2361"/>
      <c r="AA1303" s="2361"/>
      <c r="AB1303" s="2361"/>
      <c r="AC1303" s="2361"/>
      <c r="AD1303" s="2361"/>
      <c r="AE1303" s="2361"/>
      <c r="AF1303" s="2361"/>
      <c r="AG1303" s="2361"/>
      <c r="AH1303" s="2361"/>
      <c r="AI1303" s="2361"/>
      <c r="AJ1303" s="2361"/>
      <c r="AK1303" s="2361"/>
      <c r="AL1303" s="2361"/>
      <c r="AM1303" s="2361"/>
      <c r="AN1303" s="2361"/>
      <c r="AO1303" s="2361"/>
      <c r="AP1303" s="2361"/>
      <c r="AQ1303" s="2361"/>
      <c r="AR1303" s="2361"/>
    </row>
    <row r="1304" spans="1:44" ht="13.35" customHeight="1">
      <c r="A1304" s="2331"/>
      <c r="B1304" s="2331"/>
      <c r="C1304" s="2331"/>
      <c r="D1304" s="2331"/>
      <c r="E1304" s="2331"/>
      <c r="F1304" s="2331"/>
      <c r="G1304" s="2331"/>
      <c r="H1304" s="2331"/>
      <c r="I1304" s="2331"/>
      <c r="J1304" s="2331"/>
      <c r="K1304" s="2331"/>
      <c r="L1304" s="2331"/>
      <c r="M1304" s="2331"/>
      <c r="N1304" s="2331"/>
      <c r="O1304" s="2331"/>
      <c r="P1304" s="2331"/>
      <c r="Q1304" s="2331"/>
      <c r="S1304" s="2361"/>
      <c r="T1304" s="2361"/>
      <c r="U1304" s="2361"/>
      <c r="V1304" s="2361"/>
      <c r="W1304" s="2361"/>
      <c r="X1304" s="2361"/>
      <c r="Y1304" s="2361"/>
      <c r="Z1304" s="2361"/>
      <c r="AA1304" s="2361"/>
      <c r="AB1304" s="2361"/>
      <c r="AC1304" s="2361"/>
      <c r="AD1304" s="2361"/>
      <c r="AE1304" s="2361"/>
      <c r="AF1304" s="2361"/>
      <c r="AG1304" s="2361"/>
      <c r="AH1304" s="2361"/>
      <c r="AI1304" s="2361"/>
      <c r="AJ1304" s="2361"/>
      <c r="AK1304" s="2361"/>
      <c r="AL1304" s="2361"/>
      <c r="AM1304" s="2361"/>
      <c r="AN1304" s="2361"/>
      <c r="AO1304" s="2361"/>
      <c r="AP1304" s="2361"/>
      <c r="AQ1304" s="2361"/>
      <c r="AR1304" s="2361"/>
    </row>
    <row r="1305" spans="1:44" ht="3" customHeight="1">
      <c r="S1305" s="2361"/>
      <c r="T1305" s="2361"/>
      <c r="U1305" s="2361"/>
      <c r="V1305" s="2361"/>
      <c r="W1305" s="2361"/>
      <c r="X1305" s="2361"/>
      <c r="Y1305" s="2361"/>
      <c r="Z1305" s="2361"/>
      <c r="AA1305" s="2361"/>
      <c r="AB1305" s="2361"/>
      <c r="AC1305" s="2361"/>
      <c r="AD1305" s="2361"/>
      <c r="AE1305" s="2361"/>
      <c r="AF1305" s="2361"/>
      <c r="AG1305" s="2361"/>
      <c r="AH1305" s="2361"/>
      <c r="AI1305" s="2361"/>
      <c r="AJ1305" s="2361"/>
      <c r="AK1305" s="2361"/>
      <c r="AL1305" s="2361"/>
      <c r="AM1305" s="2361"/>
      <c r="AN1305" s="2361"/>
      <c r="AO1305" s="2361"/>
      <c r="AP1305" s="2361"/>
      <c r="AQ1305" s="2361"/>
      <c r="AR1305" s="2361"/>
    </row>
    <row r="1306" spans="1:44" ht="14.1" customHeight="1">
      <c r="A1306" s="2206" t="s">
        <v>3375</v>
      </c>
      <c r="B1306" s="2206" t="s">
        <v>2433</v>
      </c>
      <c r="C1306" s="2206"/>
      <c r="D1306" s="2330"/>
      <c r="E1306" s="2330"/>
      <c r="F1306" s="2330"/>
      <c r="G1306" s="2330"/>
      <c r="H1306" s="2330"/>
      <c r="I1306" s="2330"/>
      <c r="J1306" s="2330"/>
      <c r="K1306" s="2330"/>
      <c r="L1306" s="2330"/>
      <c r="M1306" s="2330"/>
      <c r="O1306" s="2325" t="s">
        <v>1731</v>
      </c>
      <c r="P1306" s="1505"/>
      <c r="Q1306" s="1505"/>
      <c r="S1306" s="2361"/>
      <c r="T1306" s="2361"/>
      <c r="U1306" s="2361"/>
      <c r="V1306" s="2361"/>
      <c r="W1306" s="2361"/>
      <c r="X1306" s="2361"/>
      <c r="Y1306" s="2361"/>
      <c r="Z1306" s="2361"/>
      <c r="AA1306" s="2361"/>
      <c r="AB1306" s="2361"/>
      <c r="AC1306" s="2361"/>
      <c r="AD1306" s="2361"/>
      <c r="AE1306" s="2361"/>
      <c r="AF1306" s="2361"/>
      <c r="AG1306" s="2361"/>
      <c r="AH1306" s="2361"/>
      <c r="AI1306" s="2361"/>
      <c r="AJ1306" s="2361"/>
      <c r="AK1306" s="2361"/>
      <c r="AL1306" s="2361"/>
      <c r="AM1306" s="2361"/>
      <c r="AN1306" s="2361"/>
      <c r="AO1306" s="2361"/>
      <c r="AP1306" s="2361"/>
      <c r="AQ1306" s="2361"/>
      <c r="AR1306" s="2361"/>
    </row>
    <row r="1307" spans="1:44" ht="11.45" customHeight="1">
      <c r="B1307" s="807" t="s">
        <v>6202</v>
      </c>
      <c r="N1307" s="1750"/>
      <c r="P1307" s="2344" t="str">
        <f>'Part VII-Threshold Criteria'!P269</f>
        <v>No</v>
      </c>
      <c r="Q1307" s="2243"/>
      <c r="S1307" s="2361"/>
      <c r="T1307" s="2361"/>
      <c r="U1307" s="2361"/>
      <c r="V1307" s="2361"/>
      <c r="W1307" s="2361"/>
      <c r="X1307" s="2361"/>
      <c r="Y1307" s="2361"/>
      <c r="Z1307" s="2361"/>
      <c r="AA1307" s="2361"/>
      <c r="AB1307" s="2361"/>
      <c r="AC1307" s="2361"/>
      <c r="AD1307" s="2361"/>
      <c r="AE1307" s="2361"/>
      <c r="AF1307" s="2361"/>
      <c r="AG1307" s="2361"/>
      <c r="AH1307" s="2361"/>
      <c r="AI1307" s="2361"/>
      <c r="AJ1307" s="2361"/>
      <c r="AK1307" s="2361"/>
      <c r="AL1307" s="2361"/>
      <c r="AM1307" s="2361"/>
      <c r="AN1307" s="2361"/>
      <c r="AO1307" s="2361"/>
      <c r="AP1307" s="2361"/>
      <c r="AQ1307" s="2361"/>
      <c r="AR1307" s="2361"/>
    </row>
    <row r="1308" spans="1:44" s="359" customFormat="1" ht="11.45" customHeight="1">
      <c r="A1308" s="2342" t="s">
        <v>1842</v>
      </c>
      <c r="B1308" s="1505" t="s">
        <v>6206</v>
      </c>
      <c r="O1308" s="2336" t="s">
        <v>1842</v>
      </c>
      <c r="R1308" s="2377"/>
      <c r="S1308" s="2079"/>
      <c r="T1308" s="2079"/>
      <c r="U1308" s="2079"/>
      <c r="V1308" s="2079"/>
      <c r="W1308" s="2079"/>
      <c r="X1308" s="2079"/>
      <c r="Y1308" s="2079"/>
      <c r="Z1308" s="2079"/>
      <c r="AA1308" s="2079"/>
      <c r="AB1308" s="2079"/>
      <c r="AC1308" s="2079"/>
      <c r="AD1308" s="2079"/>
      <c r="AE1308" s="2079"/>
      <c r="AF1308" s="2079"/>
      <c r="AG1308" s="2079"/>
      <c r="AH1308" s="2079"/>
      <c r="AI1308" s="2079"/>
      <c r="AJ1308" s="2079"/>
      <c r="AK1308" s="2079"/>
      <c r="AL1308" s="2079"/>
      <c r="AM1308" s="2079"/>
      <c r="AN1308" s="2079"/>
      <c r="AO1308" s="2079"/>
      <c r="AP1308" s="2079"/>
      <c r="AQ1308" s="2079"/>
      <c r="AR1308" s="2079"/>
    </row>
    <row r="1309" spans="1:44" s="2265" customFormat="1">
      <c r="B1309" s="2331" t="s">
        <v>1615</v>
      </c>
      <c r="C1309" s="1889" t="s">
        <v>3852</v>
      </c>
      <c r="D1309" s="2331"/>
      <c r="E1309" s="2331"/>
      <c r="F1309" s="2331"/>
      <c r="G1309" s="2331"/>
      <c r="H1309" s="2331"/>
      <c r="I1309" s="2331"/>
      <c r="J1309" s="2331"/>
      <c r="K1309" s="2331"/>
      <c r="L1309" s="2331"/>
      <c r="M1309" s="2331"/>
      <c r="N1309" s="2331"/>
      <c r="O1309" s="2325" t="s">
        <v>1615</v>
      </c>
      <c r="P1309" s="2355" t="str">
        <f>'Part VII-Threshold Criteria'!P271</f>
        <v>Agree</v>
      </c>
      <c r="Q1309" s="2337"/>
      <c r="S1309" s="2372"/>
      <c r="T1309" s="2372"/>
      <c r="U1309" s="2372"/>
      <c r="V1309" s="2372"/>
      <c r="W1309" s="2372"/>
      <c r="X1309" s="2372"/>
      <c r="Y1309" s="2372"/>
      <c r="Z1309" s="2372"/>
      <c r="AA1309" s="2372"/>
      <c r="AB1309" s="2372"/>
      <c r="AC1309" s="2372"/>
      <c r="AD1309" s="2372"/>
      <c r="AE1309" s="2372"/>
      <c r="AF1309" s="2372"/>
      <c r="AG1309" s="2372"/>
      <c r="AH1309" s="2372"/>
      <c r="AI1309" s="2372"/>
      <c r="AJ1309" s="2372"/>
      <c r="AK1309" s="2372"/>
      <c r="AL1309" s="2372"/>
      <c r="AM1309" s="2372"/>
      <c r="AN1309" s="2372"/>
      <c r="AO1309" s="2372"/>
      <c r="AP1309" s="2372"/>
      <c r="AQ1309" s="2372"/>
      <c r="AR1309" s="2372"/>
    </row>
    <row r="1310" spans="1:44" s="2265" customFormat="1">
      <c r="A1310" s="2336"/>
      <c r="B1310" s="2331" t="s">
        <v>1616</v>
      </c>
      <c r="C1310" s="1889" t="s">
        <v>2510</v>
      </c>
      <c r="D1310" s="2331"/>
      <c r="E1310" s="2331"/>
      <c r="F1310" s="2331"/>
      <c r="G1310" s="2331"/>
      <c r="H1310" s="2331"/>
      <c r="I1310" s="2331"/>
      <c r="J1310" s="2331"/>
      <c r="K1310" s="2331"/>
      <c r="L1310" s="2331"/>
      <c r="M1310" s="2331"/>
      <c r="N1310" s="2331"/>
      <c r="O1310" s="2325" t="s">
        <v>1616</v>
      </c>
      <c r="P1310" s="2355" t="str">
        <f>'Part VII-Threshold Criteria'!P272</f>
        <v>Agree</v>
      </c>
      <c r="Q1310" s="2337"/>
      <c r="S1310" s="2372"/>
      <c r="T1310" s="2372"/>
      <c r="U1310" s="2372"/>
      <c r="V1310" s="2372"/>
      <c r="W1310" s="2372"/>
      <c r="X1310" s="2372"/>
      <c r="Y1310" s="2372"/>
      <c r="Z1310" s="2372"/>
      <c r="AA1310" s="2372"/>
      <c r="AB1310" s="2372"/>
      <c r="AC1310" s="2372"/>
      <c r="AD1310" s="2372"/>
      <c r="AE1310" s="2372"/>
      <c r="AF1310" s="2372"/>
      <c r="AG1310" s="2372"/>
      <c r="AH1310" s="2372"/>
      <c r="AI1310" s="2372"/>
      <c r="AJ1310" s="2372"/>
      <c r="AK1310" s="2372"/>
      <c r="AL1310" s="2372"/>
      <c r="AM1310" s="2372"/>
      <c r="AN1310" s="2372"/>
      <c r="AO1310" s="2372"/>
      <c r="AP1310" s="2372"/>
      <c r="AQ1310" s="2372"/>
      <c r="AR1310" s="2372"/>
    </row>
    <row r="1311" spans="1:44" ht="12.75" customHeight="1">
      <c r="A1311" s="2239" t="s">
        <v>1844</v>
      </c>
      <c r="B1311" s="1505" t="s">
        <v>297</v>
      </c>
      <c r="D1311" s="359"/>
      <c r="E1311" s="359"/>
      <c r="K1311" s="2342" t="s">
        <v>1844</v>
      </c>
      <c r="L1311" s="2033" t="str">
        <f>'Part VII-Threshold Criteria'!L273</f>
        <v>Earth Craft House Multifamily</v>
      </c>
      <c r="M1311" s="2033"/>
      <c r="N1311" s="2033"/>
      <c r="O1311" s="2033"/>
      <c r="P1311" s="2033"/>
      <c r="Q1311" s="2337"/>
      <c r="X1311" s="2361"/>
      <c r="Y1311" s="2361"/>
      <c r="Z1311" s="2361"/>
      <c r="AA1311" s="2361"/>
      <c r="AB1311" s="2361"/>
      <c r="AC1311" s="2361"/>
      <c r="AD1311" s="2361"/>
      <c r="AE1311" s="2361"/>
      <c r="AF1311" s="2361"/>
      <c r="AG1311" s="2361"/>
      <c r="AH1311" s="2361"/>
      <c r="AI1311" s="2361"/>
      <c r="AJ1311" s="2361"/>
      <c r="AK1311" s="2361"/>
      <c r="AL1311" s="2361"/>
      <c r="AM1311" s="2361"/>
      <c r="AN1311" s="2361"/>
      <c r="AO1311" s="2361"/>
      <c r="AP1311" s="2361"/>
      <c r="AQ1311" s="2361"/>
      <c r="AR1311" s="2361"/>
    </row>
    <row r="1312" spans="1:44" s="359" customFormat="1" ht="11.45" customHeight="1">
      <c r="A1312" s="2239" t="s">
        <v>698</v>
      </c>
      <c r="B1312" s="1505" t="s">
        <v>6205</v>
      </c>
      <c r="R1312" s="2377"/>
      <c r="S1312" s="2079"/>
      <c r="T1312" s="2079"/>
      <c r="U1312" s="2079"/>
      <c r="V1312" s="2079"/>
      <c r="W1312" s="2079"/>
      <c r="X1312" s="2079"/>
      <c r="Y1312" s="2079"/>
      <c r="Z1312" s="2079"/>
      <c r="AA1312" s="2079"/>
      <c r="AB1312" s="2079"/>
      <c r="AC1312" s="2079"/>
      <c r="AD1312" s="2079"/>
      <c r="AE1312" s="2079"/>
      <c r="AF1312" s="2079"/>
      <c r="AG1312" s="2079"/>
      <c r="AH1312" s="2079"/>
      <c r="AI1312" s="2079"/>
      <c r="AJ1312" s="2079"/>
      <c r="AK1312" s="2079"/>
      <c r="AL1312" s="2079"/>
      <c r="AM1312" s="2079"/>
      <c r="AN1312" s="2079"/>
      <c r="AO1312" s="2079"/>
      <c r="AP1312" s="2079"/>
      <c r="AQ1312" s="2079"/>
      <c r="AR1312" s="2079"/>
    </row>
    <row r="1313" spans="1:44" ht="11.45" customHeight="1">
      <c r="A1313" s="2239"/>
      <c r="B1313" s="362" t="s">
        <v>6207</v>
      </c>
      <c r="D1313" s="359"/>
      <c r="E1313" s="359"/>
      <c r="N1313" s="2378" t="s">
        <v>6208</v>
      </c>
      <c r="O1313" s="2342" t="s">
        <v>698</v>
      </c>
      <c r="P1313" s="2355" t="str">
        <f>'Part VII-Threshold Criteria'!P275</f>
        <v>Agree</v>
      </c>
      <c r="Q1313" s="2337"/>
      <c r="R1313" s="2342"/>
      <c r="S1313" s="2361"/>
      <c r="T1313" s="2361"/>
      <c r="U1313" s="2361"/>
      <c r="V1313" s="2361"/>
      <c r="W1313" s="2361"/>
      <c r="X1313" s="2361"/>
      <c r="Y1313" s="2361"/>
      <c r="Z1313" s="2361"/>
      <c r="AA1313" s="2361"/>
      <c r="AB1313" s="2361"/>
      <c r="AC1313" s="2361"/>
      <c r="AD1313" s="2361"/>
      <c r="AE1313" s="2361"/>
      <c r="AF1313" s="2361"/>
      <c r="AG1313" s="2361"/>
      <c r="AH1313" s="2361"/>
      <c r="AI1313" s="2361"/>
      <c r="AJ1313" s="2361"/>
      <c r="AK1313" s="2361"/>
      <c r="AL1313" s="2361"/>
      <c r="AM1313" s="2361"/>
      <c r="AN1313" s="2361"/>
      <c r="AO1313" s="2361"/>
      <c r="AP1313" s="2361"/>
      <c r="AQ1313" s="2361"/>
      <c r="AR1313" s="2361"/>
    </row>
    <row r="1314" spans="1:44" s="2379" customFormat="1" ht="11.45" customHeight="1">
      <c r="A1314" s="359"/>
      <c r="B1314" s="2268" t="s">
        <v>3243</v>
      </c>
      <c r="C1314" s="359"/>
      <c r="D1314" s="1505"/>
      <c r="E1314" s="1505"/>
      <c r="F1314" s="1505"/>
      <c r="G1314" s="1505"/>
      <c r="K1314" s="362"/>
      <c r="M1314" s="1901"/>
      <c r="N1314" s="1901"/>
      <c r="O1314" s="2293"/>
      <c r="P1314" s="1901"/>
      <c r="S1314" s="2380"/>
      <c r="T1314" s="2380"/>
      <c r="U1314" s="2380"/>
      <c r="V1314" s="2380"/>
      <c r="W1314" s="2380"/>
      <c r="X1314" s="2380"/>
      <c r="Y1314" s="2380"/>
      <c r="Z1314" s="2380"/>
      <c r="AA1314" s="2380"/>
      <c r="AB1314" s="2380"/>
      <c r="AC1314" s="2380"/>
      <c r="AD1314" s="2380"/>
      <c r="AE1314" s="2380"/>
      <c r="AF1314" s="2380"/>
      <c r="AG1314" s="2380"/>
      <c r="AH1314" s="2380"/>
      <c r="AI1314" s="2380"/>
      <c r="AJ1314" s="2380"/>
      <c r="AK1314" s="2380"/>
      <c r="AL1314" s="2380"/>
      <c r="AM1314" s="2380"/>
      <c r="AN1314" s="2380"/>
      <c r="AO1314" s="2380"/>
      <c r="AP1314" s="2380"/>
      <c r="AQ1314" s="2380"/>
      <c r="AR1314" s="2380"/>
    </row>
    <row r="1315" spans="1:44" s="2366" customFormat="1" ht="168.75">
      <c r="A1315" s="2327" t="str">
        <f>'Part VII-Threshold Criteria'!A277</f>
        <v>The Applicant will adhere to all Building Sustainability Standards and have completed the Required Building Sustainability Training.</v>
      </c>
      <c r="B1315" s="2327"/>
      <c r="C1315" s="2327"/>
      <c r="D1315" s="2327"/>
      <c r="E1315" s="2327"/>
      <c r="F1315" s="2327"/>
      <c r="G1315" s="2327"/>
      <c r="H1315" s="2327"/>
      <c r="I1315" s="2327"/>
      <c r="J1315" s="2327"/>
      <c r="K1315" s="2327"/>
      <c r="L1315" s="2327"/>
      <c r="M1315" s="2327"/>
      <c r="N1315" s="2327"/>
      <c r="O1315" s="2327"/>
      <c r="P1315" s="2327"/>
      <c r="Q1315" s="2327"/>
      <c r="R1315" s="2017" t="s">
        <v>1181</v>
      </c>
      <c r="S1315" s="2367"/>
      <c r="T1315" s="2367"/>
      <c r="U1315" s="2367"/>
      <c r="V1315" s="2367"/>
      <c r="W1315" s="2367"/>
      <c r="X1315" s="2367"/>
      <c r="Y1315" s="2367"/>
      <c r="Z1315" s="2367"/>
      <c r="AA1315" s="2367"/>
      <c r="AB1315" s="2367"/>
      <c r="AC1315" s="2367"/>
      <c r="AD1315" s="2367"/>
      <c r="AE1315" s="2367"/>
      <c r="AF1315" s="2367"/>
      <c r="AG1315" s="2367"/>
      <c r="AH1315" s="2367"/>
      <c r="AI1315" s="2367"/>
      <c r="AJ1315" s="2367"/>
      <c r="AK1315" s="2367"/>
      <c r="AL1315" s="2367"/>
      <c r="AM1315" s="2367"/>
      <c r="AN1315" s="2367"/>
      <c r="AO1315" s="2367"/>
      <c r="AP1315" s="2367"/>
      <c r="AQ1315" s="2367"/>
      <c r="AR1315" s="2367"/>
    </row>
    <row r="1316" spans="1:44" s="2366" customFormat="1" ht="11.25" customHeight="1">
      <c r="A1316" s="357"/>
      <c r="B1316" s="2328" t="s">
        <v>1730</v>
      </c>
      <c r="C1316" s="2329"/>
      <c r="D1316" s="2330"/>
      <c r="E1316" s="2330"/>
      <c r="F1316" s="2330"/>
      <c r="G1316" s="2330"/>
      <c r="H1316" s="2330"/>
      <c r="I1316" s="2330"/>
      <c r="J1316" s="2330"/>
      <c r="K1316" s="2330"/>
      <c r="L1316" s="2330"/>
      <c r="M1316" s="2330"/>
      <c r="N1316" s="2330"/>
      <c r="O1316" s="2330"/>
      <c r="P1316" s="2330"/>
      <c r="Q1316" s="2330"/>
      <c r="R1316" s="357"/>
      <c r="S1316" s="2367"/>
      <c r="T1316" s="2367"/>
      <c r="U1316" s="2367"/>
      <c r="V1316" s="2367"/>
      <c r="W1316" s="2367"/>
      <c r="X1316" s="2367"/>
      <c r="Y1316" s="2367"/>
      <c r="Z1316" s="2367"/>
      <c r="AA1316" s="2367"/>
      <c r="AB1316" s="2367"/>
      <c r="AC1316" s="2367"/>
      <c r="AD1316" s="2367"/>
      <c r="AE1316" s="2367"/>
      <c r="AF1316" s="2367"/>
      <c r="AG1316" s="2367"/>
      <c r="AH1316" s="2367"/>
      <c r="AI1316" s="2367"/>
      <c r="AJ1316" s="2367"/>
      <c r="AK1316" s="2367"/>
      <c r="AL1316" s="2367"/>
      <c r="AM1316" s="2367"/>
      <c r="AN1316" s="2367"/>
      <c r="AO1316" s="2367"/>
      <c r="AP1316" s="2367"/>
      <c r="AQ1316" s="2367"/>
      <c r="AR1316" s="2367"/>
    </row>
    <row r="1317" spans="1:44" s="2366" customFormat="1" ht="11.25" customHeight="1">
      <c r="A1317" s="2331"/>
      <c r="B1317" s="2331"/>
      <c r="C1317" s="2331"/>
      <c r="D1317" s="2331"/>
      <c r="E1317" s="2331"/>
      <c r="F1317" s="2331"/>
      <c r="G1317" s="2331"/>
      <c r="H1317" s="2331"/>
      <c r="I1317" s="2331"/>
      <c r="J1317" s="2331"/>
      <c r="K1317" s="2331"/>
      <c r="L1317" s="2331"/>
      <c r="M1317" s="2331"/>
      <c r="N1317" s="2331"/>
      <c r="O1317" s="2331"/>
      <c r="P1317" s="2331"/>
      <c r="Q1317" s="2331"/>
      <c r="R1317" s="357"/>
      <c r="S1317" s="2367"/>
      <c r="T1317" s="2367"/>
      <c r="U1317" s="2367"/>
      <c r="V1317" s="2367"/>
      <c r="W1317" s="2367"/>
      <c r="X1317" s="2367"/>
      <c r="Y1317" s="2367"/>
      <c r="Z1317" s="2367"/>
      <c r="AA1317" s="2367"/>
      <c r="AB1317" s="2367"/>
      <c r="AC1317" s="2367"/>
      <c r="AD1317" s="2367"/>
      <c r="AE1317" s="2367"/>
      <c r="AF1317" s="2367"/>
      <c r="AG1317" s="2367"/>
      <c r="AH1317" s="2367"/>
      <c r="AI1317" s="2367"/>
      <c r="AJ1317" s="2367"/>
      <c r="AK1317" s="2367"/>
      <c r="AL1317" s="2367"/>
      <c r="AM1317" s="2367"/>
      <c r="AN1317" s="2367"/>
      <c r="AO1317" s="2367"/>
      <c r="AP1317" s="2367"/>
      <c r="AQ1317" s="2367"/>
      <c r="AR1317" s="2367"/>
    </row>
    <row r="1318" spans="1:44" s="2366" customFormat="1" ht="3" customHeight="1">
      <c r="A1318" s="359"/>
      <c r="D1318" s="362"/>
      <c r="E1318" s="362"/>
      <c r="F1318" s="1901"/>
      <c r="G1318" s="1901"/>
      <c r="H1318" s="1901"/>
      <c r="I1318" s="1901"/>
      <c r="J1318" s="1875"/>
      <c r="K1318" s="1875"/>
      <c r="L1318" s="1875"/>
      <c r="M1318" s="2243"/>
      <c r="N1318" s="1901"/>
      <c r="O1318" s="1750"/>
      <c r="P1318" s="2293"/>
      <c r="S1318" s="2367"/>
      <c r="T1318" s="2367"/>
      <c r="U1318" s="2367"/>
      <c r="V1318" s="2367"/>
      <c r="W1318" s="2367"/>
      <c r="X1318" s="2367"/>
      <c r="Y1318" s="2367"/>
      <c r="Z1318" s="2367"/>
      <c r="AA1318" s="2367"/>
      <c r="AB1318" s="2367"/>
      <c r="AC1318" s="2367"/>
      <c r="AD1318" s="2367"/>
      <c r="AE1318" s="2367"/>
      <c r="AF1318" s="2367"/>
      <c r="AG1318" s="2367"/>
      <c r="AH1318" s="2367"/>
      <c r="AI1318" s="2367"/>
      <c r="AJ1318" s="2367"/>
      <c r="AK1318" s="2367"/>
      <c r="AL1318" s="2367"/>
      <c r="AM1318" s="2367"/>
      <c r="AN1318" s="2367"/>
      <c r="AO1318" s="2367"/>
      <c r="AP1318" s="2367"/>
      <c r="AQ1318" s="2367"/>
      <c r="AR1318" s="2367"/>
    </row>
    <row r="1319" spans="1:44" ht="14.1" customHeight="1">
      <c r="A1319" s="2206" t="s">
        <v>3373</v>
      </c>
      <c r="B1319" s="2206" t="s">
        <v>2434</v>
      </c>
      <c r="C1319" s="2363"/>
      <c r="D1319" s="2330"/>
      <c r="E1319" s="2330"/>
      <c r="F1319" s="2330"/>
      <c r="G1319" s="2330"/>
      <c r="H1319" s="2330"/>
      <c r="I1319" s="2330"/>
      <c r="J1319" s="2330"/>
      <c r="K1319" s="2330"/>
      <c r="L1319" s="2330"/>
      <c r="M1319" s="2330"/>
      <c r="O1319" s="2325" t="s">
        <v>1731</v>
      </c>
      <c r="P1319" s="1505"/>
      <c r="Q1319" s="1505"/>
      <c r="S1319" s="2361"/>
      <c r="T1319" s="2361"/>
      <c r="U1319" s="2361"/>
      <c r="V1319" s="2361"/>
      <c r="W1319" s="2361"/>
      <c r="X1319" s="2361"/>
      <c r="Y1319" s="2361"/>
      <c r="Z1319" s="2361"/>
      <c r="AA1319" s="2361"/>
      <c r="AB1319" s="2361"/>
      <c r="AC1319" s="2361"/>
      <c r="AD1319" s="2361"/>
      <c r="AE1319" s="2361"/>
      <c r="AF1319" s="2361"/>
      <c r="AG1319" s="2361"/>
      <c r="AH1319" s="2361"/>
      <c r="AI1319" s="2361"/>
      <c r="AJ1319" s="2361"/>
      <c r="AK1319" s="2361"/>
      <c r="AL1319" s="2361"/>
      <c r="AM1319" s="2361"/>
      <c r="AN1319" s="2361"/>
      <c r="AO1319" s="2361"/>
      <c r="AP1319" s="2361"/>
      <c r="AQ1319" s="2361"/>
      <c r="AR1319" s="2361"/>
    </row>
    <row r="1320" spans="1:44" ht="11.45" customHeight="1">
      <c r="B1320" s="807" t="s">
        <v>6202</v>
      </c>
      <c r="N1320" s="1750"/>
      <c r="P1320" s="2344" t="str">
        <f>'Part VII-Threshold Criteria'!P282</f>
        <v>No</v>
      </c>
      <c r="Q1320" s="2243"/>
      <c r="S1320" s="2361"/>
      <c r="T1320" s="2361"/>
      <c r="U1320" s="2361"/>
      <c r="V1320" s="2361"/>
      <c r="W1320" s="2361"/>
      <c r="X1320" s="2361"/>
      <c r="Y1320" s="2361"/>
      <c r="Z1320" s="2361"/>
      <c r="AA1320" s="2361"/>
      <c r="AB1320" s="2361"/>
      <c r="AC1320" s="2361"/>
      <c r="AD1320" s="2361"/>
      <c r="AE1320" s="2361"/>
      <c r="AF1320" s="2361"/>
      <c r="AG1320" s="2361"/>
      <c r="AH1320" s="2361"/>
      <c r="AI1320" s="2361"/>
      <c r="AJ1320" s="2361"/>
      <c r="AK1320" s="2361"/>
      <c r="AL1320" s="2361"/>
      <c r="AM1320" s="2361"/>
      <c r="AN1320" s="2361"/>
      <c r="AO1320" s="2361"/>
      <c r="AP1320" s="2361"/>
      <c r="AQ1320" s="2361"/>
      <c r="AR1320" s="2361"/>
    </row>
    <row r="1321" spans="1:44" ht="12.75" customHeight="1">
      <c r="A1321" s="2239" t="s">
        <v>1842</v>
      </c>
      <c r="B1321" s="1884" t="s">
        <v>6773</v>
      </c>
      <c r="S1321" s="2361"/>
      <c r="T1321" s="2361"/>
      <c r="U1321" s="2361"/>
      <c r="V1321" s="2361"/>
      <c r="W1321" s="2361"/>
      <c r="X1321" s="2361"/>
      <c r="Y1321" s="2361"/>
      <c r="Z1321" s="2361"/>
      <c r="AA1321" s="2361"/>
      <c r="AB1321" s="2361"/>
      <c r="AC1321" s="2361"/>
      <c r="AD1321" s="2361"/>
      <c r="AE1321" s="2361"/>
      <c r="AF1321" s="2361"/>
      <c r="AG1321" s="2361"/>
      <c r="AH1321" s="2361"/>
      <c r="AI1321" s="2361"/>
      <c r="AJ1321" s="2361"/>
      <c r="AK1321" s="2361"/>
      <c r="AL1321" s="2361"/>
      <c r="AM1321" s="2361"/>
      <c r="AN1321" s="2361"/>
      <c r="AO1321" s="2361"/>
      <c r="AP1321" s="2361"/>
      <c r="AQ1321" s="2361"/>
      <c r="AR1321" s="2361"/>
    </row>
    <row r="1322" spans="1:44">
      <c r="A1322" s="2336"/>
      <c r="B1322" s="2339" t="s">
        <v>1615</v>
      </c>
      <c r="C1322" s="1889" t="s">
        <v>6667</v>
      </c>
      <c r="D1322" s="2331"/>
      <c r="E1322" s="2331"/>
      <c r="F1322" s="2331"/>
      <c r="G1322" s="2331"/>
      <c r="H1322" s="2331"/>
      <c r="I1322" s="2331"/>
      <c r="J1322" s="2331"/>
      <c r="K1322" s="2331"/>
      <c r="L1322" s="2331"/>
      <c r="M1322" s="2331"/>
      <c r="N1322" s="2331"/>
      <c r="O1322" s="2336" t="s">
        <v>2472</v>
      </c>
      <c r="P1322" s="2355" t="str">
        <f>'Part VII-Threshold Criteria'!P284</f>
        <v>Yes</v>
      </c>
      <c r="Q1322" s="2337"/>
      <c r="S1322" s="2361"/>
      <c r="T1322" s="2361"/>
      <c r="U1322" s="2361"/>
      <c r="V1322" s="2361"/>
      <c r="W1322" s="2361"/>
      <c r="X1322" s="2361"/>
      <c r="Y1322" s="2361"/>
      <c r="Z1322" s="2361"/>
      <c r="AA1322" s="2361"/>
      <c r="AB1322" s="2361"/>
      <c r="AC1322" s="2361"/>
      <c r="AD1322" s="2361"/>
      <c r="AE1322" s="2361"/>
      <c r="AF1322" s="2361"/>
      <c r="AG1322" s="2361"/>
      <c r="AH1322" s="2361"/>
      <c r="AI1322" s="2361"/>
      <c r="AJ1322" s="2361"/>
      <c r="AK1322" s="2361"/>
      <c r="AL1322" s="2361"/>
      <c r="AM1322" s="2361"/>
      <c r="AN1322" s="2361"/>
      <c r="AO1322" s="2361"/>
      <c r="AP1322" s="2361"/>
      <c r="AQ1322" s="2361"/>
      <c r="AR1322" s="2361"/>
    </row>
    <row r="1323" spans="1:44" s="2265" customFormat="1" ht="12" customHeight="1">
      <c r="A1323" s="2336"/>
      <c r="B1323" s="2339" t="s">
        <v>1616</v>
      </c>
      <c r="C1323" s="1889" t="s">
        <v>6668</v>
      </c>
      <c r="D1323" s="2331"/>
      <c r="E1323" s="2331"/>
      <c r="F1323" s="2331"/>
      <c r="G1323" s="2331"/>
      <c r="H1323" s="2331"/>
      <c r="I1323" s="2331"/>
      <c r="J1323" s="2331"/>
      <c r="K1323" s="2331"/>
      <c r="L1323" s="2331"/>
      <c r="M1323" s="2331"/>
      <c r="N1323" s="2331"/>
      <c r="O1323" s="2336" t="s">
        <v>1616</v>
      </c>
      <c r="P1323" s="2355" t="str">
        <f>'Part VII-Threshold Criteria'!P285</f>
        <v>Yes</v>
      </c>
      <c r="Q1323" s="2337"/>
      <c r="S1323" s="2372"/>
      <c r="T1323" s="2372"/>
      <c r="U1323" s="2372"/>
      <c r="V1323" s="2372"/>
      <c r="W1323" s="2372"/>
      <c r="X1323" s="2372"/>
      <c r="Y1323" s="2372"/>
      <c r="Z1323" s="2372"/>
      <c r="AA1323" s="2372"/>
      <c r="AB1323" s="2372"/>
      <c r="AC1323" s="2372"/>
      <c r="AD1323" s="2372"/>
      <c r="AE1323" s="2372"/>
      <c r="AF1323" s="2372"/>
      <c r="AG1323" s="2372"/>
      <c r="AH1323" s="2372"/>
      <c r="AI1323" s="2372"/>
      <c r="AJ1323" s="2372"/>
      <c r="AK1323" s="2372"/>
      <c r="AL1323" s="2372"/>
      <c r="AM1323" s="2372"/>
      <c r="AN1323" s="2372"/>
      <c r="AO1323" s="2372"/>
      <c r="AP1323" s="2372"/>
      <c r="AQ1323" s="2372"/>
      <c r="AR1323" s="2372"/>
    </row>
    <row r="1324" spans="1:44" s="2265" customFormat="1">
      <c r="A1324" s="2336"/>
      <c r="B1324" s="2339" t="s">
        <v>1617</v>
      </c>
      <c r="C1324" s="1889" t="s">
        <v>6209</v>
      </c>
      <c r="D1324" s="2331"/>
      <c r="E1324" s="2331"/>
      <c r="F1324" s="2331"/>
      <c r="G1324" s="2331"/>
      <c r="H1324" s="2331"/>
      <c r="I1324" s="2331"/>
      <c r="J1324" s="2331"/>
      <c r="K1324" s="2331"/>
      <c r="L1324" s="2331"/>
      <c r="M1324" s="2331"/>
      <c r="N1324" s="2331"/>
      <c r="O1324" s="2336" t="s">
        <v>1617</v>
      </c>
      <c r="P1324" s="2355" t="str">
        <f>'Part VII-Threshold Criteria'!P286</f>
        <v>N/A</v>
      </c>
      <c r="Q1324" s="2337"/>
      <c r="S1324" s="2372"/>
      <c r="T1324" s="2372"/>
      <c r="U1324" s="2372"/>
      <c r="V1324" s="2372"/>
      <c r="W1324" s="2372"/>
      <c r="X1324" s="2372"/>
      <c r="Y1324" s="2372"/>
      <c r="Z1324" s="2372"/>
      <c r="AA1324" s="2372"/>
      <c r="AB1324" s="2372"/>
      <c r="AC1324" s="2372"/>
      <c r="AD1324" s="2372"/>
      <c r="AE1324" s="2372"/>
      <c r="AF1324" s="2372"/>
      <c r="AG1324" s="2372"/>
      <c r="AH1324" s="2372"/>
      <c r="AI1324" s="2372"/>
      <c r="AJ1324" s="2372"/>
      <c r="AK1324" s="2372"/>
      <c r="AL1324" s="2372"/>
      <c r="AM1324" s="2372"/>
      <c r="AN1324" s="2372"/>
      <c r="AO1324" s="2372"/>
      <c r="AP1324" s="2372"/>
      <c r="AQ1324" s="2372"/>
      <c r="AR1324" s="2372"/>
    </row>
    <row r="1325" spans="1:44" s="359" customFormat="1" ht="12.75" customHeight="1">
      <c r="A1325" s="2239" t="s">
        <v>1844</v>
      </c>
      <c r="B1325" s="1884" t="s">
        <v>3297</v>
      </c>
      <c r="D1325" s="2381"/>
      <c r="E1325" s="2381"/>
      <c r="F1325" s="2381"/>
      <c r="G1325" s="2381"/>
      <c r="H1325" s="2381"/>
      <c r="I1325" s="2381"/>
      <c r="J1325" s="2381"/>
      <c r="K1325" s="2381"/>
      <c r="L1325" s="2381"/>
      <c r="M1325" s="2381"/>
      <c r="N1325" s="2381"/>
      <c r="O1325" s="2342"/>
      <c r="P1325" s="2342"/>
      <c r="Q1325" s="2342"/>
      <c r="S1325" s="2079"/>
      <c r="T1325" s="2079"/>
      <c r="U1325" s="2079"/>
      <c r="V1325" s="2079"/>
      <c r="W1325" s="2079"/>
      <c r="X1325" s="2079"/>
      <c r="Y1325" s="2079"/>
      <c r="Z1325" s="2079"/>
      <c r="AA1325" s="2079"/>
      <c r="AB1325" s="2079"/>
      <c r="AC1325" s="2079"/>
      <c r="AD1325" s="2079"/>
      <c r="AE1325" s="2079"/>
      <c r="AF1325" s="2079"/>
      <c r="AG1325" s="2079"/>
      <c r="AH1325" s="2079"/>
      <c r="AI1325" s="2079"/>
      <c r="AJ1325" s="2079"/>
      <c r="AK1325" s="2079"/>
      <c r="AL1325" s="2079"/>
      <c r="AM1325" s="2079"/>
      <c r="AN1325" s="2079"/>
      <c r="AO1325" s="2079"/>
      <c r="AP1325" s="2079"/>
      <c r="AQ1325" s="2079"/>
      <c r="AR1325" s="2079"/>
    </row>
    <row r="1326" spans="1:44" s="359" customFormat="1" ht="11.25" customHeight="1">
      <c r="A1326" s="2287"/>
      <c r="B1326" s="2339" t="s">
        <v>1615</v>
      </c>
      <c r="C1326" s="362" t="s">
        <v>1964</v>
      </c>
      <c r="D1326" s="1889" t="s">
        <v>6804</v>
      </c>
      <c r="E1326" s="2331"/>
      <c r="F1326" s="2331"/>
      <c r="G1326" s="2331"/>
      <c r="H1326" s="2331"/>
      <c r="I1326" s="1889"/>
      <c r="J1326" s="1656" t="s">
        <v>3269</v>
      </c>
      <c r="K1326" s="807"/>
      <c r="L1326" s="807"/>
      <c r="M1326" s="2382" t="s">
        <v>3250</v>
      </c>
      <c r="N1326" s="2382"/>
      <c r="S1326" s="2079"/>
      <c r="T1326" s="2079"/>
      <c r="U1326" s="2079"/>
      <c r="V1326" s="2079"/>
      <c r="W1326" s="2079"/>
      <c r="X1326" s="2079"/>
      <c r="Y1326" s="2079"/>
      <c r="Z1326" s="2079"/>
      <c r="AA1326" s="2079"/>
      <c r="AB1326" s="2079"/>
      <c r="AC1326" s="2079"/>
      <c r="AD1326" s="2079"/>
      <c r="AE1326" s="2079"/>
      <c r="AF1326" s="2079"/>
      <c r="AG1326" s="2079"/>
      <c r="AH1326" s="2079"/>
      <c r="AI1326" s="2079"/>
      <c r="AJ1326" s="2079"/>
      <c r="AK1326" s="2079"/>
      <c r="AL1326" s="2079"/>
      <c r="AM1326" s="2079"/>
      <c r="AN1326" s="2079"/>
      <c r="AO1326" s="2079"/>
      <c r="AP1326" s="2079"/>
      <c r="AQ1326" s="2079"/>
      <c r="AR1326" s="2079"/>
    </row>
    <row r="1327" spans="1:44" s="1821" customFormat="1" ht="10.5" customHeight="1">
      <c r="A1327" s="2024"/>
      <c r="B1327" s="2030"/>
      <c r="D1327" s="2331"/>
      <c r="E1327" s="2331"/>
      <c r="F1327" s="2331"/>
      <c r="G1327" s="2331"/>
      <c r="H1327" s="2331"/>
      <c r="I1327" s="1624"/>
      <c r="J1327" s="807"/>
      <c r="K1327" s="807"/>
      <c r="L1327" s="807"/>
      <c r="M1327" s="362" t="s">
        <v>3251</v>
      </c>
      <c r="N1327" s="2243" t="s">
        <v>3268</v>
      </c>
      <c r="P1327" s="1624"/>
      <c r="S1327" s="2026"/>
      <c r="T1327" s="2026"/>
      <c r="U1327" s="2026"/>
      <c r="V1327" s="2026"/>
      <c r="W1327" s="2026"/>
      <c r="X1327" s="2026"/>
      <c r="Y1327" s="2026"/>
      <c r="Z1327" s="2026"/>
      <c r="AA1327" s="2026"/>
      <c r="AB1327" s="2026"/>
      <c r="AC1327" s="2026"/>
      <c r="AD1327" s="2026"/>
      <c r="AE1327" s="2026"/>
      <c r="AF1327" s="2026"/>
      <c r="AG1327" s="2026"/>
      <c r="AH1327" s="2026"/>
      <c r="AI1327" s="2026"/>
      <c r="AJ1327" s="2026"/>
      <c r="AK1327" s="2026"/>
      <c r="AL1327" s="2026"/>
      <c r="AM1327" s="2026"/>
      <c r="AN1327" s="2026"/>
      <c r="AO1327" s="2026"/>
      <c r="AP1327" s="2026"/>
      <c r="AQ1327" s="2026"/>
      <c r="AR1327" s="2026"/>
    </row>
    <row r="1328" spans="1:44" s="1821" customFormat="1" ht="13.35" customHeight="1">
      <c r="A1328" s="2024"/>
      <c r="B1328" s="2030"/>
      <c r="D1328" s="2331"/>
      <c r="E1328" s="2331"/>
      <c r="F1328" s="2331"/>
      <c r="G1328" s="2331"/>
      <c r="H1328" s="2331"/>
      <c r="I1328" s="362" t="s">
        <v>3391</v>
      </c>
      <c r="K1328" s="2383">
        <f>'Part VII-Threshold Criteria'!K290</f>
        <v>6</v>
      </c>
      <c r="L1328" s="2030" t="str">
        <f>IF(K1328&lt;M1328,"Check!!!","")</f>
        <v/>
      </c>
      <c r="M1328" s="2341">
        <f>ROUNDUP('Part V-Revenues &amp; Expenses'!$P$67*'Part VII-Threshold Criteria'!N1328,0)</f>
        <v>0</v>
      </c>
      <c r="N1328" s="2384">
        <f>'DCA Underwriting Assumptions'!$Q$117</f>
        <v>0.05</v>
      </c>
      <c r="O1328" s="2342" t="s">
        <v>3170</v>
      </c>
      <c r="P1328" s="2344" t="str">
        <f>'Part VII-Threshold Criteria'!P290</f>
        <v>Yes</v>
      </c>
      <c r="Q1328" s="2243"/>
      <c r="S1328" s="2026"/>
      <c r="T1328" s="2026"/>
      <c r="U1328" s="2026"/>
      <c r="V1328" s="2211"/>
      <c r="W1328" s="2026"/>
      <c r="X1328" s="2211"/>
      <c r="Y1328" s="2026"/>
      <c r="Z1328" s="2053" t="str">
        <f>IF(AA1328="","",IF(AA1328&lt;AC1328,"Check!!!",""))</f>
        <v/>
      </c>
      <c r="AA1328" s="2053" t="str">
        <f t="shared" ref="AA1328:AG1328" si="407">IF(AB1328="","",IF(AB1328&lt;AD1328,"Check!!!",""))</f>
        <v/>
      </c>
      <c r="AB1328" s="2053" t="str">
        <f t="shared" si="407"/>
        <v/>
      </c>
      <c r="AC1328" s="2053" t="str">
        <f t="shared" si="407"/>
        <v/>
      </c>
      <c r="AD1328" s="2053" t="str">
        <f t="shared" si="407"/>
        <v/>
      </c>
      <c r="AE1328" s="2053" t="str">
        <f t="shared" si="407"/>
        <v/>
      </c>
      <c r="AF1328" s="2053" t="str">
        <f t="shared" si="407"/>
        <v/>
      </c>
      <c r="AG1328" s="2053" t="str">
        <f t="shared" si="407"/>
        <v/>
      </c>
      <c r="AH1328" s="2026"/>
      <c r="AI1328" s="2026"/>
      <c r="AJ1328" s="2026"/>
      <c r="AK1328" s="2026"/>
      <c r="AL1328" s="2026"/>
      <c r="AM1328" s="2026"/>
      <c r="AN1328" s="2026"/>
      <c r="AO1328" s="2026"/>
      <c r="AP1328" s="2026"/>
      <c r="AQ1328" s="2026"/>
      <c r="AR1328" s="2026"/>
    </row>
    <row r="1329" spans="1:44" s="359" customFormat="1" ht="12.75" customHeight="1">
      <c r="A1329" s="2336"/>
      <c r="B1329" s="2339"/>
      <c r="C1329" s="362" t="s">
        <v>1965</v>
      </c>
      <c r="D1329" s="1889" t="s">
        <v>6805</v>
      </c>
      <c r="E1329" s="2331"/>
      <c r="F1329" s="2331"/>
      <c r="G1329" s="2331"/>
      <c r="H1329" s="2331"/>
      <c r="I1329" s="1873" t="s">
        <v>3392</v>
      </c>
      <c r="J1329" s="1821"/>
      <c r="K1329" s="2383">
        <f>'Part VII-Threshold Criteria'!K291</f>
        <v>6</v>
      </c>
      <c r="L1329" s="2030" t="str">
        <f>IF(K1329&lt;M1329,"Check!!!","")</f>
        <v/>
      </c>
      <c r="M1329" s="2341">
        <f>ROUNDUP(K1328*'Part VII-Threshold Criteria'!N1329,0)</f>
        <v>0</v>
      </c>
      <c r="N1329" s="2384">
        <f>'DCA Underwriting Assumptions'!$Q$118</f>
        <v>0.4</v>
      </c>
      <c r="O1329" s="2342" t="s">
        <v>1965</v>
      </c>
      <c r="P1329" s="2338" t="str">
        <f>'Part VII-Threshold Criteria'!P291</f>
        <v>Yes</v>
      </c>
      <c r="Q1329" s="1889"/>
      <c r="S1329" s="2079"/>
      <c r="T1329" s="2338"/>
      <c r="U1329" s="2338"/>
      <c r="V1329" s="2338"/>
      <c r="W1329" s="2338"/>
      <c r="X1329" s="2338"/>
      <c r="Y1329" s="2338"/>
      <c r="Z1329" s="2338"/>
      <c r="AA1329" s="2338"/>
      <c r="AB1329" s="2338"/>
      <c r="AC1329" s="2338"/>
      <c r="AD1329" s="2338"/>
      <c r="AE1329" s="2338"/>
      <c r="AF1329" s="2338"/>
      <c r="AG1329" s="2338"/>
      <c r="AH1329" s="2079"/>
      <c r="AI1329" s="2079"/>
      <c r="AJ1329" s="2079"/>
      <c r="AK1329" s="2079"/>
      <c r="AL1329" s="2079"/>
      <c r="AM1329" s="2079"/>
      <c r="AN1329" s="2079"/>
      <c r="AO1329" s="2079"/>
      <c r="AP1329" s="2079"/>
      <c r="AQ1329" s="2079"/>
      <c r="AR1329" s="2079"/>
    </row>
    <row r="1330" spans="1:44" s="1821" customFormat="1" ht="10.5" customHeight="1">
      <c r="A1330" s="2024"/>
      <c r="B1330" s="2030"/>
      <c r="C1330" s="2331"/>
      <c r="D1330" s="2331"/>
      <c r="E1330" s="2331"/>
      <c r="F1330" s="2331"/>
      <c r="G1330" s="2331"/>
      <c r="H1330" s="2331"/>
      <c r="O1330" s="1875"/>
      <c r="P1330" s="2338">
        <f>'Part VII-Threshold Criteria'!P292</f>
        <v>0</v>
      </c>
      <c r="Q1330" s="1889"/>
      <c r="S1330" s="2026"/>
      <c r="T1330" s="2026"/>
      <c r="U1330" s="2026"/>
      <c r="V1330" s="2211"/>
      <c r="W1330" s="2385"/>
      <c r="X1330" s="2211"/>
      <c r="Y1330" s="2026"/>
      <c r="Z1330" s="2053" t="str">
        <f>IF(AA1330="","",IF(AA1330&lt;AC1330,"Check!!!",""))</f>
        <v/>
      </c>
      <c r="AA1330" s="2053" t="str">
        <f t="shared" ref="AA1330:AG1330" si="408">IF(AB1330="","",IF(AB1330&lt;AD1330,"Check!!!",""))</f>
        <v/>
      </c>
      <c r="AB1330" s="2053" t="str">
        <f t="shared" si="408"/>
        <v/>
      </c>
      <c r="AC1330" s="2053" t="str">
        <f t="shared" si="408"/>
        <v/>
      </c>
      <c r="AD1330" s="2053" t="str">
        <f t="shared" si="408"/>
        <v/>
      </c>
      <c r="AE1330" s="2053" t="str">
        <f t="shared" si="408"/>
        <v/>
      </c>
      <c r="AF1330" s="2053" t="str">
        <f t="shared" si="408"/>
        <v/>
      </c>
      <c r="AG1330" s="2053" t="str">
        <f t="shared" si="408"/>
        <v/>
      </c>
      <c r="AH1330" s="2026"/>
      <c r="AI1330" s="2026"/>
      <c r="AJ1330" s="2026"/>
      <c r="AK1330" s="2026"/>
      <c r="AL1330" s="2026"/>
      <c r="AM1330" s="2026"/>
      <c r="AN1330" s="2026"/>
      <c r="AO1330" s="2026"/>
      <c r="AP1330" s="2026"/>
      <c r="AQ1330" s="2026"/>
      <c r="AR1330" s="2026"/>
    </row>
    <row r="1331" spans="1:44" s="359" customFormat="1" ht="12.75" customHeight="1">
      <c r="A1331" s="2336"/>
      <c r="B1331" s="2339" t="s">
        <v>1616</v>
      </c>
      <c r="C1331" s="1889" t="s">
        <v>6806</v>
      </c>
      <c r="D1331" s="2331"/>
      <c r="E1331" s="2331"/>
      <c r="F1331" s="2331"/>
      <c r="G1331" s="2331"/>
      <c r="H1331" s="2331"/>
      <c r="I1331" s="362" t="s">
        <v>3393</v>
      </c>
      <c r="J1331" s="1821"/>
      <c r="K1331" s="2383">
        <f>'Part VII-Threshold Criteria'!K293</f>
        <v>3</v>
      </c>
      <c r="L1331" s="2030" t="str">
        <f>IF(K1331&lt;M1331,"Check!!!","")</f>
        <v/>
      </c>
      <c r="M1331" s="2341">
        <f>ROUNDUP('Part V-Revenues &amp; Expenses'!$P$67*'Part VII-Threshold Criteria'!N1331,0)</f>
        <v>0</v>
      </c>
      <c r="N1331" s="2384">
        <f>'DCA Underwriting Assumptions'!$Q$119</f>
        <v>0.02</v>
      </c>
      <c r="O1331" s="2342" t="s">
        <v>1616</v>
      </c>
      <c r="P1331" s="2344" t="str">
        <f>'Part VII-Threshold Criteria'!P293</f>
        <v>Yes</v>
      </c>
      <c r="Q1331" s="2243"/>
      <c r="S1331" s="2079"/>
      <c r="T1331" s="2338"/>
      <c r="U1331" s="2338"/>
      <c r="V1331" s="2338"/>
      <c r="W1331" s="2338"/>
      <c r="X1331" s="2338"/>
      <c r="Y1331" s="2338"/>
      <c r="Z1331" s="2338"/>
      <c r="AA1331" s="2338"/>
      <c r="AB1331" s="2338"/>
      <c r="AC1331" s="2338"/>
      <c r="AD1331" s="2338"/>
      <c r="AE1331" s="2338"/>
      <c r="AF1331" s="2338"/>
      <c r="AG1331" s="2338"/>
      <c r="AH1331" s="2079"/>
      <c r="AI1331" s="2079"/>
      <c r="AJ1331" s="2079"/>
      <c r="AK1331" s="2079"/>
      <c r="AL1331" s="2079"/>
      <c r="AM1331" s="2079"/>
      <c r="AN1331" s="2079"/>
      <c r="AO1331" s="2079"/>
      <c r="AP1331" s="2079"/>
      <c r="AQ1331" s="2079"/>
      <c r="AR1331" s="2079"/>
    </row>
    <row r="1332" spans="1:44" s="1821" customFormat="1" ht="3" customHeight="1">
      <c r="A1332" s="2024"/>
      <c r="C1332" s="2331"/>
      <c r="D1332" s="2331"/>
      <c r="E1332" s="2331"/>
      <c r="F1332" s="2331"/>
      <c r="G1332" s="2331"/>
      <c r="H1332" s="2331"/>
      <c r="J1332" s="362"/>
      <c r="K1332" s="362"/>
      <c r="L1332" s="1875"/>
      <c r="M1332" s="2243"/>
      <c r="O1332" s="362"/>
      <c r="P1332" s="2243"/>
      <c r="Q1332" s="362"/>
      <c r="S1332" s="2026"/>
      <c r="T1332" s="2211"/>
      <c r="U1332" s="2385"/>
      <c r="V1332" s="2211"/>
      <c r="W1332" s="2385"/>
      <c r="X1332" s="2211"/>
      <c r="Y1332" s="2211"/>
      <c r="Z1332" s="2211"/>
      <c r="AA1332" s="2211"/>
      <c r="AB1332" s="2211"/>
      <c r="AC1332" s="2211"/>
      <c r="AD1332" s="2211"/>
      <c r="AE1332" s="2211"/>
      <c r="AF1332" s="2211"/>
      <c r="AG1332" s="2211"/>
      <c r="AH1332" s="2026"/>
      <c r="AI1332" s="2026"/>
      <c r="AJ1332" s="2026"/>
      <c r="AK1332" s="2026"/>
      <c r="AL1332" s="2026"/>
      <c r="AM1332" s="2026"/>
      <c r="AN1332" s="2026"/>
      <c r="AO1332" s="2026"/>
      <c r="AP1332" s="2026"/>
      <c r="AQ1332" s="2026"/>
      <c r="AR1332" s="2026"/>
    </row>
    <row r="1333" spans="1:44" s="1821" customFormat="1" ht="10.5" customHeight="1">
      <c r="A1333" s="2024"/>
      <c r="C1333" s="2331"/>
      <c r="D1333" s="2331"/>
      <c r="E1333" s="2331"/>
      <c r="F1333" s="2331"/>
      <c r="G1333" s="2331"/>
      <c r="H1333" s="2331"/>
      <c r="O1333" s="1875"/>
      <c r="P1333" s="2342"/>
      <c r="S1333" s="2026"/>
      <c r="T1333" s="2026"/>
      <c r="U1333" s="2026"/>
      <c r="V1333" s="2211"/>
      <c r="W1333" s="2385"/>
      <c r="X1333" s="2211"/>
      <c r="Y1333" s="2026"/>
      <c r="Z1333" s="2053" t="str">
        <f>IF(AA1333="","",IF(AA1333&lt;AC1333,"Check!!!",""))</f>
        <v/>
      </c>
      <c r="AA1333" s="2053" t="str">
        <f t="shared" ref="AA1333:AG1333" si="409">IF(AB1333="","",IF(AB1333&lt;AD1333,"Check!!!",""))</f>
        <v/>
      </c>
      <c r="AB1333" s="2053" t="str">
        <f t="shared" si="409"/>
        <v/>
      </c>
      <c r="AC1333" s="2053" t="str">
        <f t="shared" si="409"/>
        <v/>
      </c>
      <c r="AD1333" s="2053" t="str">
        <f t="shared" si="409"/>
        <v/>
      </c>
      <c r="AE1333" s="2053" t="str">
        <f t="shared" si="409"/>
        <v/>
      </c>
      <c r="AF1333" s="2053" t="str">
        <f t="shared" si="409"/>
        <v/>
      </c>
      <c r="AG1333" s="2053" t="str">
        <f t="shared" si="409"/>
        <v/>
      </c>
      <c r="AH1333" s="2026"/>
      <c r="AI1333" s="2026"/>
      <c r="AJ1333" s="2026"/>
      <c r="AK1333" s="2026"/>
      <c r="AL1333" s="2026"/>
      <c r="AM1333" s="2026"/>
      <c r="AN1333" s="2026"/>
      <c r="AO1333" s="2026"/>
      <c r="AP1333" s="2026"/>
      <c r="AQ1333" s="2026"/>
      <c r="AR1333" s="2026"/>
    </row>
    <row r="1334" spans="1:44" s="1821" customFormat="1" ht="10.5" customHeight="1">
      <c r="A1334" s="2239" t="s">
        <v>698</v>
      </c>
      <c r="B1334" s="1884" t="s">
        <v>3298</v>
      </c>
      <c r="D1334" s="2330"/>
      <c r="E1334" s="2330"/>
      <c r="F1334" s="2330"/>
      <c r="G1334" s="2330"/>
      <c r="H1334" s="2330"/>
      <c r="O1334" s="1875"/>
      <c r="P1334" s="2342"/>
      <c r="S1334" s="2026"/>
      <c r="T1334" s="2026"/>
      <c r="U1334" s="2026"/>
      <c r="V1334" s="2211"/>
      <c r="W1334" s="2385"/>
      <c r="X1334" s="2211"/>
      <c r="Y1334" s="2026"/>
      <c r="Z1334" s="2053"/>
      <c r="AA1334" s="2053"/>
      <c r="AB1334" s="2053"/>
      <c r="AC1334" s="2053"/>
      <c r="AD1334" s="2053"/>
      <c r="AE1334" s="2053"/>
      <c r="AF1334" s="2053"/>
      <c r="AG1334" s="2053"/>
      <c r="AH1334" s="2026"/>
      <c r="AI1334" s="2026"/>
      <c r="AJ1334" s="2026"/>
      <c r="AK1334" s="2026"/>
      <c r="AL1334" s="2026"/>
      <c r="AM1334" s="2026"/>
      <c r="AN1334" s="2026"/>
      <c r="AO1334" s="2026"/>
      <c r="AP1334" s="2026"/>
      <c r="AQ1334" s="2026"/>
      <c r="AR1334" s="2026"/>
    </row>
    <row r="1335" spans="1:44" s="359" customFormat="1">
      <c r="B1335" s="1889" t="s">
        <v>6722</v>
      </c>
      <c r="C1335" s="2331"/>
      <c r="D1335" s="2331"/>
      <c r="E1335" s="2331"/>
      <c r="F1335" s="2331"/>
      <c r="G1335" s="2331"/>
      <c r="H1335" s="2331"/>
      <c r="I1335" s="2331"/>
      <c r="J1335" s="2331"/>
      <c r="K1335" s="2331"/>
      <c r="L1335" s="2331"/>
      <c r="M1335" s="2331"/>
      <c r="N1335" s="2331"/>
      <c r="O1335" s="2336" t="s">
        <v>698</v>
      </c>
      <c r="P1335" s="2355" t="str">
        <f>'Part VII-Threshold Criteria'!P297</f>
        <v>Yes</v>
      </c>
      <c r="Q1335" s="2337"/>
      <c r="S1335" s="2079"/>
      <c r="T1335" s="2079"/>
      <c r="U1335" s="2079"/>
      <c r="V1335" s="2079"/>
      <c r="W1335" s="2079"/>
      <c r="X1335" s="2079"/>
      <c r="Y1335" s="2079"/>
      <c r="Z1335" s="2079"/>
      <c r="AA1335" s="2079"/>
      <c r="AB1335" s="2079"/>
      <c r="AC1335" s="2079"/>
      <c r="AD1335" s="2079"/>
      <c r="AE1335" s="2079"/>
      <c r="AF1335" s="2079"/>
      <c r="AG1335" s="2079"/>
      <c r="AH1335" s="2079"/>
      <c r="AI1335" s="2079"/>
      <c r="AJ1335" s="2079"/>
      <c r="AK1335" s="2079"/>
      <c r="AL1335" s="2079"/>
      <c r="AM1335" s="2079"/>
      <c r="AN1335" s="2079"/>
      <c r="AO1335" s="2079"/>
      <c r="AP1335" s="2079"/>
      <c r="AQ1335" s="2079"/>
      <c r="AR1335" s="2079"/>
    </row>
    <row r="1336" spans="1:44" s="359" customFormat="1" ht="11.25" customHeight="1">
      <c r="B1336" s="1889" t="s">
        <v>3171</v>
      </c>
      <c r="D1336" s="1889"/>
      <c r="E1336" s="1889"/>
      <c r="F1336" s="1889"/>
      <c r="G1336" s="1889"/>
      <c r="H1336" s="1889"/>
      <c r="I1336" s="1889" t="s">
        <v>3249</v>
      </c>
      <c r="J1336" s="1889"/>
      <c r="K1336" s="1889"/>
      <c r="L1336" s="2338" t="str">
        <f>'Part VII-Threshold Criteria'!L298</f>
        <v>Zeffert</v>
      </c>
      <c r="M1336" s="2338"/>
      <c r="N1336" s="2338"/>
      <c r="O1336" s="2338"/>
      <c r="P1336" s="2338"/>
      <c r="Q1336" s="2338"/>
      <c r="R1336" s="1889"/>
      <c r="S1336" s="2079"/>
      <c r="T1336" s="2079"/>
      <c r="U1336" s="2079"/>
      <c r="V1336" s="2079"/>
      <c r="W1336" s="2079"/>
      <c r="X1336" s="2079"/>
      <c r="Y1336" s="2079"/>
      <c r="Z1336" s="2079"/>
      <c r="AA1336" s="2079"/>
      <c r="AB1336" s="2079"/>
      <c r="AC1336" s="2079"/>
      <c r="AD1336" s="2079"/>
      <c r="AE1336" s="2079"/>
      <c r="AF1336" s="2079"/>
      <c r="AG1336" s="2079"/>
      <c r="AH1336" s="2079"/>
      <c r="AI1336" s="2079"/>
      <c r="AJ1336" s="2079"/>
      <c r="AK1336" s="2079"/>
      <c r="AL1336" s="2079"/>
      <c r="AM1336" s="2079"/>
      <c r="AN1336" s="2079"/>
      <c r="AO1336" s="2079"/>
      <c r="AP1336" s="2079"/>
      <c r="AQ1336" s="2079"/>
      <c r="AR1336" s="2079"/>
    </row>
    <row r="1337" spans="1:44" s="2265" customFormat="1">
      <c r="B1337" s="2339" t="s">
        <v>1615</v>
      </c>
      <c r="C1337" s="1889" t="s">
        <v>6669</v>
      </c>
      <c r="D1337" s="2331"/>
      <c r="E1337" s="2331"/>
      <c r="F1337" s="2331"/>
      <c r="G1337" s="2331"/>
      <c r="H1337" s="2331"/>
      <c r="I1337" s="2331"/>
      <c r="J1337" s="2331"/>
      <c r="K1337" s="2331"/>
      <c r="L1337" s="2331"/>
      <c r="M1337" s="2331"/>
      <c r="N1337" s="2331"/>
      <c r="O1337" s="2336" t="s">
        <v>3174</v>
      </c>
      <c r="P1337" s="2355" t="str">
        <f>'Part VII-Threshold Criteria'!P299</f>
        <v>Yes</v>
      </c>
      <c r="Q1337" s="2337"/>
      <c r="S1337" s="2372"/>
      <c r="T1337" s="2372"/>
      <c r="U1337" s="2372"/>
      <c r="V1337" s="2372"/>
      <c r="W1337" s="2372"/>
      <c r="X1337" s="2372"/>
      <c r="Y1337" s="2372"/>
      <c r="Z1337" s="2372"/>
      <c r="AA1337" s="2372"/>
      <c r="AB1337" s="2372"/>
      <c r="AC1337" s="2372"/>
      <c r="AD1337" s="2372"/>
      <c r="AE1337" s="2372"/>
      <c r="AF1337" s="2372"/>
      <c r="AG1337" s="2372"/>
      <c r="AH1337" s="2372"/>
      <c r="AI1337" s="2372"/>
      <c r="AJ1337" s="2372"/>
      <c r="AK1337" s="2372"/>
      <c r="AL1337" s="2372"/>
      <c r="AM1337" s="2372"/>
      <c r="AN1337" s="2372"/>
      <c r="AO1337" s="2372"/>
      <c r="AP1337" s="2372"/>
      <c r="AQ1337" s="2372"/>
      <c r="AR1337" s="2372"/>
    </row>
    <row r="1338" spans="1:44" s="2265" customFormat="1">
      <c r="B1338" s="2339" t="s">
        <v>1616</v>
      </c>
      <c r="C1338" s="1889" t="s">
        <v>3838</v>
      </c>
      <c r="D1338" s="2331"/>
      <c r="E1338" s="2331"/>
      <c r="F1338" s="2331"/>
      <c r="G1338" s="2331"/>
      <c r="H1338" s="2331"/>
      <c r="I1338" s="2331"/>
      <c r="J1338" s="2331"/>
      <c r="K1338" s="2331"/>
      <c r="L1338" s="2331"/>
      <c r="M1338" s="2331"/>
      <c r="N1338" s="2331"/>
      <c r="O1338" s="2336" t="s">
        <v>3175</v>
      </c>
      <c r="P1338" s="2355" t="str">
        <f>'Part VII-Threshold Criteria'!P300</f>
        <v>Yes</v>
      </c>
      <c r="Q1338" s="2337"/>
      <c r="S1338" s="2372"/>
      <c r="T1338" s="2372"/>
      <c r="U1338" s="2372"/>
      <c r="V1338" s="2372"/>
      <c r="W1338" s="2372"/>
      <c r="X1338" s="2372"/>
      <c r="Y1338" s="2372"/>
      <c r="Z1338" s="2372"/>
      <c r="AA1338" s="2372"/>
      <c r="AB1338" s="2372"/>
      <c r="AC1338" s="2372"/>
      <c r="AD1338" s="2372"/>
      <c r="AE1338" s="2372"/>
      <c r="AF1338" s="2372"/>
      <c r="AG1338" s="2372"/>
      <c r="AH1338" s="2372"/>
      <c r="AI1338" s="2372"/>
      <c r="AJ1338" s="2372"/>
      <c r="AK1338" s="2372"/>
      <c r="AL1338" s="2372"/>
      <c r="AM1338" s="2372"/>
      <c r="AN1338" s="2372"/>
      <c r="AO1338" s="2372"/>
      <c r="AP1338" s="2372"/>
      <c r="AQ1338" s="2372"/>
      <c r="AR1338" s="2372"/>
    </row>
    <row r="1339" spans="1:44" s="2265" customFormat="1">
      <c r="B1339" s="2339" t="s">
        <v>1617</v>
      </c>
      <c r="C1339" s="1889" t="s">
        <v>3172</v>
      </c>
      <c r="D1339" s="2331"/>
      <c r="E1339" s="2331"/>
      <c r="F1339" s="2331"/>
      <c r="G1339" s="2331"/>
      <c r="H1339" s="2331"/>
      <c r="I1339" s="2331"/>
      <c r="J1339" s="2331"/>
      <c r="K1339" s="2331"/>
      <c r="L1339" s="2331"/>
      <c r="M1339" s="2331"/>
      <c r="N1339" s="2331"/>
      <c r="O1339" s="2336" t="s">
        <v>3176</v>
      </c>
      <c r="P1339" s="2355" t="str">
        <f>'Part VII-Threshold Criteria'!P301</f>
        <v>Yes</v>
      </c>
      <c r="Q1339" s="2337"/>
      <c r="S1339" s="2372"/>
      <c r="T1339" s="2372"/>
      <c r="U1339" s="2372"/>
      <c r="V1339" s="2372"/>
      <c r="W1339" s="2372"/>
      <c r="X1339" s="2372"/>
      <c r="Y1339" s="2372"/>
      <c r="Z1339" s="2372"/>
      <c r="AA1339" s="2372"/>
      <c r="AB1339" s="2372"/>
      <c r="AC1339" s="2372"/>
      <c r="AD1339" s="2372"/>
      <c r="AE1339" s="2372"/>
      <c r="AF1339" s="2372"/>
      <c r="AG1339" s="2372"/>
      <c r="AH1339" s="2372"/>
      <c r="AI1339" s="2372"/>
      <c r="AJ1339" s="2372"/>
      <c r="AK1339" s="2372"/>
      <c r="AL1339" s="2372"/>
      <c r="AM1339" s="2372"/>
      <c r="AN1339" s="2372"/>
      <c r="AO1339" s="2372"/>
      <c r="AP1339" s="2372"/>
      <c r="AQ1339" s="2372"/>
      <c r="AR1339" s="2372"/>
    </row>
    <row r="1340" spans="1:44" s="2265" customFormat="1">
      <c r="B1340" s="2339" t="s">
        <v>2183</v>
      </c>
      <c r="C1340" s="1889" t="s">
        <v>3173</v>
      </c>
      <c r="D1340" s="2331"/>
      <c r="E1340" s="2331"/>
      <c r="F1340" s="2331"/>
      <c r="G1340" s="2331"/>
      <c r="H1340" s="2331"/>
      <c r="I1340" s="2331"/>
      <c r="J1340" s="2331"/>
      <c r="K1340" s="2331"/>
      <c r="L1340" s="2331"/>
      <c r="M1340" s="2331"/>
      <c r="N1340" s="2331"/>
      <c r="O1340" s="2336" t="s">
        <v>3177</v>
      </c>
      <c r="P1340" s="2355" t="str">
        <f>'Part VII-Threshold Criteria'!P302</f>
        <v>Yes</v>
      </c>
      <c r="Q1340" s="2337"/>
      <c r="S1340" s="2372"/>
      <c r="T1340" s="2372"/>
      <c r="U1340" s="2372"/>
      <c r="V1340" s="2372"/>
      <c r="W1340" s="2372"/>
      <c r="X1340" s="2372"/>
      <c r="Y1340" s="2372"/>
      <c r="Z1340" s="2372"/>
      <c r="AA1340" s="2372"/>
      <c r="AB1340" s="2372"/>
      <c r="AC1340" s="2372"/>
      <c r="AD1340" s="2372"/>
      <c r="AE1340" s="2372"/>
      <c r="AF1340" s="2372"/>
      <c r="AG1340" s="2372"/>
      <c r="AH1340" s="2372"/>
      <c r="AI1340" s="2372"/>
      <c r="AJ1340" s="2372"/>
      <c r="AK1340" s="2372"/>
      <c r="AL1340" s="2372"/>
      <c r="AM1340" s="2372"/>
      <c r="AN1340" s="2372"/>
      <c r="AO1340" s="2372"/>
      <c r="AP1340" s="2372"/>
      <c r="AQ1340" s="2372"/>
      <c r="AR1340" s="2372"/>
    </row>
    <row r="1341" spans="1:44" ht="11.25" customHeight="1">
      <c r="B1341" s="2268" t="s">
        <v>3243</v>
      </c>
      <c r="D1341" s="2268"/>
      <c r="E1341" s="2268"/>
      <c r="F1341" s="2268"/>
      <c r="G1341" s="2268"/>
      <c r="H1341" s="1875"/>
      <c r="I1341" s="2243"/>
      <c r="J1341" s="2243"/>
      <c r="K1341" s="2243"/>
      <c r="L1341" s="1902"/>
      <c r="M1341" s="1902"/>
      <c r="N1341" s="1902"/>
      <c r="O1341" s="1902"/>
      <c r="P1341" s="1902"/>
      <c r="Q1341" s="1902"/>
      <c r="S1341" s="2361"/>
      <c r="T1341" s="2361"/>
      <c r="U1341" s="2361"/>
      <c r="V1341" s="2361"/>
      <c r="W1341" s="2361"/>
      <c r="X1341" s="2361"/>
      <c r="Y1341" s="2361"/>
      <c r="Z1341" s="2361"/>
      <c r="AA1341" s="2361"/>
      <c r="AB1341" s="2361"/>
      <c r="AC1341" s="2361"/>
      <c r="AD1341" s="2361"/>
      <c r="AE1341" s="2361"/>
      <c r="AF1341" s="2361"/>
      <c r="AG1341" s="2361"/>
      <c r="AH1341" s="2361"/>
      <c r="AI1341" s="2361"/>
      <c r="AJ1341" s="2361"/>
      <c r="AK1341" s="2361"/>
      <c r="AL1341" s="2361"/>
      <c r="AM1341" s="2361"/>
      <c r="AN1341" s="2361"/>
      <c r="AO1341" s="2361"/>
      <c r="AP1341" s="2361"/>
      <c r="AQ1341" s="2361"/>
      <c r="AR1341" s="2361"/>
    </row>
    <row r="1342" spans="1:44" ht="382.5">
      <c r="A1342" s="2327" t="str">
        <f>'Part VII-Threshold Criteria'!A304</f>
        <v xml:space="preserve">The applicant will engage a qualified Accessibility Consultant to perform the required requirement checks. The development will be in full compliance regarding all accessibility per the above. Development team has vast experience in Georgia and has systems in place to easily satisfy requirements. </v>
      </c>
      <c r="B1342" s="2327"/>
      <c r="C1342" s="2327"/>
      <c r="D1342" s="2327"/>
      <c r="E1342" s="2327"/>
      <c r="F1342" s="2327"/>
      <c r="G1342" s="2327"/>
      <c r="H1342" s="2327"/>
      <c r="I1342" s="2327"/>
      <c r="J1342" s="2327"/>
      <c r="K1342" s="2327"/>
      <c r="L1342" s="2327"/>
      <c r="M1342" s="2327"/>
      <c r="N1342" s="2327"/>
      <c r="O1342" s="2327"/>
      <c r="P1342" s="2327"/>
      <c r="Q1342" s="2327"/>
      <c r="R1342" s="2017" t="s">
        <v>1181</v>
      </c>
      <c r="S1342" s="2368"/>
      <c r="T1342" s="2361"/>
      <c r="U1342" s="2282"/>
      <c r="V1342" s="2282"/>
      <c r="W1342" s="2282"/>
      <c r="X1342" s="2282"/>
      <c r="Y1342" s="2282"/>
      <c r="Z1342" s="2282"/>
      <c r="AA1342" s="2282"/>
      <c r="AB1342" s="2282"/>
      <c r="AC1342" s="2282"/>
      <c r="AD1342" s="2282"/>
      <c r="AE1342" s="2282"/>
      <c r="AF1342" s="2361"/>
      <c r="AG1342" s="2361"/>
      <c r="AH1342" s="2361"/>
      <c r="AI1342" s="2361"/>
      <c r="AJ1342" s="2361"/>
      <c r="AK1342" s="2361"/>
      <c r="AL1342" s="2361"/>
      <c r="AM1342" s="2361"/>
      <c r="AN1342" s="2361"/>
      <c r="AO1342" s="2361"/>
      <c r="AP1342" s="2361"/>
      <c r="AQ1342" s="2361"/>
      <c r="AR1342" s="2361"/>
    </row>
    <row r="1343" spans="1:44" ht="11.25" customHeight="1">
      <c r="B1343" s="2328" t="s">
        <v>1730</v>
      </c>
      <c r="C1343" s="2329"/>
      <c r="D1343" s="2330"/>
      <c r="E1343" s="2330"/>
      <c r="F1343" s="2330"/>
      <c r="G1343" s="2330"/>
      <c r="H1343" s="2330"/>
      <c r="I1343" s="2330"/>
      <c r="J1343" s="2330"/>
      <c r="K1343" s="2330"/>
      <c r="L1343" s="2330"/>
      <c r="M1343" s="2330"/>
      <c r="N1343" s="2330"/>
      <c r="O1343" s="2330"/>
      <c r="P1343" s="2330"/>
      <c r="Q1343" s="2330"/>
      <c r="S1343" s="2361"/>
      <c r="T1343" s="2361"/>
      <c r="U1343" s="2361"/>
      <c r="V1343" s="2361"/>
      <c r="W1343" s="2361"/>
      <c r="X1343" s="2361"/>
      <c r="Y1343" s="2361"/>
      <c r="Z1343" s="2361"/>
      <c r="AA1343" s="2361"/>
      <c r="AB1343" s="2361"/>
      <c r="AC1343" s="2361"/>
      <c r="AD1343" s="2361"/>
      <c r="AE1343" s="2361"/>
      <c r="AF1343" s="2361"/>
      <c r="AG1343" s="2361"/>
      <c r="AH1343" s="2361"/>
      <c r="AI1343" s="2361"/>
      <c r="AJ1343" s="2361"/>
      <c r="AK1343" s="2361"/>
      <c r="AL1343" s="2361"/>
      <c r="AM1343" s="2361"/>
      <c r="AN1343" s="2361"/>
      <c r="AO1343" s="2361"/>
      <c r="AP1343" s="2361"/>
      <c r="AQ1343" s="2361"/>
      <c r="AR1343" s="2361"/>
    </row>
    <row r="1344" spans="1:44">
      <c r="A1344" s="2331"/>
      <c r="B1344" s="2331"/>
      <c r="C1344" s="2331"/>
      <c r="D1344" s="2331"/>
      <c r="E1344" s="2331"/>
      <c r="F1344" s="2331"/>
      <c r="G1344" s="2331"/>
      <c r="H1344" s="2331"/>
      <c r="I1344" s="2331"/>
      <c r="J1344" s="2331"/>
      <c r="K1344" s="2331"/>
      <c r="L1344" s="2331"/>
      <c r="M1344" s="2331"/>
      <c r="N1344" s="2331"/>
      <c r="O1344" s="2331"/>
      <c r="P1344" s="2331"/>
      <c r="Q1344" s="2331"/>
      <c r="S1344" s="2361"/>
      <c r="T1344" s="2361"/>
      <c r="U1344" s="2361"/>
      <c r="V1344" s="2361"/>
      <c r="W1344" s="2361"/>
      <c r="X1344" s="2361"/>
      <c r="Y1344" s="2361"/>
      <c r="Z1344" s="2361"/>
      <c r="AA1344" s="2361"/>
      <c r="AB1344" s="2361"/>
      <c r="AC1344" s="2361"/>
      <c r="AD1344" s="2361"/>
      <c r="AE1344" s="2361"/>
      <c r="AF1344" s="2361"/>
      <c r="AG1344" s="2361"/>
      <c r="AH1344" s="2361"/>
      <c r="AI1344" s="2361"/>
      <c r="AJ1344" s="2361"/>
      <c r="AK1344" s="2361"/>
      <c r="AL1344" s="2361"/>
      <c r="AM1344" s="2361"/>
      <c r="AN1344" s="2361"/>
      <c r="AO1344" s="2361"/>
      <c r="AP1344" s="2361"/>
      <c r="AQ1344" s="2361"/>
      <c r="AR1344" s="2361"/>
    </row>
    <row r="1345" spans="1:256 1523:1523" ht="14.1" customHeight="1">
      <c r="A1345" s="2206" t="s">
        <v>3376</v>
      </c>
      <c r="B1345" s="359" t="s">
        <v>2435</v>
      </c>
      <c r="C1345" s="359"/>
      <c r="D1345" s="359"/>
      <c r="E1345" s="359"/>
      <c r="F1345" s="359"/>
      <c r="G1345" s="359"/>
      <c r="H1345" s="2330"/>
      <c r="I1345" s="2330"/>
      <c r="J1345" s="2330"/>
      <c r="K1345" s="2330"/>
      <c r="L1345" s="2330"/>
      <c r="M1345" s="2330"/>
      <c r="O1345" s="2325" t="s">
        <v>1731</v>
      </c>
      <c r="P1345" s="1505"/>
      <c r="Q1345" s="1505"/>
      <c r="S1345" s="2361"/>
      <c r="T1345" s="2361"/>
      <c r="U1345" s="2361"/>
      <c r="V1345" s="2361"/>
      <c r="W1345" s="2361"/>
      <c r="X1345" s="2361"/>
      <c r="Y1345" s="2361"/>
      <c r="Z1345" s="2361"/>
      <c r="AA1345" s="2361"/>
      <c r="AB1345" s="2361"/>
      <c r="AC1345" s="2361"/>
      <c r="AD1345" s="2361"/>
      <c r="AE1345" s="2361"/>
      <c r="AF1345" s="2361"/>
      <c r="AG1345" s="2361"/>
      <c r="AH1345" s="2361"/>
      <c r="AI1345" s="2361"/>
      <c r="AJ1345" s="2361"/>
      <c r="AK1345" s="2361"/>
      <c r="AL1345" s="2361"/>
      <c r="AM1345" s="2361"/>
      <c r="AN1345" s="2361"/>
      <c r="AO1345" s="2361"/>
      <c r="AP1345" s="2361"/>
      <c r="AQ1345" s="2361"/>
      <c r="AR1345" s="2361"/>
    </row>
    <row r="1346" spans="1:256 1523:1523" ht="11.45" customHeight="1">
      <c r="B1346" s="807" t="s">
        <v>2082</v>
      </c>
      <c r="P1346" s="2344" t="str">
        <f>'Part VII-Threshold Criteria'!P308</f>
        <v>No</v>
      </c>
      <c r="Q1346" s="2243"/>
      <c r="S1346" s="2361"/>
      <c r="T1346" s="2361"/>
      <c r="U1346" s="2361"/>
      <c r="V1346" s="2361"/>
      <c r="W1346" s="2361"/>
      <c r="X1346" s="2361"/>
      <c r="Y1346" s="2361"/>
      <c r="Z1346" s="2361"/>
      <c r="AA1346" s="2361"/>
      <c r="AB1346" s="2361"/>
      <c r="AC1346" s="2361"/>
      <c r="AD1346" s="2361"/>
      <c r="AE1346" s="2361"/>
      <c r="AF1346" s="2361"/>
      <c r="AG1346" s="2361"/>
      <c r="AH1346" s="2361"/>
      <c r="AI1346" s="2361"/>
      <c r="AJ1346" s="2361"/>
      <c r="AK1346" s="2361"/>
      <c r="AL1346" s="2361"/>
      <c r="AM1346" s="2361"/>
      <c r="AN1346" s="2361"/>
      <c r="AO1346" s="2361"/>
      <c r="AP1346" s="2361"/>
      <c r="AQ1346" s="2361"/>
      <c r="AR1346" s="2361"/>
    </row>
    <row r="1347" spans="1:256 1523:1523" ht="12" customHeight="1">
      <c r="B1347" s="2339" t="s">
        <v>2046</v>
      </c>
      <c r="C1347" s="2339"/>
      <c r="D1347" s="2339"/>
      <c r="E1347" s="2339"/>
      <c r="F1347" s="2339"/>
      <c r="G1347" s="2339"/>
      <c r="H1347" s="2339"/>
      <c r="I1347" s="2339"/>
      <c r="J1347" s="2339"/>
      <c r="K1347" s="2339"/>
      <c r="L1347" s="2339"/>
      <c r="P1347" s="2344" t="str">
        <f>'Part VII-Threshold Criteria'!P309</f>
        <v>Yes</v>
      </c>
      <c r="Q1347" s="2243"/>
      <c r="S1347" s="2361"/>
      <c r="T1347" s="2361"/>
      <c r="U1347" s="2361"/>
      <c r="V1347" s="2361"/>
      <c r="W1347" s="2361"/>
      <c r="X1347" s="2361"/>
      <c r="Y1347" s="2361"/>
      <c r="Z1347" s="2361"/>
      <c r="AA1347" s="2361"/>
      <c r="AB1347" s="2361"/>
      <c r="AC1347" s="2361"/>
      <c r="AD1347" s="2361"/>
      <c r="AE1347" s="2361"/>
      <c r="AF1347" s="2361"/>
      <c r="AG1347" s="2361"/>
      <c r="AH1347" s="2361"/>
      <c r="AI1347" s="2361"/>
      <c r="AJ1347" s="2361"/>
      <c r="AK1347" s="2361"/>
      <c r="AL1347" s="2361"/>
      <c r="AM1347" s="2361"/>
      <c r="AN1347" s="2361"/>
      <c r="AO1347" s="2361"/>
      <c r="AP1347" s="2361"/>
      <c r="AQ1347" s="2361"/>
      <c r="AR1347" s="2361"/>
    </row>
    <row r="1348" spans="1:256 1523:1523" ht="11.45" customHeight="1">
      <c r="A1348" s="2342"/>
      <c r="B1348" s="1875" t="s">
        <v>3792</v>
      </c>
      <c r="E1348" s="1875"/>
      <c r="F1348" s="1875"/>
      <c r="G1348" s="1875"/>
      <c r="H1348" s="1875"/>
      <c r="I1348" s="359"/>
      <c r="J1348" s="2342"/>
      <c r="K1348" s="2211" t="str">
        <f>'Part VII-Threshold Criteria'!K310</f>
        <v>Yes - W&amp;D hookups installed in each unit</v>
      </c>
      <c r="L1348" s="2211"/>
      <c r="M1348" s="2211"/>
      <c r="N1348" s="2211"/>
      <c r="O1348" s="362"/>
      <c r="Q1348" s="2243"/>
      <c r="R1348" s="359"/>
      <c r="S1348" s="2361"/>
      <c r="T1348" s="2361"/>
      <c r="U1348" s="2361"/>
      <c r="V1348" s="2361"/>
      <c r="W1348" s="2361"/>
      <c r="X1348" s="2361"/>
      <c r="Y1348" s="2361"/>
      <c r="Z1348" s="2361"/>
      <c r="AA1348" s="2361"/>
      <c r="AB1348" s="2361"/>
      <c r="AC1348" s="2361"/>
      <c r="AD1348" s="2361"/>
      <c r="AE1348" s="2361"/>
      <c r="AF1348" s="2361"/>
      <c r="AG1348" s="2361"/>
      <c r="AH1348" s="2361"/>
      <c r="AI1348" s="2361"/>
      <c r="AJ1348" s="2361"/>
      <c r="AK1348" s="2361"/>
      <c r="AL1348" s="2361"/>
      <c r="AM1348" s="2361"/>
      <c r="AN1348" s="2361"/>
      <c r="AO1348" s="2361"/>
      <c r="AP1348" s="2361"/>
      <c r="AQ1348" s="2361"/>
      <c r="AR1348" s="2361"/>
    </row>
    <row r="1349" spans="1:256 1523:1523" ht="11.45" customHeight="1">
      <c r="A1349" s="2336" t="s">
        <v>1842</v>
      </c>
      <c r="B1349" s="1875" t="s">
        <v>6680</v>
      </c>
      <c r="D1349" s="1875"/>
      <c r="E1349" s="1875"/>
      <c r="F1349" s="1875"/>
      <c r="G1349" s="1875"/>
      <c r="H1349" s="1875"/>
      <c r="I1349" s="1875"/>
      <c r="J1349" s="1875"/>
      <c r="K1349" s="1875"/>
      <c r="L1349" s="1875"/>
      <c r="M1349" s="1875"/>
      <c r="N1349" s="2336"/>
      <c r="S1349" s="2361"/>
      <c r="T1349" s="2361"/>
      <c r="U1349" s="2361"/>
      <c r="V1349" s="2361"/>
      <c r="W1349" s="2361"/>
      <c r="X1349" s="2361"/>
      <c r="Y1349" s="2361"/>
      <c r="Z1349" s="2361"/>
      <c r="AA1349" s="2361"/>
      <c r="AB1349" s="2361"/>
      <c r="AC1349" s="2361"/>
      <c r="AD1349" s="2361"/>
      <c r="AE1349" s="2361"/>
      <c r="AF1349" s="2361"/>
      <c r="AG1349" s="2361"/>
      <c r="AH1349" s="2361"/>
      <c r="AI1349" s="2361"/>
      <c r="AJ1349" s="2361"/>
      <c r="AK1349" s="2361"/>
      <c r="AL1349" s="2361"/>
      <c r="AM1349" s="2361"/>
      <c r="AN1349" s="2361"/>
      <c r="AO1349" s="2361"/>
      <c r="AP1349" s="2361"/>
      <c r="AQ1349" s="2361"/>
      <c r="AR1349" s="2361"/>
    </row>
    <row r="1350" spans="1:256 1523:1523">
      <c r="B1350" s="1889" t="s">
        <v>6679</v>
      </c>
      <c r="C1350" s="2331"/>
      <c r="D1350" s="2331"/>
      <c r="E1350" s="2331"/>
      <c r="F1350" s="2331"/>
      <c r="G1350" s="2331"/>
      <c r="H1350" s="2331"/>
      <c r="I1350" s="2331"/>
      <c r="J1350" s="2331"/>
      <c r="K1350" s="2331"/>
      <c r="L1350" s="2331"/>
      <c r="M1350" s="2331"/>
      <c r="N1350" s="2331"/>
      <c r="O1350" s="2336" t="s">
        <v>1842</v>
      </c>
      <c r="P1350" s="2355" t="str">
        <f>'Part VII-Threshold Criteria'!P312</f>
        <v>Agree</v>
      </c>
      <c r="Q1350" s="2337"/>
      <c r="S1350" s="2361"/>
      <c r="T1350" s="2361"/>
      <c r="U1350" s="2361"/>
      <c r="V1350" s="2361"/>
      <c r="W1350" s="2361"/>
      <c r="X1350" s="2361"/>
      <c r="Y1350" s="2361"/>
      <c r="Z1350" s="2361"/>
      <c r="AA1350" s="2361"/>
      <c r="AB1350" s="2361"/>
      <c r="AC1350" s="2361"/>
      <c r="AD1350" s="2361"/>
      <c r="AE1350" s="2361"/>
      <c r="AF1350" s="2361"/>
      <c r="AG1350" s="2361"/>
      <c r="AH1350" s="2361"/>
      <c r="AI1350" s="2361"/>
      <c r="AJ1350" s="2361"/>
      <c r="AK1350" s="2361"/>
      <c r="AL1350" s="2361"/>
      <c r="AM1350" s="2361"/>
      <c r="AN1350" s="2361"/>
      <c r="AO1350" s="2361"/>
      <c r="AP1350" s="2361"/>
      <c r="AQ1350" s="2361"/>
      <c r="AR1350" s="2361"/>
    </row>
    <row r="1351" spans="1:256 1523:1523" ht="12.6" customHeight="1">
      <c r="A1351" s="2336" t="s">
        <v>1844</v>
      </c>
      <c r="B1351" s="362" t="s">
        <v>433</v>
      </c>
      <c r="D1351" s="362"/>
      <c r="E1351" s="362"/>
      <c r="F1351" s="362"/>
      <c r="G1351" s="362"/>
      <c r="H1351" s="362"/>
      <c r="I1351" s="362"/>
      <c r="J1351" s="362"/>
      <c r="K1351" s="362"/>
      <c r="L1351" s="362"/>
      <c r="M1351" s="362"/>
      <c r="O1351" s="2336" t="s">
        <v>1844</v>
      </c>
      <c r="P1351" s="1902"/>
      <c r="Q1351" s="1902"/>
      <c r="S1351" s="2361"/>
      <c r="T1351" s="2361"/>
      <c r="U1351" s="2361"/>
      <c r="V1351" s="2361"/>
      <c r="W1351" s="2361"/>
      <c r="X1351" s="2361"/>
      <c r="Y1351" s="2361"/>
      <c r="Z1351" s="2361"/>
      <c r="AA1351" s="2361"/>
      <c r="AB1351" s="2361"/>
      <c r="AC1351" s="2361"/>
      <c r="AD1351" s="2361"/>
      <c r="AE1351" s="2361"/>
      <c r="AF1351" s="2361"/>
      <c r="AG1351" s="2361"/>
      <c r="AH1351" s="2361"/>
      <c r="AI1351" s="2361"/>
      <c r="AJ1351" s="2361"/>
      <c r="AK1351" s="2361"/>
      <c r="AL1351" s="2361"/>
      <c r="AM1351" s="2361"/>
      <c r="AN1351" s="2361"/>
      <c r="AO1351" s="2361"/>
      <c r="AP1351" s="2361"/>
      <c r="AQ1351" s="2361"/>
      <c r="AR1351" s="2361"/>
    </row>
    <row r="1352" spans="1:256 1523:1523">
      <c r="B1352" s="2339" t="s">
        <v>1615</v>
      </c>
      <c r="C1352" s="1889" t="s">
        <v>1066</v>
      </c>
      <c r="E1352" s="2265"/>
      <c r="F1352" s="2265"/>
      <c r="G1352" s="2069"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019"/>
      <c r="I1352" s="2019"/>
      <c r="J1352" s="2019"/>
      <c r="K1352" s="2019"/>
      <c r="L1352" s="2019"/>
      <c r="M1352" s="2019"/>
      <c r="N1352" s="2019"/>
      <c r="O1352" s="2336" t="s">
        <v>1615</v>
      </c>
      <c r="P1352" s="2355" t="str">
        <f>'Part VII-Threshold Criteria'!P314</f>
        <v>Yes</v>
      </c>
      <c r="Q1352" s="2337"/>
      <c r="S1352" s="2361"/>
      <c r="T1352" s="2361"/>
      <c r="U1352" s="2361"/>
      <c r="V1352" s="2361"/>
      <c r="W1352" s="2361"/>
      <c r="X1352" s="2361"/>
      <c r="Y1352" s="2361"/>
      <c r="Z1352" s="2361"/>
      <c r="AA1352" s="2361"/>
      <c r="AB1352" s="2361"/>
      <c r="AC1352" s="2361"/>
      <c r="AD1352" s="2361"/>
      <c r="AE1352" s="2361"/>
      <c r="AF1352" s="2361"/>
      <c r="AG1352" s="2361"/>
      <c r="AH1352" s="2361"/>
      <c r="AI1352" s="2361"/>
      <c r="AJ1352" s="2361"/>
      <c r="AK1352" s="2361"/>
      <c r="AL1352" s="2361"/>
      <c r="AM1352" s="2361"/>
      <c r="AN1352" s="2361"/>
      <c r="AO1352" s="2361"/>
      <c r="AP1352" s="2361"/>
      <c r="AQ1352" s="2361"/>
      <c r="AR1352" s="2361"/>
      <c r="BFO1352" s="357" t="s">
        <v>2473</v>
      </c>
    </row>
    <row r="1353" spans="1:256 1523:1523">
      <c r="B1353" s="2339" t="s">
        <v>1616</v>
      </c>
      <c r="C1353" s="1889" t="s">
        <v>1067</v>
      </c>
      <c r="D1353" s="2331"/>
      <c r="E1353" s="2331"/>
      <c r="F1353" s="2331"/>
      <c r="G1353" s="2069" t="str">
        <f>'Part VII-Threshold Criteria'!G315</f>
        <v xml:space="preserve">Fiber cement siding or other 30 year warranty product installed on all exterior wall surfaces not already required to be brick </v>
      </c>
      <c r="H1353" s="2019"/>
      <c r="I1353" s="2019"/>
      <c r="J1353" s="2019"/>
      <c r="K1353" s="2019"/>
      <c r="L1353" s="2019"/>
      <c r="M1353" s="2019"/>
      <c r="N1353" s="2019"/>
      <c r="O1353" s="2336" t="s">
        <v>1616</v>
      </c>
      <c r="P1353" s="2355" t="str">
        <f>'Part VII-Threshold Criteria'!P315</f>
        <v>Yes</v>
      </c>
      <c r="Q1353" s="2337"/>
      <c r="S1353" s="2361"/>
      <c r="T1353" s="2361"/>
      <c r="U1353" s="2361"/>
      <c r="V1353" s="2361"/>
      <c r="W1353" s="2361"/>
      <c r="X1353" s="2361"/>
      <c r="Y1353" s="2361"/>
      <c r="Z1353" s="2361"/>
      <c r="AA1353" s="2361"/>
      <c r="AB1353" s="2361"/>
      <c r="AC1353" s="2361"/>
      <c r="AD1353" s="2361"/>
      <c r="AE1353" s="2361"/>
      <c r="AF1353" s="2361"/>
      <c r="AG1353" s="2361"/>
      <c r="AH1353" s="2361"/>
      <c r="AI1353" s="2361"/>
      <c r="AJ1353" s="2361"/>
      <c r="AK1353" s="2361"/>
      <c r="AL1353" s="2361"/>
      <c r="AM1353" s="2361"/>
      <c r="AN1353" s="2361"/>
      <c r="AO1353" s="2361"/>
      <c r="AP1353" s="2361"/>
      <c r="AQ1353" s="2361"/>
      <c r="AR1353" s="2361"/>
    </row>
    <row r="1354" spans="1:256 1523:1523" ht="3" customHeight="1">
      <c r="A1354" s="1902"/>
      <c r="B1354" s="2219"/>
      <c r="C1354" s="1902"/>
      <c r="D1354" s="1902"/>
      <c r="E1354" s="1902"/>
      <c r="F1354" s="1902"/>
      <c r="G1354" s="1902"/>
      <c r="H1354" s="1902"/>
      <c r="I1354" s="1902"/>
      <c r="J1354" s="1902"/>
      <c r="K1354" s="1902"/>
      <c r="L1354" s="1902"/>
      <c r="M1354" s="1902"/>
      <c r="N1354" s="1902"/>
      <c r="O1354" s="1902"/>
      <c r="P1354" s="1902"/>
      <c r="Q1354" s="1902"/>
      <c r="R1354" s="1902"/>
      <c r="S1354" s="2235"/>
      <c r="T1354" s="2235"/>
      <c r="U1354" s="2235"/>
      <c r="V1354" s="2235"/>
      <c r="W1354" s="2235"/>
      <c r="X1354" s="2235"/>
      <c r="Y1354" s="2235"/>
      <c r="Z1354" s="2235"/>
      <c r="AA1354" s="2235"/>
      <c r="AB1354" s="2235"/>
      <c r="AC1354" s="2235"/>
      <c r="AD1354" s="2235"/>
      <c r="AE1354" s="2235"/>
      <c r="AF1354" s="2235"/>
      <c r="AG1354" s="2235"/>
      <c r="AH1354" s="2235"/>
      <c r="AI1354" s="2235"/>
      <c r="AJ1354" s="2235"/>
      <c r="AK1354" s="2235"/>
      <c r="AL1354" s="2235"/>
      <c r="AM1354" s="2235"/>
      <c r="AN1354" s="2235"/>
      <c r="AO1354" s="2235"/>
      <c r="AP1354" s="2235"/>
      <c r="AQ1354" s="2235"/>
      <c r="AR1354" s="2235"/>
      <c r="AS1354" s="1902"/>
      <c r="AT1354" s="1902"/>
      <c r="AU1354" s="1902"/>
      <c r="AV1354" s="1902"/>
      <c r="AW1354" s="1902"/>
      <c r="AX1354" s="1902"/>
      <c r="AY1354" s="1902"/>
      <c r="AZ1354" s="1902"/>
      <c r="BA1354" s="1902"/>
      <c r="BB1354" s="1902"/>
      <c r="BC1354" s="1902"/>
      <c r="BD1354" s="1902"/>
      <c r="BE1354" s="1902"/>
      <c r="BF1354" s="1902"/>
      <c r="BG1354" s="1902"/>
      <c r="BH1354" s="1902"/>
      <c r="BI1354" s="1902"/>
      <c r="BJ1354" s="1902"/>
      <c r="BK1354" s="1902"/>
      <c r="BL1354" s="1902"/>
      <c r="BM1354" s="1902"/>
      <c r="BN1354" s="1902"/>
      <c r="BO1354" s="1902"/>
      <c r="BP1354" s="1902"/>
      <c r="BQ1354" s="1902"/>
      <c r="BR1354" s="1902"/>
      <c r="BS1354" s="1902"/>
      <c r="BT1354" s="1902"/>
      <c r="BU1354" s="1902"/>
      <c r="BV1354" s="1902"/>
      <c r="BW1354" s="1902"/>
      <c r="BX1354" s="1902"/>
      <c r="BY1354" s="1902"/>
      <c r="BZ1354" s="1902"/>
      <c r="CA1354" s="1902"/>
      <c r="CB1354" s="1902"/>
      <c r="CC1354" s="1902"/>
      <c r="CD1354" s="1902"/>
      <c r="CE1354" s="1902"/>
      <c r="CF1354" s="1902"/>
      <c r="CG1354" s="1902"/>
      <c r="CH1354" s="1902"/>
      <c r="CI1354" s="1902"/>
      <c r="CJ1354" s="1902"/>
      <c r="CK1354" s="1902"/>
      <c r="CL1354" s="1902"/>
      <c r="CM1354" s="1902"/>
      <c r="CN1354" s="1902"/>
      <c r="CO1354" s="1902"/>
      <c r="CP1354" s="1902"/>
      <c r="CQ1354" s="1902"/>
      <c r="CR1354" s="1902"/>
      <c r="CS1354" s="1902"/>
      <c r="CT1354" s="1902"/>
      <c r="CU1354" s="1902"/>
      <c r="CV1354" s="1902"/>
      <c r="CW1354" s="1902"/>
      <c r="CX1354" s="1902"/>
      <c r="CY1354" s="1902"/>
      <c r="CZ1354" s="1902"/>
      <c r="DA1354" s="1902"/>
      <c r="DB1354" s="1902"/>
      <c r="DC1354" s="1902"/>
      <c r="DD1354" s="1902"/>
      <c r="DE1354" s="1902"/>
      <c r="DF1354" s="1902"/>
      <c r="DG1354" s="1902"/>
      <c r="DH1354" s="1902"/>
      <c r="DI1354" s="1902"/>
      <c r="DJ1354" s="1902"/>
      <c r="DK1354" s="1902"/>
      <c r="DL1354" s="1902"/>
      <c r="DM1354" s="1902"/>
      <c r="DN1354" s="1902"/>
      <c r="DO1354" s="1902"/>
      <c r="DP1354" s="1902"/>
      <c r="DQ1354" s="1902"/>
      <c r="DR1354" s="1902"/>
      <c r="DS1354" s="1902"/>
      <c r="DT1354" s="1902"/>
      <c r="DU1354" s="1902"/>
      <c r="DV1354" s="1902"/>
      <c r="DW1354" s="1902"/>
      <c r="DX1354" s="1902"/>
      <c r="DY1354" s="1902"/>
      <c r="DZ1354" s="1902"/>
      <c r="EA1354" s="1902"/>
      <c r="EB1354" s="1902"/>
      <c r="EC1354" s="1902"/>
      <c r="ED1354" s="1902"/>
      <c r="EE1354" s="1902"/>
      <c r="EF1354" s="1902"/>
      <c r="EG1354" s="1902"/>
      <c r="EH1354" s="1902"/>
      <c r="EI1354" s="1902"/>
      <c r="EJ1354" s="1902"/>
      <c r="EK1354" s="1902"/>
      <c r="EL1354" s="1902"/>
      <c r="EM1354" s="1902"/>
      <c r="EN1354" s="1902"/>
      <c r="EO1354" s="1902"/>
      <c r="EP1354" s="1902"/>
      <c r="EQ1354" s="1902"/>
      <c r="ER1354" s="1902"/>
      <c r="ES1354" s="1902"/>
      <c r="ET1354" s="1902"/>
      <c r="EU1354" s="1902"/>
      <c r="EV1354" s="1902"/>
      <c r="EW1354" s="1902"/>
      <c r="EX1354" s="1902"/>
      <c r="EY1354" s="1902"/>
      <c r="EZ1354" s="1902"/>
      <c r="FA1354" s="1902"/>
      <c r="FB1354" s="1902"/>
      <c r="FC1354" s="1902"/>
      <c r="FD1354" s="1902"/>
      <c r="FE1354" s="1902"/>
      <c r="FF1354" s="1902"/>
      <c r="FG1354" s="1902"/>
      <c r="FH1354" s="1902"/>
      <c r="FI1354" s="1902"/>
      <c r="FJ1354" s="1902"/>
      <c r="FK1354" s="1902"/>
      <c r="FL1354" s="1902"/>
      <c r="FM1354" s="1902"/>
      <c r="FN1354" s="1902"/>
      <c r="FO1354" s="1902"/>
      <c r="FP1354" s="1902"/>
      <c r="FQ1354" s="1902"/>
      <c r="FR1354" s="1902"/>
      <c r="FS1354" s="1902"/>
      <c r="FT1354" s="1902"/>
      <c r="FU1354" s="1902"/>
      <c r="FV1354" s="1902"/>
      <c r="FW1354" s="1902"/>
      <c r="FX1354" s="1902"/>
      <c r="FY1354" s="1902"/>
      <c r="FZ1354" s="1902"/>
      <c r="GA1354" s="1902"/>
      <c r="GB1354" s="1902"/>
      <c r="GC1354" s="1902"/>
      <c r="GD1354" s="1902"/>
      <c r="GE1354" s="1902"/>
      <c r="GF1354" s="1902"/>
      <c r="GG1354" s="1902"/>
      <c r="GH1354" s="1902"/>
      <c r="GI1354" s="1902"/>
      <c r="GJ1354" s="1902"/>
      <c r="GK1354" s="1902"/>
      <c r="GL1354" s="1902"/>
      <c r="GM1354" s="1902"/>
      <c r="GN1354" s="1902"/>
      <c r="GO1354" s="1902"/>
      <c r="GP1354" s="1902"/>
      <c r="GQ1354" s="1902"/>
      <c r="GR1354" s="1902"/>
      <c r="GS1354" s="1902"/>
      <c r="GT1354" s="1902"/>
      <c r="GU1354" s="1902"/>
      <c r="GV1354" s="1902"/>
      <c r="GW1354" s="1902"/>
      <c r="GX1354" s="1902"/>
      <c r="GY1354" s="1902"/>
      <c r="GZ1354" s="1902"/>
      <c r="HA1354" s="1902"/>
      <c r="HB1354" s="1902"/>
      <c r="HC1354" s="1902"/>
      <c r="HD1354" s="1902"/>
      <c r="HE1354" s="1902"/>
      <c r="HF1354" s="1902"/>
      <c r="HG1354" s="1902"/>
      <c r="HH1354" s="1902"/>
      <c r="HI1354" s="1902"/>
      <c r="HJ1354" s="1902"/>
      <c r="HK1354" s="1902"/>
      <c r="HL1354" s="1902"/>
      <c r="HM1354" s="1902"/>
      <c r="HN1354" s="1902"/>
      <c r="HO1354" s="1902"/>
      <c r="HP1354" s="1902"/>
      <c r="HQ1354" s="1902"/>
      <c r="HR1354" s="1902"/>
      <c r="HS1354" s="1902"/>
      <c r="HT1354" s="1902"/>
      <c r="HU1354" s="1902"/>
      <c r="HV1354" s="1902"/>
      <c r="HW1354" s="1902"/>
      <c r="HX1354" s="1902"/>
      <c r="HY1354" s="1902"/>
      <c r="HZ1354" s="1902"/>
      <c r="IA1354" s="1902"/>
      <c r="IB1354" s="1902"/>
      <c r="IC1354" s="1902"/>
      <c r="ID1354" s="1902"/>
      <c r="IE1354" s="1902"/>
      <c r="IF1354" s="1902"/>
      <c r="IG1354" s="1902"/>
      <c r="IH1354" s="1902"/>
      <c r="II1354" s="1902"/>
      <c r="IJ1354" s="1902"/>
      <c r="IK1354" s="1902"/>
      <c r="IL1354" s="1902"/>
      <c r="IM1354" s="1902"/>
      <c r="IN1354" s="1902"/>
      <c r="IO1354" s="1902"/>
      <c r="IP1354" s="1902"/>
      <c r="IQ1354" s="1902"/>
      <c r="IR1354" s="1902"/>
      <c r="IS1354" s="1902"/>
      <c r="IT1354" s="1902"/>
      <c r="IU1354" s="1902"/>
      <c r="IV1354" s="1902"/>
    </row>
    <row r="1355" spans="1:256 1523:1523" s="2265" customFormat="1">
      <c r="A1355" s="2336"/>
      <c r="B1355" s="2339" t="s">
        <v>1617</v>
      </c>
      <c r="C1355" s="1889" t="s">
        <v>6128</v>
      </c>
      <c r="D1355" s="2331"/>
      <c r="E1355" s="2331"/>
      <c r="F1355" s="2331"/>
      <c r="G1355" s="2029" t="s">
        <v>6129</v>
      </c>
      <c r="H1355" s="2039"/>
      <c r="I1355" s="2039"/>
      <c r="J1355" s="2039"/>
      <c r="K1355" s="2039"/>
      <c r="L1355" s="2039"/>
      <c r="M1355" s="2039"/>
      <c r="N1355" s="2039"/>
      <c r="O1355" s="2362"/>
      <c r="P1355" s="1902"/>
      <c r="Q1355" s="1902"/>
      <c r="S1355" s="2372"/>
      <c r="T1355" s="2372"/>
      <c r="U1355" s="2372"/>
      <c r="V1355" s="2372"/>
      <c r="W1355" s="2372"/>
      <c r="X1355" s="2372"/>
      <c r="Y1355" s="2372"/>
      <c r="Z1355" s="2372"/>
      <c r="AA1355" s="2372"/>
      <c r="AB1355" s="2372"/>
      <c r="AC1355" s="2372"/>
      <c r="AD1355" s="2372"/>
      <c r="AE1355" s="2372"/>
      <c r="AF1355" s="2372"/>
      <c r="AG1355" s="2372"/>
      <c r="AH1355" s="2372"/>
      <c r="AI1355" s="2372"/>
      <c r="AJ1355" s="2372"/>
      <c r="AK1355" s="2372"/>
      <c r="AL1355" s="2372"/>
      <c r="AM1355" s="2372"/>
      <c r="AN1355" s="2372"/>
      <c r="AO1355" s="2372"/>
      <c r="AP1355" s="2372"/>
      <c r="AQ1355" s="2372"/>
      <c r="AR1355" s="2372"/>
    </row>
    <row r="1356" spans="1:256 1523:1523" s="2265" customFormat="1" ht="11.25" customHeight="1">
      <c r="A1356" s="2345"/>
      <c r="B1356" s="2336" t="s">
        <v>2241</v>
      </c>
      <c r="C1356" s="2327">
        <f>'Part VII-Threshold Criteria'!C318</f>
        <v>0</v>
      </c>
      <c r="D1356" s="2327"/>
      <c r="E1356" s="2327"/>
      <c r="F1356" s="2327"/>
      <c r="G1356" s="2327"/>
      <c r="H1356" s="2327"/>
      <c r="I1356" s="2327"/>
      <c r="J1356" s="2327"/>
      <c r="K1356" s="2327"/>
      <c r="L1356" s="2327"/>
      <c r="M1356" s="2327"/>
      <c r="N1356" s="2327"/>
      <c r="O1356" s="2336" t="s">
        <v>6309</v>
      </c>
      <c r="P1356" s="2355" t="str">
        <f>'Part VII-Threshold Criteria'!P318</f>
        <v>No</v>
      </c>
      <c r="Q1356" s="2337"/>
      <c r="S1356" s="2372"/>
      <c r="T1356" s="2372"/>
      <c r="U1356" s="2372"/>
      <c r="V1356" s="2372"/>
      <c r="W1356" s="2372"/>
      <c r="X1356" s="2372"/>
      <c r="Y1356" s="2372"/>
      <c r="Z1356" s="2372"/>
      <c r="AA1356" s="2372"/>
      <c r="AB1356" s="2372"/>
      <c r="AC1356" s="2372"/>
      <c r="AD1356" s="2372"/>
      <c r="AE1356" s="2372"/>
      <c r="AF1356" s="2372"/>
      <c r="AG1356" s="2372"/>
      <c r="AH1356" s="2372"/>
      <c r="AI1356" s="2372"/>
      <c r="AJ1356" s="2372"/>
      <c r="AK1356" s="2372"/>
      <c r="AL1356" s="2372"/>
      <c r="AM1356" s="2372"/>
      <c r="AN1356" s="2372"/>
      <c r="AO1356" s="2372"/>
      <c r="AP1356" s="2372"/>
      <c r="AQ1356" s="2372"/>
      <c r="AR1356" s="2372"/>
    </row>
    <row r="1357" spans="1:256 1523:1523" s="2265" customFormat="1" ht="11.25" customHeight="1">
      <c r="A1357" s="2345"/>
      <c r="B1357" s="2336" t="s">
        <v>2242</v>
      </c>
      <c r="C1357" s="2327">
        <f>'Part VII-Threshold Criteria'!C319</f>
        <v>0</v>
      </c>
      <c r="D1357" s="2327"/>
      <c r="E1357" s="2327"/>
      <c r="F1357" s="2327"/>
      <c r="G1357" s="2327"/>
      <c r="H1357" s="2327"/>
      <c r="I1357" s="2327"/>
      <c r="J1357" s="2327"/>
      <c r="K1357" s="2327"/>
      <c r="L1357" s="2327"/>
      <c r="M1357" s="2327"/>
      <c r="N1357" s="2327"/>
      <c r="O1357" s="2336" t="s">
        <v>6310</v>
      </c>
      <c r="P1357" s="2355" t="str">
        <f>'Part VII-Threshold Criteria'!P319</f>
        <v>No</v>
      </c>
      <c r="Q1357" s="2337"/>
      <c r="S1357" s="2372"/>
      <c r="T1357" s="2372"/>
      <c r="U1357" s="2372"/>
      <c r="V1357" s="2372"/>
      <c r="W1357" s="2372"/>
      <c r="X1357" s="2372"/>
      <c r="Y1357" s="2372"/>
      <c r="Z1357" s="2372"/>
      <c r="AA1357" s="2372"/>
      <c r="AB1357" s="2372"/>
      <c r="AC1357" s="2372"/>
      <c r="AD1357" s="2372"/>
      <c r="AE1357" s="2372"/>
      <c r="AF1357" s="2372"/>
      <c r="AG1357" s="2372"/>
      <c r="AH1357" s="2372"/>
      <c r="AI1357" s="2372"/>
      <c r="AJ1357" s="2372"/>
      <c r="AK1357" s="2372"/>
      <c r="AL1357" s="2372"/>
      <c r="AM1357" s="2372"/>
      <c r="AN1357" s="2372"/>
      <c r="AO1357" s="2372"/>
      <c r="AP1357" s="2372"/>
      <c r="AQ1357" s="2372"/>
      <c r="AR1357" s="2372"/>
    </row>
    <row r="1358" spans="1:256 1523:1523">
      <c r="A1358" s="2336" t="s">
        <v>1963</v>
      </c>
      <c r="B1358" s="1889" t="s">
        <v>6774</v>
      </c>
      <c r="C1358" s="2331"/>
      <c r="D1358" s="2331"/>
      <c r="E1358" s="2331"/>
      <c r="F1358" s="2331"/>
      <c r="G1358" s="2331"/>
      <c r="H1358" s="2331"/>
      <c r="I1358" s="2331"/>
      <c r="J1358" s="2331"/>
      <c r="K1358" s="2331"/>
      <c r="L1358" s="2331"/>
      <c r="M1358" s="2331"/>
      <c r="N1358" s="2331"/>
      <c r="O1358" s="2336" t="s">
        <v>1963</v>
      </c>
      <c r="P1358" s="2355" t="str">
        <f>'Part VII-Threshold Criteria'!P320</f>
        <v>Agree</v>
      </c>
      <c r="Q1358" s="2337"/>
    </row>
    <row r="1359" spans="1:256 1523:1523" ht="3" customHeight="1">
      <c r="A1359" s="1902"/>
      <c r="B1359" s="1902"/>
      <c r="C1359" s="1902"/>
      <c r="D1359" s="1902"/>
      <c r="E1359" s="1902"/>
      <c r="F1359" s="1902"/>
      <c r="G1359" s="1902"/>
      <c r="H1359" s="1902"/>
      <c r="I1359" s="1902"/>
      <c r="J1359" s="1902"/>
      <c r="K1359" s="1902"/>
      <c r="L1359" s="1902"/>
      <c r="M1359" s="1902"/>
      <c r="N1359" s="1902"/>
      <c r="O1359" s="1902"/>
      <c r="P1359" s="1902"/>
      <c r="Q1359" s="1902"/>
      <c r="R1359" s="1902"/>
      <c r="S1359" s="2235"/>
      <c r="T1359" s="2235"/>
      <c r="U1359" s="2235"/>
      <c r="V1359" s="2235"/>
      <c r="W1359" s="2235"/>
      <c r="X1359" s="2235"/>
      <c r="Y1359" s="2235"/>
      <c r="Z1359" s="2235"/>
      <c r="AA1359" s="2235"/>
      <c r="AB1359" s="2235"/>
      <c r="AC1359" s="2235"/>
      <c r="AD1359" s="2235"/>
      <c r="AE1359" s="2235"/>
      <c r="AF1359" s="2235"/>
      <c r="AG1359" s="2235"/>
      <c r="AH1359" s="2235"/>
      <c r="AI1359" s="2235"/>
      <c r="AJ1359" s="2235"/>
      <c r="AK1359" s="2235"/>
      <c r="AL1359" s="2235"/>
      <c r="AM1359" s="2235"/>
      <c r="AN1359" s="2235"/>
      <c r="AO1359" s="2235"/>
      <c r="AP1359" s="2235"/>
      <c r="AQ1359" s="2235"/>
      <c r="AR1359" s="2235"/>
      <c r="AS1359" s="1902"/>
      <c r="AT1359" s="1902"/>
      <c r="AU1359" s="1902"/>
      <c r="AV1359" s="1902"/>
      <c r="AW1359" s="1902"/>
      <c r="AX1359" s="1902"/>
      <c r="AY1359" s="1902"/>
      <c r="AZ1359" s="1902"/>
      <c r="BA1359" s="1902"/>
      <c r="BB1359" s="1902"/>
      <c r="BC1359" s="1902"/>
      <c r="BD1359" s="1902"/>
      <c r="BE1359" s="1902"/>
      <c r="BF1359" s="1902"/>
      <c r="BG1359" s="1902"/>
      <c r="BH1359" s="1902"/>
      <c r="BI1359" s="1902"/>
      <c r="BJ1359" s="1902"/>
      <c r="BK1359" s="1902"/>
      <c r="BL1359" s="1902"/>
      <c r="BM1359" s="1902"/>
      <c r="BN1359" s="1902"/>
      <c r="BO1359" s="1902"/>
      <c r="BP1359" s="1902"/>
      <c r="BQ1359" s="1902"/>
      <c r="BR1359" s="1902"/>
      <c r="BS1359" s="1902"/>
      <c r="BT1359" s="1902"/>
      <c r="BU1359" s="1902"/>
      <c r="BV1359" s="1902"/>
      <c r="BW1359" s="1902"/>
      <c r="BX1359" s="1902"/>
      <c r="BY1359" s="1902"/>
      <c r="BZ1359" s="1902"/>
      <c r="CA1359" s="1902"/>
      <c r="CB1359" s="1902"/>
      <c r="CC1359" s="1902"/>
      <c r="CD1359" s="1902"/>
      <c r="CE1359" s="1902"/>
      <c r="CF1359" s="1902"/>
      <c r="CG1359" s="1902"/>
      <c r="CH1359" s="1902"/>
      <c r="CI1359" s="1902"/>
      <c r="CJ1359" s="1902"/>
      <c r="CK1359" s="1902"/>
      <c r="CL1359" s="1902"/>
      <c r="CM1359" s="1902"/>
      <c r="CN1359" s="1902"/>
      <c r="CO1359" s="1902"/>
      <c r="CP1359" s="1902"/>
      <c r="CQ1359" s="1902"/>
      <c r="CR1359" s="1902"/>
      <c r="CS1359" s="1902"/>
      <c r="CT1359" s="1902"/>
      <c r="CU1359" s="1902"/>
      <c r="CV1359" s="1902"/>
      <c r="CW1359" s="1902"/>
      <c r="CX1359" s="1902"/>
      <c r="CY1359" s="1902"/>
      <c r="CZ1359" s="1902"/>
      <c r="DA1359" s="1902"/>
      <c r="DB1359" s="1902"/>
      <c r="DC1359" s="1902"/>
      <c r="DD1359" s="1902"/>
      <c r="DE1359" s="1902"/>
      <c r="DF1359" s="1902"/>
      <c r="DG1359" s="1902"/>
      <c r="DH1359" s="1902"/>
      <c r="DI1359" s="1902"/>
      <c r="DJ1359" s="1902"/>
      <c r="DK1359" s="1902"/>
      <c r="DL1359" s="1902"/>
      <c r="DM1359" s="1902"/>
      <c r="DN1359" s="1902"/>
      <c r="DO1359" s="1902"/>
      <c r="DP1359" s="1902"/>
      <c r="DQ1359" s="1902"/>
      <c r="DR1359" s="1902"/>
      <c r="DS1359" s="1902"/>
      <c r="DT1359" s="1902"/>
      <c r="DU1359" s="1902"/>
      <c r="DV1359" s="1902"/>
      <c r="DW1359" s="1902"/>
      <c r="DX1359" s="1902"/>
      <c r="DY1359" s="1902"/>
      <c r="DZ1359" s="1902"/>
      <c r="EA1359" s="1902"/>
      <c r="EB1359" s="1902"/>
      <c r="EC1359" s="1902"/>
      <c r="ED1359" s="1902"/>
      <c r="EE1359" s="1902"/>
      <c r="EF1359" s="1902"/>
      <c r="EG1359" s="1902"/>
      <c r="EH1359" s="1902"/>
      <c r="EI1359" s="1902"/>
      <c r="EJ1359" s="1902"/>
      <c r="EK1359" s="1902"/>
      <c r="EL1359" s="1902"/>
      <c r="EM1359" s="1902"/>
      <c r="EN1359" s="1902"/>
      <c r="EO1359" s="1902"/>
      <c r="EP1359" s="1902"/>
      <c r="EQ1359" s="1902"/>
      <c r="ER1359" s="1902"/>
      <c r="ES1359" s="1902"/>
      <c r="ET1359" s="1902"/>
      <c r="EU1359" s="1902"/>
      <c r="EV1359" s="1902"/>
      <c r="EW1359" s="1902"/>
      <c r="EX1359" s="1902"/>
      <c r="EY1359" s="1902"/>
      <c r="EZ1359" s="1902"/>
      <c r="FA1359" s="1902"/>
      <c r="FB1359" s="1902"/>
      <c r="FC1359" s="1902"/>
      <c r="FD1359" s="1902"/>
      <c r="FE1359" s="1902"/>
      <c r="FF1359" s="1902"/>
      <c r="FG1359" s="1902"/>
      <c r="FH1359" s="1902"/>
      <c r="FI1359" s="1902"/>
      <c r="FJ1359" s="1902"/>
      <c r="FK1359" s="1902"/>
      <c r="FL1359" s="1902"/>
      <c r="FM1359" s="1902"/>
      <c r="FN1359" s="1902"/>
      <c r="FO1359" s="1902"/>
      <c r="FP1359" s="1902"/>
      <c r="FQ1359" s="1902"/>
      <c r="FR1359" s="1902"/>
      <c r="FS1359" s="1902"/>
      <c r="FT1359" s="1902"/>
      <c r="FU1359" s="1902"/>
      <c r="FV1359" s="1902"/>
      <c r="FW1359" s="1902"/>
      <c r="FX1359" s="1902"/>
      <c r="FY1359" s="1902"/>
      <c r="FZ1359" s="1902"/>
      <c r="GA1359" s="1902"/>
      <c r="GB1359" s="1902"/>
      <c r="GC1359" s="1902"/>
      <c r="GD1359" s="1902"/>
      <c r="GE1359" s="1902"/>
      <c r="GF1359" s="1902"/>
      <c r="GG1359" s="1902"/>
      <c r="GH1359" s="1902"/>
      <c r="GI1359" s="1902"/>
      <c r="GJ1359" s="1902"/>
      <c r="GK1359" s="1902"/>
      <c r="GL1359" s="1902"/>
      <c r="GM1359" s="1902"/>
      <c r="GN1359" s="1902"/>
      <c r="GO1359" s="1902"/>
      <c r="GP1359" s="1902"/>
      <c r="GQ1359" s="1902"/>
      <c r="GR1359" s="1902"/>
      <c r="GS1359" s="1902"/>
      <c r="GT1359" s="1902"/>
      <c r="GU1359" s="1902"/>
      <c r="GV1359" s="1902"/>
      <c r="GW1359" s="1902"/>
      <c r="GX1359" s="1902"/>
      <c r="GY1359" s="1902"/>
      <c r="GZ1359" s="1902"/>
      <c r="HA1359" s="1902"/>
      <c r="HB1359" s="1902"/>
      <c r="HC1359" s="1902"/>
      <c r="HD1359" s="1902"/>
      <c r="HE1359" s="1902"/>
      <c r="HF1359" s="1902"/>
      <c r="HG1359" s="1902"/>
      <c r="HH1359" s="1902"/>
      <c r="HI1359" s="1902"/>
      <c r="HJ1359" s="1902"/>
      <c r="HK1359" s="1902"/>
      <c r="HL1359" s="1902"/>
      <c r="HM1359" s="1902"/>
      <c r="HN1359" s="1902"/>
      <c r="HO1359" s="1902"/>
      <c r="HP1359" s="1902"/>
      <c r="HQ1359" s="1902"/>
      <c r="HR1359" s="1902"/>
      <c r="HS1359" s="1902"/>
      <c r="HT1359" s="1902"/>
      <c r="HU1359" s="1902"/>
      <c r="HV1359" s="1902"/>
      <c r="HW1359" s="1902"/>
      <c r="HX1359" s="1902"/>
      <c r="HY1359" s="1902"/>
      <c r="HZ1359" s="1902"/>
      <c r="IA1359" s="1902"/>
      <c r="IB1359" s="1902"/>
      <c r="IC1359" s="1902"/>
      <c r="ID1359" s="1902"/>
      <c r="IE1359" s="1902"/>
      <c r="IF1359" s="1902"/>
      <c r="IG1359" s="1902"/>
      <c r="IH1359" s="1902"/>
      <c r="II1359" s="1902"/>
      <c r="IJ1359" s="1902"/>
      <c r="IK1359" s="1902"/>
      <c r="IL1359" s="1902"/>
      <c r="IM1359" s="1902"/>
      <c r="IN1359" s="1902"/>
      <c r="IO1359" s="1902"/>
      <c r="IP1359" s="1902"/>
      <c r="IQ1359" s="1902"/>
      <c r="IR1359" s="1902"/>
      <c r="IS1359" s="1902"/>
      <c r="IT1359" s="1902"/>
      <c r="IU1359" s="1902"/>
      <c r="IV1359" s="1902"/>
    </row>
    <row r="1360" spans="1:256 1523:1523" ht="11.25" customHeight="1">
      <c r="B1360" s="2268" t="s">
        <v>3243</v>
      </c>
      <c r="D1360" s="2268"/>
      <c r="E1360" s="2268"/>
      <c r="F1360" s="2268"/>
      <c r="G1360" s="2268"/>
      <c r="H1360" s="1875"/>
      <c r="I1360" s="2243"/>
      <c r="J1360" s="2243"/>
      <c r="K1360" s="2243"/>
      <c r="L1360" s="1902"/>
      <c r="M1360" s="1902"/>
      <c r="N1360" s="1902"/>
      <c r="O1360" s="1902"/>
      <c r="P1360" s="1902"/>
      <c r="Q1360" s="1902"/>
      <c r="S1360" s="2361"/>
      <c r="T1360" s="2361"/>
      <c r="U1360" s="2361"/>
      <c r="V1360" s="2361"/>
      <c r="W1360" s="2361"/>
      <c r="X1360" s="2361"/>
      <c r="Y1360" s="2361"/>
      <c r="Z1360" s="2361"/>
      <c r="AA1360" s="2361"/>
      <c r="AB1360" s="2361"/>
      <c r="AC1360" s="2361"/>
      <c r="AD1360" s="2361"/>
      <c r="AE1360" s="2361"/>
      <c r="AF1360" s="2361"/>
      <c r="AG1360" s="2361"/>
      <c r="AH1360" s="2361"/>
      <c r="AI1360" s="2361"/>
      <c r="AJ1360" s="2361"/>
      <c r="AK1360" s="2361"/>
      <c r="AL1360" s="2361"/>
      <c r="AM1360" s="2361"/>
      <c r="AN1360" s="2361"/>
      <c r="AO1360" s="2361"/>
      <c r="AP1360" s="2361"/>
      <c r="AQ1360" s="2361"/>
      <c r="AR1360" s="2361"/>
    </row>
    <row r="1361" spans="1:44" ht="11.45" customHeight="1">
      <c r="A1361" s="2327" t="str">
        <f>'Part VII-Threshold Criteria'!A323</f>
        <v xml:space="preserve">The applicant will comply with all Architectural Design and Quality Standards, and W&amp;D will be supplied in each unit. </v>
      </c>
      <c r="B1361" s="2327"/>
      <c r="C1361" s="2327"/>
      <c r="D1361" s="2327"/>
      <c r="E1361" s="2327"/>
      <c r="F1361" s="2327"/>
      <c r="G1361" s="2327"/>
      <c r="H1361" s="2327"/>
      <c r="I1361" s="2327"/>
      <c r="J1361" s="2327"/>
      <c r="K1361" s="2327"/>
      <c r="L1361" s="2327"/>
      <c r="M1361" s="2327"/>
      <c r="N1361" s="2327"/>
      <c r="O1361" s="2327"/>
      <c r="P1361" s="2327"/>
      <c r="Q1361" s="2327"/>
      <c r="R1361" s="2386" t="s">
        <v>1181</v>
      </c>
      <c r="S1361" s="2079"/>
      <c r="T1361" s="2361"/>
      <c r="U1361" s="2282"/>
      <c r="V1361" s="2282"/>
      <c r="W1361" s="2282"/>
      <c r="X1361" s="2282"/>
      <c r="Y1361" s="2282"/>
      <c r="Z1361" s="2282"/>
      <c r="AA1361" s="2282"/>
      <c r="AB1361" s="2282"/>
      <c r="AC1361" s="2282"/>
      <c r="AD1361" s="2282"/>
      <c r="AE1361" s="2282"/>
      <c r="AF1361" s="2361"/>
      <c r="AG1361" s="2361"/>
      <c r="AH1361" s="2361"/>
      <c r="AI1361" s="2361"/>
      <c r="AJ1361" s="2361"/>
      <c r="AK1361" s="2361"/>
      <c r="AL1361" s="2361"/>
      <c r="AM1361" s="2361"/>
      <c r="AN1361" s="2361"/>
      <c r="AO1361" s="2361"/>
      <c r="AP1361" s="2361"/>
      <c r="AQ1361" s="2361"/>
      <c r="AR1361" s="2361"/>
    </row>
    <row r="1362" spans="1:44" ht="11.25" customHeight="1">
      <c r="B1362" s="2328" t="s">
        <v>1730</v>
      </c>
      <c r="C1362" s="2329"/>
      <c r="D1362" s="2330"/>
      <c r="E1362" s="2330"/>
      <c r="F1362" s="2330"/>
      <c r="G1362" s="2330"/>
      <c r="H1362" s="2330"/>
      <c r="I1362" s="2330"/>
      <c r="J1362" s="2330"/>
      <c r="K1362" s="2330"/>
      <c r="L1362" s="2330"/>
      <c r="M1362" s="2330"/>
      <c r="N1362" s="2330"/>
      <c r="O1362" s="2330"/>
      <c r="P1362" s="2330"/>
      <c r="Q1362" s="2330"/>
      <c r="S1362" s="2361"/>
      <c r="T1362" s="2361"/>
      <c r="U1362" s="2361"/>
      <c r="V1362" s="2361"/>
      <c r="W1362" s="2361"/>
      <c r="X1362" s="2361"/>
      <c r="Y1362" s="2361"/>
      <c r="Z1362" s="2361"/>
      <c r="AA1362" s="2361"/>
      <c r="AB1362" s="2361"/>
      <c r="AC1362" s="2361"/>
      <c r="AD1362" s="2361"/>
      <c r="AE1362" s="2361"/>
      <c r="AF1362" s="2361"/>
      <c r="AG1362" s="2361"/>
      <c r="AH1362" s="2361"/>
      <c r="AI1362" s="2361"/>
      <c r="AJ1362" s="2361"/>
      <c r="AK1362" s="2361"/>
      <c r="AL1362" s="2361"/>
      <c r="AM1362" s="2361"/>
      <c r="AN1362" s="2361"/>
      <c r="AO1362" s="2361"/>
      <c r="AP1362" s="2361"/>
      <c r="AQ1362" s="2361"/>
      <c r="AR1362" s="2361"/>
    </row>
    <row r="1363" spans="1:44" ht="11.45" customHeight="1">
      <c r="A1363" s="2331"/>
      <c r="B1363" s="2331"/>
      <c r="C1363" s="2331"/>
      <c r="D1363" s="2331"/>
      <c r="E1363" s="2331"/>
      <c r="F1363" s="2331"/>
      <c r="G1363" s="2331"/>
      <c r="H1363" s="2331"/>
      <c r="I1363" s="2331"/>
      <c r="J1363" s="2331"/>
      <c r="K1363" s="2331"/>
      <c r="L1363" s="2331"/>
      <c r="M1363" s="2331"/>
      <c r="N1363" s="2331"/>
      <c r="O1363" s="2331"/>
      <c r="P1363" s="2331"/>
      <c r="Q1363" s="2331"/>
      <c r="S1363" s="2361"/>
      <c r="T1363" s="2361"/>
      <c r="U1363" s="2361"/>
      <c r="V1363" s="2361"/>
      <c r="W1363" s="2361"/>
      <c r="X1363" s="2361"/>
      <c r="Y1363" s="2361"/>
      <c r="Z1363" s="2361"/>
      <c r="AA1363" s="2361"/>
      <c r="AB1363" s="2361"/>
      <c r="AC1363" s="2361"/>
      <c r="AD1363" s="2361"/>
      <c r="AE1363" s="2361"/>
      <c r="AF1363" s="2361"/>
      <c r="AG1363" s="2361"/>
      <c r="AH1363" s="2361"/>
      <c r="AI1363" s="2361"/>
      <c r="AJ1363" s="2361"/>
      <c r="AK1363" s="2361"/>
      <c r="AL1363" s="2361"/>
      <c r="AM1363" s="2361"/>
      <c r="AN1363" s="2361"/>
      <c r="AO1363" s="2361"/>
      <c r="AP1363" s="2361"/>
      <c r="AQ1363" s="2361"/>
      <c r="AR1363" s="2361"/>
    </row>
    <row r="1364" spans="1:44" ht="14.1" customHeight="1">
      <c r="A1364" s="2206" t="s">
        <v>3377</v>
      </c>
      <c r="B1364" s="1884" t="s">
        <v>6542</v>
      </c>
      <c r="C1364" s="2206"/>
      <c r="D1364" s="2330"/>
      <c r="E1364" s="2330"/>
      <c r="F1364" s="2330"/>
      <c r="G1364" s="2330"/>
      <c r="H1364" s="2330"/>
      <c r="N1364" s="403" t="s">
        <v>6541</v>
      </c>
      <c r="O1364" s="2325" t="s">
        <v>1731</v>
      </c>
      <c r="P1364" s="1505"/>
      <c r="Q1364" s="1505"/>
      <c r="R1364" s="403" t="s">
        <v>6528</v>
      </c>
    </row>
    <row r="1365" spans="1:44" ht="11.45" customHeight="1">
      <c r="A1365" s="2342" t="s">
        <v>1842</v>
      </c>
      <c r="B1365" s="807" t="s">
        <v>6537</v>
      </c>
      <c r="O1365" s="2336" t="s">
        <v>1842</v>
      </c>
      <c r="P1365" s="2344" t="str">
        <f>'Part VII-Threshold Criteria'!P327</f>
        <v>Yes</v>
      </c>
      <c r="Q1365" s="2243"/>
    </row>
    <row r="1366" spans="1:44" ht="11.45" customHeight="1">
      <c r="A1366" s="2336" t="s">
        <v>1844</v>
      </c>
      <c r="B1366" s="807" t="s">
        <v>6544</v>
      </c>
      <c r="O1366" s="2336" t="s">
        <v>1844</v>
      </c>
      <c r="P1366" s="2344" t="str">
        <f>'Part VII-Threshold Criteria'!P328</f>
        <v>Yes</v>
      </c>
      <c r="Q1366" s="2243"/>
    </row>
    <row r="1367" spans="1:44" ht="11.45" customHeight="1">
      <c r="A1367" s="2336" t="s">
        <v>698</v>
      </c>
      <c r="B1367" s="807" t="s">
        <v>6545</v>
      </c>
      <c r="K1367" s="1322"/>
      <c r="M1367" s="2336" t="s">
        <v>698</v>
      </c>
      <c r="N1367" s="2033" t="str">
        <f>'Part VII-Threshold Criteria'!N329</f>
        <v>N/A - no pre-app</v>
      </c>
      <c r="O1367" s="2033"/>
      <c r="P1367" s="2046" t="s">
        <v>1647</v>
      </c>
      <c r="Q1367" s="2046"/>
    </row>
    <row r="1368" spans="1:44" ht="11.45" customHeight="1">
      <c r="A1368" s="2342" t="s">
        <v>1963</v>
      </c>
      <c r="B1368" s="807" t="s">
        <v>6546</v>
      </c>
      <c r="O1368" s="2342" t="s">
        <v>1963</v>
      </c>
      <c r="P1368" s="2344" t="str">
        <f>'Part VII-Threshold Criteria'!P330</f>
        <v>No</v>
      </c>
      <c r="Q1368" s="2243"/>
    </row>
    <row r="1369" spans="1:44" ht="11.45" customHeight="1">
      <c r="A1369" s="2336" t="s">
        <v>1613</v>
      </c>
      <c r="B1369" s="807" t="s">
        <v>6547</v>
      </c>
      <c r="N1369" s="2336" t="s">
        <v>1613</v>
      </c>
      <c r="O1369" s="2387" t="str">
        <f>'Part VII-Threshold Criteria'!O331</f>
        <v>Certifying GP/Developer</v>
      </c>
      <c r="P1369" s="2387"/>
      <c r="Q1369" s="2387"/>
    </row>
    <row r="1370" spans="1:44" ht="11.45" customHeight="1">
      <c r="A1370" s="2336" t="s">
        <v>1614</v>
      </c>
      <c r="B1370" s="807" t="s">
        <v>2171</v>
      </c>
      <c r="N1370" s="2336" t="s">
        <v>1614</v>
      </c>
      <c r="O1370" s="360" t="s">
        <v>2562</v>
      </c>
      <c r="P1370" s="360"/>
      <c r="Q1370" s="360"/>
    </row>
    <row r="1371" spans="1:44" ht="11.25" customHeight="1">
      <c r="B1371" s="2268" t="s">
        <v>3243</v>
      </c>
      <c r="D1371" s="2268"/>
      <c r="E1371" s="2268"/>
      <c r="F1371" s="2268"/>
      <c r="G1371" s="2268"/>
      <c r="H1371" s="1875"/>
      <c r="I1371" s="2243"/>
      <c r="J1371" s="2243"/>
      <c r="K1371" s="2243"/>
      <c r="L1371" s="1902"/>
      <c r="M1371" s="1902"/>
      <c r="N1371" s="1902"/>
      <c r="O1371" s="1902"/>
      <c r="P1371" s="1902"/>
      <c r="Q1371" s="1902"/>
    </row>
    <row r="1372" spans="1:44" ht="13.35" customHeight="1">
      <c r="A1372" s="2327" t="str">
        <f>'Part VII-Threshold Criteria'!A334</f>
        <v xml:space="preserve">Applicant has met all Experience, Capacity, and Performance Requirements. </v>
      </c>
      <c r="B1372" s="2327"/>
      <c r="C1372" s="2327"/>
      <c r="D1372" s="2327"/>
      <c r="E1372" s="2327"/>
      <c r="F1372" s="2327"/>
      <c r="G1372" s="2327"/>
      <c r="H1372" s="2327"/>
      <c r="I1372" s="2327"/>
      <c r="J1372" s="2327"/>
      <c r="K1372" s="2327"/>
      <c r="L1372" s="2327"/>
      <c r="M1372" s="2327"/>
      <c r="N1372" s="2327"/>
      <c r="O1372" s="2327"/>
      <c r="P1372" s="2327"/>
      <c r="Q1372" s="2327"/>
      <c r="R1372" s="2017" t="s">
        <v>1181</v>
      </c>
      <c r="S1372" s="2017"/>
      <c r="U1372" s="1505"/>
      <c r="V1372" s="1505"/>
      <c r="W1372" s="1505"/>
      <c r="X1372" s="1505"/>
      <c r="Y1372" s="1505"/>
      <c r="Z1372" s="1505"/>
      <c r="AA1372" s="1505"/>
      <c r="AB1372" s="1505"/>
      <c r="AC1372" s="1505"/>
      <c r="AD1372" s="1505"/>
      <c r="AE1372" s="1505"/>
    </row>
    <row r="1373" spans="1:44" ht="11.25" customHeight="1">
      <c r="B1373" s="2328" t="s">
        <v>1730</v>
      </c>
      <c r="C1373" s="2329"/>
      <c r="D1373" s="2330"/>
      <c r="E1373" s="2330"/>
      <c r="F1373" s="2330"/>
      <c r="G1373" s="2330"/>
      <c r="H1373" s="2330"/>
      <c r="I1373" s="2330"/>
      <c r="J1373" s="2330"/>
      <c r="K1373" s="2330"/>
      <c r="L1373" s="2330"/>
      <c r="M1373" s="2330"/>
      <c r="N1373" s="2330"/>
      <c r="O1373" s="2330"/>
      <c r="P1373" s="2330"/>
      <c r="Q1373" s="2330"/>
    </row>
    <row r="1374" spans="1:44" ht="13.35" customHeight="1">
      <c r="A1374" s="2331"/>
      <c r="B1374" s="2331"/>
      <c r="C1374" s="2331"/>
      <c r="D1374" s="2331"/>
      <c r="E1374" s="2331"/>
      <c r="F1374" s="2331"/>
      <c r="G1374" s="2331"/>
      <c r="H1374" s="2331"/>
      <c r="I1374" s="2331"/>
      <c r="J1374" s="2331"/>
      <c r="K1374" s="2331"/>
      <c r="L1374" s="2331"/>
      <c r="M1374" s="2331"/>
      <c r="N1374" s="2331"/>
      <c r="O1374" s="2331"/>
      <c r="P1374" s="2331"/>
      <c r="Q1374" s="2331"/>
    </row>
    <row r="1375" spans="1:44" ht="2.25" customHeight="1">
      <c r="A1375" s="1902"/>
      <c r="B1375" s="2243"/>
      <c r="C1375" s="2330"/>
      <c r="D1375" s="2330"/>
      <c r="E1375" s="2330"/>
      <c r="F1375" s="2330"/>
      <c r="G1375" s="2330"/>
      <c r="H1375" s="2330"/>
      <c r="I1375" s="2330"/>
      <c r="J1375" s="2330"/>
      <c r="K1375" s="2330"/>
      <c r="L1375" s="2330"/>
      <c r="M1375" s="2330"/>
      <c r="N1375" s="2330"/>
      <c r="O1375" s="2330"/>
      <c r="P1375" s="2330"/>
      <c r="Q1375" s="1902"/>
    </row>
    <row r="1376" spans="1:44" ht="14.1" customHeight="1">
      <c r="A1376" s="2206" t="s">
        <v>3380</v>
      </c>
      <c r="B1376" s="359" t="s">
        <v>6548</v>
      </c>
      <c r="C1376" s="359"/>
      <c r="D1376" s="359"/>
      <c r="E1376" s="359"/>
      <c r="F1376" s="359"/>
      <c r="G1376" s="359"/>
      <c r="H1376" s="2330"/>
      <c r="I1376" s="2330"/>
      <c r="J1376" s="2330"/>
      <c r="K1376" s="2330"/>
      <c r="L1376" s="2330"/>
      <c r="M1376" s="2330"/>
      <c r="N1376" s="2342" t="str">
        <f>IF(OR('Part VIII Scoring Criteria'!$P$44="yes",'Part VIII Scoring Criteria'!$P$45="yes",'Part VIII Scoring Criteria'!$P$46="yes"),"Applicant has applied for a Preservation Set Aside.","Applicant has NOT applied for a Preservation Set Aside.")</f>
        <v>Applicant has applied for a Preservation Set Aside.</v>
      </c>
      <c r="O1376" s="2325" t="s">
        <v>1731</v>
      </c>
      <c r="P1376" s="1505"/>
      <c r="Q1376" s="1505"/>
    </row>
    <row r="1377" spans="1:44" ht="14.1" customHeight="1">
      <c r="A1377" s="2206"/>
      <c r="B1377" s="362" t="s">
        <v>6549</v>
      </c>
      <c r="C1377" s="359"/>
      <c r="D1377" s="359"/>
      <c r="E1377" s="359"/>
      <c r="F1377" s="359"/>
      <c r="G1377" s="359"/>
      <c r="H1377" s="2330"/>
      <c r="I1377" s="2330"/>
      <c r="J1377" s="2330"/>
      <c r="K1377" s="2330"/>
      <c r="L1377" s="2330"/>
      <c r="M1377" s="2330"/>
      <c r="N1377" s="2342"/>
      <c r="P1377" s="2325"/>
      <c r="Q1377" s="2287" t="str">
        <f>IF(OR(AND(P1379="Agree",P1382="Agree",P1384="Agree"),AND(P1379="Agree",P1382="Agree"),AND(P1382="Agree",P1384="Agree"),AND(P1379="Agree",P1384="Agree")), "PLEASE CHOOSE NO MORE THAN ONE PRESERVATION SET-ASIDE!","")</f>
        <v/>
      </c>
    </row>
    <row r="1378" spans="1:44" ht="14.1" customHeight="1">
      <c r="A1378" s="2206"/>
      <c r="B1378" s="362" t="s">
        <v>6550</v>
      </c>
      <c r="C1378" s="359"/>
      <c r="D1378" s="359"/>
      <c r="E1378" s="359"/>
      <c r="F1378" s="359"/>
      <c r="G1378" s="359"/>
      <c r="H1378" s="2330"/>
      <c r="I1378" s="2330"/>
      <c r="J1378" s="2330"/>
      <c r="K1378" s="2330"/>
      <c r="L1378" s="2330"/>
      <c r="M1378" s="2330"/>
      <c r="N1378" s="2342"/>
      <c r="O1378" s="2325"/>
      <c r="P1378" s="2344" t="str">
        <f>'Part VII-Threshold Criteria'!P340</f>
        <v>Yes</v>
      </c>
      <c r="Q1378" s="2243"/>
    </row>
    <row r="1379" spans="1:44">
      <c r="A1379" s="2336" t="s">
        <v>1842</v>
      </c>
      <c r="B1379" s="1889" t="s">
        <v>6807</v>
      </c>
      <c r="C1379" s="2331"/>
      <c r="D1379" s="2331"/>
      <c r="E1379" s="2331"/>
      <c r="F1379" s="2331"/>
      <c r="G1379" s="2331"/>
      <c r="H1379" s="2331"/>
      <c r="I1379" s="2331"/>
      <c r="J1379" s="2331"/>
      <c r="K1379" s="2331"/>
      <c r="L1379" s="2331"/>
      <c r="M1379" s="2331"/>
      <c r="N1379" s="2331"/>
      <c r="O1379" s="2336" t="s">
        <v>1842</v>
      </c>
      <c r="P1379" s="2355" t="str">
        <f>'Part VII-Threshold Criteria'!P341</f>
        <v>Agree</v>
      </c>
      <c r="Q1379" s="2337"/>
    </row>
    <row r="1380" spans="1:44" s="359" customFormat="1" ht="12.75" customHeight="1">
      <c r="A1380" s="2342"/>
      <c r="B1380" s="1875" t="s">
        <v>1615</v>
      </c>
      <c r="C1380" s="362" t="s">
        <v>6131</v>
      </c>
      <c r="D1380" s="362"/>
      <c r="E1380" s="362"/>
      <c r="F1380" s="362"/>
      <c r="G1380" s="362"/>
      <c r="H1380" s="362"/>
      <c r="I1380" s="362"/>
      <c r="J1380" s="362"/>
      <c r="O1380" s="2342" t="s">
        <v>1392</v>
      </c>
      <c r="P1380" s="2221">
        <f>'Part VII-Threshold Criteria'!P342</f>
        <v>44672</v>
      </c>
      <c r="Q1380" s="2388"/>
    </row>
    <row r="1381" spans="1:44">
      <c r="A1381" s="2336"/>
      <c r="B1381" s="2339"/>
      <c r="C1381" s="362" t="s">
        <v>1668</v>
      </c>
      <c r="D1381" s="362"/>
      <c r="E1381" s="2365">
        <f>'Part V-Revenues &amp; Expenses'!$P$67</f>
        <v>120</v>
      </c>
      <c r="F1381" s="362" t="s">
        <v>3899</v>
      </c>
      <c r="G1381" s="2389">
        <f>'Part V-Revenues &amp; Expenses'!$P$100</f>
        <v>75</v>
      </c>
      <c r="H1381" s="359"/>
      <c r="I1381" s="362" t="s">
        <v>832</v>
      </c>
      <c r="J1381" s="359"/>
      <c r="K1381" s="359"/>
      <c r="L1381" s="2365">
        <f>'Part V-Revenues &amp; Expenses'!$P$111</f>
        <v>0</v>
      </c>
      <c r="M1381" s="2342" t="s">
        <v>6745</v>
      </c>
      <c r="N1381" s="2350">
        <f>IF(E1381=0,"",(G1381+L1381)/E1381)</f>
        <v>0.625</v>
      </c>
      <c r="P1381" s="1889"/>
      <c r="Q1381" s="1889"/>
      <c r="S1381" s="2361"/>
      <c r="T1381" s="2361"/>
      <c r="U1381" s="2361"/>
      <c r="V1381" s="2361"/>
      <c r="W1381" s="2361"/>
      <c r="X1381" s="2361"/>
      <c r="Y1381" s="2361"/>
      <c r="Z1381" s="2361"/>
      <c r="AA1381" s="2361"/>
      <c r="AB1381" s="2361"/>
      <c r="AC1381" s="2361"/>
      <c r="AD1381" s="2361"/>
      <c r="AE1381" s="2361"/>
      <c r="AF1381" s="2361"/>
      <c r="AG1381" s="2361"/>
      <c r="AH1381" s="2361"/>
      <c r="AI1381" s="2361"/>
      <c r="AJ1381" s="2361"/>
      <c r="AK1381" s="2361"/>
      <c r="AL1381" s="2361"/>
      <c r="AM1381" s="2361"/>
      <c r="AN1381" s="2361"/>
      <c r="AO1381" s="2361"/>
      <c r="AP1381" s="2361"/>
      <c r="AQ1381" s="2361"/>
      <c r="AR1381" s="2361"/>
    </row>
    <row r="1382" spans="1:44" ht="12.75" customHeight="1">
      <c r="A1382" s="2336" t="s">
        <v>1844</v>
      </c>
      <c r="B1382" s="1889" t="s">
        <v>6808</v>
      </c>
      <c r="C1382" s="2331"/>
      <c r="D1382" s="2331"/>
      <c r="E1382" s="2331"/>
      <c r="F1382" s="2331"/>
      <c r="G1382" s="2331"/>
      <c r="H1382" s="2331"/>
      <c r="I1382" s="2331"/>
      <c r="J1382" s="2331"/>
      <c r="K1382" s="2331"/>
      <c r="L1382" s="2331"/>
      <c r="M1382" s="2331"/>
      <c r="N1382" s="2331"/>
      <c r="O1382" s="2336" t="s">
        <v>1844</v>
      </c>
      <c r="P1382" s="2355">
        <f>'Part VII-Threshold Criteria'!P344</f>
        <v>0</v>
      </c>
      <c r="Q1382" s="2337"/>
    </row>
    <row r="1383" spans="1:44">
      <c r="A1383" s="2336"/>
      <c r="B1383" s="2339"/>
      <c r="C1383" s="362" t="s">
        <v>1668</v>
      </c>
      <c r="D1383" s="362"/>
      <c r="E1383" s="2365">
        <f>'Part V-Revenues &amp; Expenses'!$P$67</f>
        <v>120</v>
      </c>
      <c r="F1383" s="362" t="s">
        <v>6695</v>
      </c>
      <c r="H1383" s="359"/>
      <c r="L1383" s="2390">
        <f>'Part VII-Threshold Criteria'!L345</f>
        <v>0</v>
      </c>
      <c r="M1383" s="2342" t="s">
        <v>6745</v>
      </c>
      <c r="N1383" s="2350">
        <f>IF(E1383=0,"",L1383/E1383)</f>
        <v>0</v>
      </c>
      <c r="P1383" s="1889"/>
      <c r="Q1383" s="1889"/>
      <c r="S1383" s="2361"/>
      <c r="T1383" s="2361"/>
      <c r="U1383" s="2361"/>
      <c r="V1383" s="2361"/>
      <c r="W1383" s="2361"/>
      <c r="X1383" s="2361"/>
      <c r="Y1383" s="2361"/>
      <c r="Z1383" s="2361"/>
      <c r="AA1383" s="2361"/>
      <c r="AB1383" s="2361"/>
      <c r="AC1383" s="2361"/>
      <c r="AD1383" s="2361"/>
      <c r="AE1383" s="2361"/>
      <c r="AF1383" s="2361"/>
      <c r="AG1383" s="2361"/>
      <c r="AH1383" s="2361"/>
      <c r="AI1383" s="2361"/>
      <c r="AJ1383" s="2361"/>
      <c r="AK1383" s="2361"/>
      <c r="AL1383" s="2361"/>
      <c r="AM1383" s="2361"/>
      <c r="AN1383" s="2361"/>
      <c r="AO1383" s="2361"/>
      <c r="AP1383" s="2361"/>
      <c r="AQ1383" s="2361"/>
      <c r="AR1383" s="2361"/>
    </row>
    <row r="1384" spans="1:44">
      <c r="A1384" s="2336" t="s">
        <v>698</v>
      </c>
      <c r="B1384" s="1889" t="s">
        <v>6809</v>
      </c>
      <c r="C1384" s="2331"/>
      <c r="D1384" s="2331"/>
      <c r="E1384" s="2331"/>
      <c r="F1384" s="2331"/>
      <c r="G1384" s="2331"/>
      <c r="H1384" s="2331"/>
      <c r="I1384" s="2331"/>
      <c r="J1384" s="2331"/>
      <c r="K1384" s="2331"/>
      <c r="L1384" s="2331"/>
      <c r="M1384" s="2331"/>
      <c r="N1384" s="2331"/>
      <c r="O1384" s="2336" t="s">
        <v>698</v>
      </c>
      <c r="P1384" s="2355">
        <f>'Part VII-Threshold Criteria'!P346</f>
        <v>0</v>
      </c>
      <c r="Q1384" s="2337"/>
    </row>
    <row r="1385" spans="1:44" ht="14.1" customHeight="1">
      <c r="A1385" s="2219"/>
      <c r="B1385" s="1873" t="s">
        <v>1615</v>
      </c>
      <c r="C1385" s="807" t="s">
        <v>6551</v>
      </c>
      <c r="H1385" s="2391"/>
      <c r="I1385" s="2391"/>
      <c r="J1385" s="2391"/>
      <c r="K1385" s="2391"/>
      <c r="L1385" s="2391"/>
      <c r="M1385" s="2391"/>
      <c r="N1385" s="2362"/>
      <c r="O1385" s="2342" t="s">
        <v>4062</v>
      </c>
      <c r="P1385" s="2392" t="str">
        <f>'Part VII-Threshold Criteria'!P347</f>
        <v>Agree</v>
      </c>
      <c r="Q1385" s="808"/>
    </row>
    <row r="1386" spans="1:44">
      <c r="A1386" s="2336"/>
      <c r="B1386" s="2339"/>
      <c r="C1386" s="362" t="s">
        <v>1668</v>
      </c>
      <c r="D1386" s="362"/>
      <c r="E1386" s="2365">
        <f>'Part V-Revenues &amp; Expenses'!$P$67</f>
        <v>120</v>
      </c>
      <c r="F1386" s="362" t="s">
        <v>3899</v>
      </c>
      <c r="G1386" s="2389">
        <f>'Part V-Revenues &amp; Expenses'!$P$100</f>
        <v>75</v>
      </c>
      <c r="H1386" s="359"/>
      <c r="I1386" s="362" t="s">
        <v>832</v>
      </c>
      <c r="J1386" s="359"/>
      <c r="K1386" s="359"/>
      <c r="L1386" s="2365">
        <f>'Part V-Revenues &amp; Expenses'!$P$111</f>
        <v>0</v>
      </c>
      <c r="M1386" s="2342" t="s">
        <v>6745</v>
      </c>
      <c r="N1386" s="2350">
        <f>IF(E1386=0,"",(G1386+L1386)/E1386)</f>
        <v>0.625</v>
      </c>
      <c r="P1386" s="1889"/>
      <c r="Q1386" s="1889"/>
      <c r="S1386" s="2361"/>
      <c r="T1386" s="2361"/>
      <c r="U1386" s="2361"/>
      <c r="V1386" s="2361"/>
      <c r="W1386" s="2361"/>
      <c r="X1386" s="2361"/>
      <c r="Y1386" s="2361"/>
      <c r="Z1386" s="2361"/>
      <c r="AA1386" s="2361"/>
      <c r="AB1386" s="2361"/>
      <c r="AC1386" s="2361"/>
      <c r="AD1386" s="2361"/>
      <c r="AE1386" s="2361"/>
      <c r="AF1386" s="2361"/>
      <c r="AG1386" s="2361"/>
      <c r="AH1386" s="2361"/>
      <c r="AI1386" s="2361"/>
      <c r="AJ1386" s="2361"/>
      <c r="AK1386" s="2361"/>
      <c r="AL1386" s="2361"/>
      <c r="AM1386" s="2361"/>
      <c r="AN1386" s="2361"/>
      <c r="AO1386" s="2361"/>
      <c r="AP1386" s="2361"/>
      <c r="AQ1386" s="2361"/>
      <c r="AR1386" s="2361"/>
    </row>
    <row r="1387" spans="1:44" ht="10.5" customHeight="1">
      <c r="B1387" s="2268" t="s">
        <v>3243</v>
      </c>
      <c r="D1387" s="2268"/>
      <c r="E1387" s="2268"/>
      <c r="F1387" s="2268"/>
      <c r="G1387" s="2268"/>
      <c r="H1387" s="1875"/>
      <c r="I1387" s="2243"/>
      <c r="J1387" s="2243"/>
      <c r="K1387" s="2243"/>
      <c r="L1387" s="1902"/>
      <c r="M1387" s="1902"/>
      <c r="N1387" s="1902"/>
      <c r="O1387" s="1902"/>
      <c r="P1387" s="1902"/>
      <c r="Q1387" s="1902"/>
    </row>
    <row r="1388" spans="1:44" ht="12" customHeight="1">
      <c r="A1388" s="2327" t="str">
        <f>'Part VII-Threshold Criteria'!A350</f>
        <v>Gainesville Housing Authority owns a Public Housing Property adjacent to the Project site called Harrison Square Apartments which was built in 1971.  This application is part of their RAD Conversion of the 75 units at Harrison Square, and will provide replacement housing for 100% of the households at Harrison Square Apartments.</v>
      </c>
      <c r="B1388" s="2327"/>
      <c r="C1388" s="2327"/>
      <c r="D1388" s="2327"/>
      <c r="E1388" s="2327"/>
      <c r="F1388" s="2327"/>
      <c r="G1388" s="2327"/>
      <c r="H1388" s="2327"/>
      <c r="I1388" s="2327"/>
      <c r="J1388" s="2327"/>
      <c r="K1388" s="2327"/>
      <c r="L1388" s="2327"/>
      <c r="M1388" s="2327"/>
      <c r="N1388" s="2327"/>
      <c r="O1388" s="2327"/>
      <c r="P1388" s="2327"/>
      <c r="Q1388" s="2327"/>
      <c r="U1388" s="1505"/>
      <c r="V1388" s="1505"/>
      <c r="W1388" s="1505"/>
      <c r="X1388" s="1505"/>
      <c r="Y1388" s="1505"/>
      <c r="Z1388" s="1505"/>
      <c r="AA1388" s="1505"/>
      <c r="AB1388" s="1505"/>
      <c r="AC1388" s="1505"/>
      <c r="AD1388" s="1505"/>
      <c r="AE1388" s="1505"/>
    </row>
    <row r="1389" spans="1:44" ht="10.5" customHeight="1">
      <c r="B1389" s="2328" t="s">
        <v>1730</v>
      </c>
      <c r="C1389" s="2329"/>
      <c r="D1389" s="2330"/>
      <c r="E1389" s="2330"/>
      <c r="F1389" s="2330"/>
      <c r="G1389" s="2330"/>
      <c r="H1389" s="2330"/>
      <c r="I1389" s="2330"/>
      <c r="J1389" s="2330"/>
      <c r="K1389" s="2330"/>
      <c r="L1389" s="2330"/>
      <c r="M1389" s="2330"/>
      <c r="N1389" s="2330"/>
      <c r="O1389" s="2330"/>
      <c r="P1389" s="2330"/>
      <c r="Q1389" s="2330"/>
    </row>
    <row r="1390" spans="1:44" ht="12" customHeight="1">
      <c r="A1390" s="2331"/>
      <c r="B1390" s="2331"/>
      <c r="C1390" s="2331"/>
      <c r="D1390" s="2331"/>
      <c r="E1390" s="2331"/>
      <c r="F1390" s="2331"/>
      <c r="G1390" s="2331"/>
      <c r="H1390" s="2331"/>
      <c r="I1390" s="2331"/>
      <c r="J1390" s="2331"/>
      <c r="K1390" s="2331"/>
      <c r="L1390" s="2331"/>
      <c r="M1390" s="2331"/>
      <c r="N1390" s="2331"/>
      <c r="O1390" s="2331"/>
      <c r="P1390" s="2331"/>
      <c r="Q1390" s="2331"/>
    </row>
    <row r="1391" spans="1:44" ht="2.25" customHeight="1">
      <c r="A1391" s="1902"/>
      <c r="B1391" s="2243"/>
      <c r="C1391" s="2330"/>
      <c r="D1391" s="2330"/>
      <c r="E1391" s="2330"/>
      <c r="F1391" s="2330"/>
      <c r="G1391" s="2330"/>
      <c r="H1391" s="2330"/>
      <c r="I1391" s="2330"/>
      <c r="J1391" s="2330"/>
      <c r="K1391" s="2330"/>
      <c r="L1391" s="2330"/>
      <c r="M1391" s="2330"/>
      <c r="N1391" s="2330"/>
      <c r="O1391" s="2330"/>
      <c r="P1391" s="2330"/>
      <c r="Q1391" s="1902"/>
    </row>
    <row r="1392" spans="1:44" ht="14.1" customHeight="1">
      <c r="A1392" s="2206" t="s">
        <v>3381</v>
      </c>
      <c r="B1392" s="359" t="s">
        <v>3362</v>
      </c>
      <c r="C1392" s="359"/>
      <c r="D1392" s="359"/>
      <c r="E1392" s="359"/>
      <c r="F1392" s="359"/>
      <c r="G1392" s="359"/>
      <c r="H1392" s="2330"/>
      <c r="I1392" s="2330"/>
      <c r="J1392" s="2330"/>
      <c r="K1392" s="2330"/>
      <c r="L1392" s="2330"/>
      <c r="M1392" s="2330"/>
      <c r="N1392" s="2342" t="str">
        <f>IF('Part VIII Scoring Criteria'!$P$41="yes","Applicant has applied for Nonprofit Setaside.","Applicant has NOT applied for Nonprofit Setaside.")</f>
        <v>Applicant has NOT applied for Nonprofit Setaside.</v>
      </c>
      <c r="O1392" s="2325" t="s">
        <v>1731</v>
      </c>
      <c r="P1392" s="1505"/>
      <c r="Q1392" s="1505"/>
    </row>
    <row r="1393" spans="1:31" ht="10.5" customHeight="1">
      <c r="A1393" s="2342" t="s">
        <v>1842</v>
      </c>
      <c r="B1393" s="362" t="s">
        <v>3363</v>
      </c>
      <c r="D1393" s="2025"/>
      <c r="E1393" s="2025"/>
      <c r="F1393" s="2025"/>
      <c r="G1393" s="2025"/>
      <c r="H1393" s="2342" t="s">
        <v>1842</v>
      </c>
      <c r="I1393" s="2211">
        <f>'Part VII-Threshold Criteria'!I355</f>
        <v>0</v>
      </c>
      <c r="J1393" s="2211"/>
      <c r="K1393" s="2211"/>
      <c r="L1393" s="2211"/>
      <c r="M1393" s="2211"/>
      <c r="N1393" s="2211"/>
      <c r="O1393" s="2211"/>
      <c r="P1393" s="2211"/>
      <c r="Q1393" s="2243"/>
    </row>
    <row r="1394" spans="1:31" ht="10.5" customHeight="1">
      <c r="A1394" s="2336" t="s">
        <v>1844</v>
      </c>
      <c r="B1394" s="362" t="s">
        <v>3364</v>
      </c>
      <c r="D1394" s="2025"/>
      <c r="E1394" s="2025"/>
      <c r="F1394" s="2025"/>
      <c r="G1394" s="2025"/>
      <c r="H1394" s="2336" t="s">
        <v>1844</v>
      </c>
      <c r="I1394" s="2211">
        <f>'Part VII-Threshold Criteria'!I356</f>
        <v>0</v>
      </c>
      <c r="J1394" s="2211"/>
      <c r="K1394" s="2211"/>
      <c r="L1394" s="2211"/>
      <c r="M1394" s="2211"/>
      <c r="N1394" s="2211"/>
      <c r="O1394" s="2211"/>
      <c r="P1394" s="2211"/>
      <c r="Q1394" s="2243"/>
    </row>
    <row r="1395" spans="1:31">
      <c r="A1395" s="2336" t="s">
        <v>698</v>
      </c>
      <c r="B1395" s="362" t="s">
        <v>3355</v>
      </c>
      <c r="C1395" s="2292"/>
      <c r="D1395" s="2292"/>
      <c r="E1395" s="2292"/>
      <c r="F1395" s="2292"/>
      <c r="G1395" s="2292"/>
      <c r="H1395" s="2292"/>
      <c r="I1395" s="2292"/>
      <c r="J1395" s="2292"/>
      <c r="K1395" s="2292"/>
      <c r="L1395" s="2292"/>
      <c r="M1395" s="2292"/>
      <c r="N1395" s="2292"/>
      <c r="O1395" s="2336" t="s">
        <v>698</v>
      </c>
      <c r="P1395" s="2355">
        <f>'Part VII-Threshold Criteria'!P357</f>
        <v>0</v>
      </c>
      <c r="Q1395" s="2337"/>
    </row>
    <row r="1396" spans="1:31">
      <c r="A1396" s="2336" t="s">
        <v>1963</v>
      </c>
      <c r="B1396" s="1889" t="s">
        <v>3356</v>
      </c>
      <c r="C1396" s="2331"/>
      <c r="D1396" s="2331"/>
      <c r="E1396" s="2331"/>
      <c r="F1396" s="2331"/>
      <c r="G1396" s="2331"/>
      <c r="H1396" s="2331"/>
      <c r="I1396" s="2331"/>
      <c r="J1396" s="2331"/>
      <c r="K1396" s="2331"/>
      <c r="L1396" s="2331"/>
      <c r="M1396" s="2331"/>
      <c r="N1396" s="2331"/>
      <c r="O1396" s="2336" t="s">
        <v>1963</v>
      </c>
      <c r="P1396" s="2355">
        <f>'Part VII-Threshold Criteria'!P358</f>
        <v>0</v>
      </c>
      <c r="Q1396" s="2337"/>
    </row>
    <row r="1397" spans="1:31">
      <c r="A1397" s="2336" t="s">
        <v>1613</v>
      </c>
      <c r="B1397" s="362" t="s">
        <v>3357</v>
      </c>
      <c r="D1397" s="362"/>
      <c r="E1397" s="362"/>
      <c r="F1397" s="362"/>
      <c r="G1397" s="362"/>
      <c r="H1397" s="362"/>
      <c r="I1397" s="362"/>
      <c r="J1397" s="362"/>
      <c r="K1397" s="362"/>
      <c r="L1397" s="362"/>
      <c r="M1397" s="362"/>
      <c r="O1397" s="2336" t="s">
        <v>1613</v>
      </c>
      <c r="P1397" s="2344">
        <f>'Part VII-Threshold Criteria'!P359</f>
        <v>0</v>
      </c>
      <c r="Q1397" s="2243"/>
    </row>
    <row r="1398" spans="1:31" s="2265" customFormat="1">
      <c r="A1398" s="2336" t="s">
        <v>1614</v>
      </c>
      <c r="B1398" s="1889" t="s">
        <v>3358</v>
      </c>
      <c r="C1398" s="2331"/>
      <c r="D1398" s="2331"/>
      <c r="E1398" s="2331"/>
      <c r="F1398" s="2331"/>
      <c r="G1398" s="2331"/>
      <c r="H1398" s="2331"/>
      <c r="I1398" s="2331"/>
      <c r="J1398" s="2331"/>
      <c r="K1398" s="2331"/>
      <c r="L1398" s="2331"/>
      <c r="M1398" s="2331"/>
      <c r="N1398" s="2331"/>
      <c r="O1398" s="2336" t="s">
        <v>1614</v>
      </c>
      <c r="P1398" s="2355">
        <f>'Part VII-Threshold Criteria'!P360</f>
        <v>0</v>
      </c>
      <c r="Q1398" s="2337"/>
    </row>
    <row r="1399" spans="1:31" s="2265" customFormat="1">
      <c r="A1399" s="2336" t="s">
        <v>1808</v>
      </c>
      <c r="B1399" s="1889" t="s">
        <v>3359</v>
      </c>
      <c r="D1399" s="2331"/>
      <c r="E1399" s="2331"/>
      <c r="F1399" s="2331"/>
      <c r="G1399" s="2331"/>
      <c r="H1399" s="2331"/>
      <c r="I1399" s="2331"/>
      <c r="J1399" s="2331"/>
      <c r="K1399" s="2331"/>
      <c r="L1399" s="2331"/>
      <c r="M1399" s="2331"/>
      <c r="N1399" s="2331"/>
      <c r="O1399" s="2336" t="s">
        <v>1808</v>
      </c>
      <c r="P1399" s="2355">
        <f>'Part VII-Threshold Criteria'!P361</f>
        <v>0</v>
      </c>
      <c r="Q1399" s="2337"/>
    </row>
    <row r="1400" spans="1:31" s="2265" customFormat="1">
      <c r="C1400" s="2339" t="s">
        <v>6873</v>
      </c>
      <c r="E1400" s="2330"/>
      <c r="F1400" s="2330"/>
      <c r="G1400" s="2330"/>
      <c r="H1400" s="2330"/>
      <c r="I1400" s="2330"/>
      <c r="J1400" s="2330"/>
      <c r="K1400" s="2330"/>
      <c r="L1400" s="2330"/>
      <c r="M1400" s="2330"/>
      <c r="N1400" s="2330"/>
      <c r="P1400" s="2355">
        <f>'Part VII-Threshold Criteria'!P362</f>
        <v>0</v>
      </c>
      <c r="Q1400" s="2337"/>
    </row>
    <row r="1401" spans="1:31">
      <c r="A1401" s="2336" t="s">
        <v>3007</v>
      </c>
      <c r="B1401" s="1889" t="s">
        <v>3360</v>
      </c>
      <c r="C1401" s="2331"/>
      <c r="D1401" s="2331"/>
      <c r="E1401" s="2331"/>
      <c r="F1401" s="2331"/>
      <c r="G1401" s="2331"/>
      <c r="H1401" s="2331"/>
      <c r="I1401" s="2331"/>
      <c r="J1401" s="2331"/>
      <c r="K1401" s="2331"/>
      <c r="L1401" s="2331"/>
      <c r="M1401" s="2331"/>
      <c r="N1401" s="2331"/>
      <c r="O1401" s="2336" t="s">
        <v>3007</v>
      </c>
      <c r="P1401" s="2355">
        <f>'Part VII-Threshold Criteria'!P363</f>
        <v>0</v>
      </c>
      <c r="Q1401" s="2337"/>
    </row>
    <row r="1402" spans="1:31">
      <c r="A1402" s="2336" t="s">
        <v>573</v>
      </c>
      <c r="B1402" s="1889" t="s">
        <v>3361</v>
      </c>
      <c r="C1402" s="2331"/>
      <c r="D1402" s="2331"/>
      <c r="E1402" s="2331"/>
      <c r="F1402" s="2331"/>
      <c r="G1402" s="2331"/>
      <c r="H1402" s="2331"/>
      <c r="I1402" s="2331"/>
      <c r="J1402" s="2331"/>
      <c r="K1402" s="2331"/>
      <c r="L1402" s="2331"/>
      <c r="M1402" s="2331"/>
      <c r="N1402" s="2331"/>
      <c r="O1402" s="2336" t="s">
        <v>573</v>
      </c>
      <c r="P1402" s="2355">
        <f>'Part VII-Threshold Criteria'!P364</f>
        <v>0</v>
      </c>
      <c r="Q1402" s="2337"/>
    </row>
    <row r="1403" spans="1:31" ht="10.5" customHeight="1">
      <c r="B1403" s="2268" t="s">
        <v>3243</v>
      </c>
      <c r="D1403" s="2268"/>
      <c r="E1403" s="2268"/>
      <c r="F1403" s="2268"/>
      <c r="G1403" s="2268"/>
      <c r="H1403" s="1875"/>
      <c r="I1403" s="2243"/>
      <c r="J1403" s="2243"/>
      <c r="K1403" s="2243"/>
      <c r="L1403" s="1902"/>
      <c r="M1403" s="1902"/>
      <c r="N1403" s="1902"/>
      <c r="O1403" s="1902"/>
      <c r="P1403" s="1902"/>
      <c r="Q1403" s="1902"/>
    </row>
    <row r="1404" spans="1:31" ht="56.25">
      <c r="A1404" s="2327" t="str">
        <f>'Part VII-Threshold Criteria'!A366</f>
        <v>Applicant has not applied for Nonprofit Set-Aside.</v>
      </c>
      <c r="B1404" s="2327"/>
      <c r="C1404" s="2327"/>
      <c r="D1404" s="2327"/>
      <c r="E1404" s="2327"/>
      <c r="F1404" s="2327"/>
      <c r="G1404" s="2327"/>
      <c r="H1404" s="2327"/>
      <c r="I1404" s="2327"/>
      <c r="J1404" s="2327"/>
      <c r="K1404" s="2327"/>
      <c r="L1404" s="2327"/>
      <c r="M1404" s="2327"/>
      <c r="N1404" s="2327"/>
      <c r="O1404" s="2327"/>
      <c r="P1404" s="2327"/>
      <c r="Q1404" s="2327"/>
      <c r="U1404" s="1505"/>
      <c r="V1404" s="1505"/>
      <c r="W1404" s="1505"/>
      <c r="X1404" s="1505"/>
      <c r="Y1404" s="1505"/>
      <c r="Z1404" s="1505"/>
      <c r="AA1404" s="1505"/>
      <c r="AB1404" s="1505"/>
      <c r="AC1404" s="1505"/>
      <c r="AD1404" s="1505"/>
      <c r="AE1404" s="1505"/>
    </row>
    <row r="1405" spans="1:31" ht="10.5" customHeight="1">
      <c r="B1405" s="2328" t="s">
        <v>1730</v>
      </c>
      <c r="C1405" s="2329"/>
      <c r="D1405" s="2330"/>
      <c r="E1405" s="2330"/>
      <c r="F1405" s="2330"/>
      <c r="G1405" s="2330"/>
      <c r="H1405" s="2330"/>
      <c r="I1405" s="2330"/>
      <c r="J1405" s="2330"/>
      <c r="K1405" s="2330"/>
      <c r="L1405" s="2330"/>
      <c r="M1405" s="2330"/>
      <c r="N1405" s="2330"/>
      <c r="O1405" s="2330"/>
      <c r="P1405" s="2330"/>
      <c r="Q1405" s="2330"/>
    </row>
    <row r="1406" spans="1:31">
      <c r="A1406" s="2331"/>
      <c r="B1406" s="2331"/>
      <c r="C1406" s="2331"/>
      <c r="D1406" s="2331"/>
      <c r="E1406" s="2331"/>
      <c r="F1406" s="2331"/>
      <c r="G1406" s="2331"/>
      <c r="H1406" s="2331"/>
      <c r="I1406" s="2331"/>
      <c r="J1406" s="2331"/>
      <c r="K1406" s="2331"/>
      <c r="L1406" s="2331"/>
      <c r="M1406" s="2331"/>
      <c r="N1406" s="2331"/>
      <c r="O1406" s="2331"/>
      <c r="P1406" s="2331"/>
      <c r="Q1406" s="2331"/>
    </row>
    <row r="1407" spans="1:31" ht="3" customHeight="1">
      <c r="A1407" s="1902"/>
      <c r="B1407" s="2243"/>
      <c r="C1407" s="2330"/>
      <c r="D1407" s="2330"/>
      <c r="E1407" s="2330"/>
      <c r="F1407" s="2330"/>
      <c r="G1407" s="2330"/>
      <c r="H1407" s="2330"/>
      <c r="I1407" s="2330"/>
      <c r="J1407" s="2330"/>
      <c r="K1407" s="2330"/>
      <c r="L1407" s="2330"/>
      <c r="M1407" s="2330"/>
      <c r="Q1407" s="1902"/>
    </row>
    <row r="1408" spans="1:31" ht="3" customHeight="1">
      <c r="A1408" s="1902"/>
      <c r="B1408" s="2243"/>
      <c r="C1408" s="2330"/>
      <c r="D1408" s="2330"/>
      <c r="E1408" s="2330"/>
      <c r="F1408" s="2330"/>
      <c r="G1408" s="2330"/>
      <c r="H1408" s="2330"/>
      <c r="I1408" s="2330"/>
      <c r="J1408" s="2330"/>
      <c r="K1408" s="2330"/>
      <c r="L1408" s="2330"/>
      <c r="M1408" s="2330"/>
      <c r="Q1408" s="1902"/>
    </row>
    <row r="1409" spans="1:31" ht="14.1" customHeight="1">
      <c r="A1409" s="2206" t="s">
        <v>3382</v>
      </c>
      <c r="B1409" s="359" t="s">
        <v>2450</v>
      </c>
      <c r="C1409" s="359"/>
      <c r="D1409" s="359"/>
      <c r="E1409" s="359"/>
      <c r="F1409" s="359"/>
      <c r="G1409" s="359"/>
      <c r="H1409" s="2330"/>
      <c r="I1409" s="2330"/>
      <c r="J1409" s="2330"/>
      <c r="N1409" s="2342" t="str">
        <f>IF('Part VIII Scoring Criteria'!$P$47="yes","Applicant has applied for CHDO Setaside.","Applicant has NOT applied for CHDO Setaside.")</f>
        <v>Applicant has NOT applied for CHDO Setaside.</v>
      </c>
      <c r="O1409" s="2325" t="s">
        <v>1731</v>
      </c>
      <c r="P1409" s="1505"/>
      <c r="Q1409" s="1505"/>
    </row>
    <row r="1410" spans="1:31" ht="11.45" customHeight="1">
      <c r="A1410" s="2342" t="s">
        <v>1842</v>
      </c>
      <c r="B1410" s="362" t="s">
        <v>971</v>
      </c>
      <c r="E1410" s="2211">
        <f>'Part VII-Threshold Criteria'!E372</f>
        <v>0</v>
      </c>
      <c r="F1410" s="2211"/>
      <c r="G1410" s="2211"/>
      <c r="H1410" s="2211"/>
      <c r="I1410" s="2211"/>
      <c r="J1410" s="362" t="s">
        <v>2438</v>
      </c>
      <c r="K1410" s="362"/>
      <c r="L1410" s="362"/>
      <c r="M1410" s="2211">
        <f>'Part VII-Threshold Criteria'!M372</f>
        <v>0</v>
      </c>
      <c r="N1410" s="2211"/>
      <c r="O1410" s="2211"/>
      <c r="P1410" s="2211"/>
      <c r="Q1410" s="2211"/>
    </row>
    <row r="1411" spans="1:31" s="2265" customFormat="1">
      <c r="A1411" s="2336" t="s">
        <v>1844</v>
      </c>
      <c r="B1411" s="1889" t="s">
        <v>3085</v>
      </c>
      <c r="C1411" s="2331"/>
      <c r="D1411" s="2331"/>
      <c r="E1411" s="2331"/>
      <c r="F1411" s="2331"/>
      <c r="G1411" s="2331"/>
      <c r="H1411" s="2331"/>
      <c r="I1411" s="2331"/>
      <c r="J1411" s="2331"/>
      <c r="K1411" s="2331"/>
      <c r="L1411" s="2331"/>
      <c r="M1411" s="2331"/>
      <c r="N1411" s="2331"/>
      <c r="O1411" s="2336" t="s">
        <v>1844</v>
      </c>
      <c r="P1411" s="2355">
        <f>'Part VII-Threshold Criteria'!P373</f>
        <v>0</v>
      </c>
      <c r="Q1411" s="2337"/>
    </row>
    <row r="1412" spans="1:31">
      <c r="A1412" s="2336" t="s">
        <v>698</v>
      </c>
      <c r="B1412" s="807" t="s">
        <v>3205</v>
      </c>
      <c r="G1412" s="2252"/>
      <c r="H1412" s="2252"/>
      <c r="I1412" s="2252"/>
      <c r="J1412" s="1875" t="s">
        <v>3206</v>
      </c>
      <c r="L1412" s="2252"/>
      <c r="M1412" s="2393">
        <f>'Part II-Sources of Funds'!I1044</f>
        <v>0</v>
      </c>
      <c r="N1412" s="2393"/>
      <c r="O1412" s="2336" t="s">
        <v>698</v>
      </c>
      <c r="P1412" s="2344">
        <f>'Part VII-Threshold Criteria'!P374</f>
        <v>0</v>
      </c>
      <c r="Q1412" s="2243"/>
    </row>
    <row r="1413" spans="1:31" ht="11.25" customHeight="1">
      <c r="B1413" s="2268" t="s">
        <v>3243</v>
      </c>
      <c r="D1413" s="2268"/>
      <c r="E1413" s="2268"/>
      <c r="F1413" s="2268"/>
      <c r="G1413" s="2268"/>
      <c r="H1413" s="1875"/>
      <c r="I1413" s="2243"/>
      <c r="J1413" s="2243"/>
      <c r="K1413" s="2243"/>
      <c r="L1413" s="1902"/>
      <c r="M1413" s="1902"/>
      <c r="N1413" s="1902"/>
      <c r="O1413" s="1902"/>
      <c r="P1413" s="1902"/>
      <c r="Q1413" s="1902"/>
    </row>
    <row r="1414" spans="1:31" ht="11.45" customHeight="1">
      <c r="A1414" s="2327" t="str">
        <f>'Part VII-Threshold Criteria'!A376</f>
        <v>Applicant is not applying for the CHDO set-aside.</v>
      </c>
      <c r="B1414" s="2327"/>
      <c r="C1414" s="2327"/>
      <c r="D1414" s="2327"/>
      <c r="E1414" s="2327"/>
      <c r="F1414" s="2327"/>
      <c r="G1414" s="2327"/>
      <c r="H1414" s="2327"/>
      <c r="I1414" s="2327"/>
      <c r="J1414" s="2327"/>
      <c r="K1414" s="2327"/>
      <c r="L1414" s="2327"/>
      <c r="M1414" s="2327"/>
      <c r="N1414" s="2327"/>
      <c r="O1414" s="2327"/>
      <c r="P1414" s="2327"/>
      <c r="Q1414" s="2327"/>
      <c r="U1414" s="1505"/>
      <c r="V1414" s="1505"/>
      <c r="W1414" s="1505"/>
      <c r="X1414" s="1505"/>
      <c r="Y1414" s="1505"/>
      <c r="Z1414" s="1505"/>
      <c r="AA1414" s="1505"/>
      <c r="AB1414" s="1505"/>
      <c r="AC1414" s="1505"/>
      <c r="AD1414" s="1505"/>
      <c r="AE1414" s="1505"/>
    </row>
    <row r="1415" spans="1:31" ht="11.25" customHeight="1">
      <c r="B1415" s="2328" t="s">
        <v>1730</v>
      </c>
      <c r="C1415" s="2329"/>
      <c r="D1415" s="2330"/>
      <c r="E1415" s="2330"/>
      <c r="F1415" s="2330"/>
      <c r="G1415" s="2330"/>
      <c r="H1415" s="2330"/>
      <c r="I1415" s="2330"/>
      <c r="J1415" s="2330"/>
      <c r="K1415" s="2330"/>
      <c r="L1415" s="2330"/>
      <c r="M1415" s="2330"/>
      <c r="N1415" s="2330"/>
      <c r="O1415" s="2330"/>
      <c r="P1415" s="2330"/>
      <c r="Q1415" s="2330"/>
    </row>
    <row r="1416" spans="1:31" ht="11.45" customHeight="1">
      <c r="A1416" s="2331"/>
      <c r="B1416" s="2331"/>
      <c r="C1416" s="2331"/>
      <c r="D1416" s="2331"/>
      <c r="E1416" s="2331"/>
      <c r="F1416" s="2331"/>
      <c r="G1416" s="2331"/>
      <c r="H1416" s="2331"/>
      <c r="I1416" s="2331"/>
      <c r="J1416" s="2331"/>
      <c r="K1416" s="2331"/>
      <c r="L1416" s="2331"/>
      <c r="M1416" s="2331"/>
      <c r="N1416" s="2331"/>
      <c r="O1416" s="2331"/>
      <c r="P1416" s="2331"/>
      <c r="Q1416" s="2331"/>
    </row>
    <row r="1417" spans="1:31" ht="3.6" customHeight="1">
      <c r="A1417" s="1902"/>
      <c r="B1417" s="2243"/>
      <c r="C1417" s="2330"/>
      <c r="D1417" s="2330"/>
      <c r="E1417" s="2330"/>
      <c r="F1417" s="2330"/>
      <c r="G1417" s="2330"/>
      <c r="H1417" s="2330"/>
      <c r="I1417" s="2330"/>
      <c r="J1417" s="2330"/>
      <c r="K1417" s="2330"/>
      <c r="L1417" s="2330"/>
      <c r="M1417" s="2330"/>
      <c r="Q1417" s="1902"/>
    </row>
    <row r="1418" spans="1:31" ht="14.1" customHeight="1">
      <c r="A1418" s="2206" t="s">
        <v>3383</v>
      </c>
      <c r="B1418" s="359" t="s">
        <v>2436</v>
      </c>
      <c r="C1418" s="359"/>
      <c r="D1418" s="359"/>
      <c r="E1418" s="2330"/>
      <c r="G1418" s="1889" t="s">
        <v>655</v>
      </c>
      <c r="H1418" s="2330"/>
      <c r="I1418" s="2330"/>
      <c r="J1418" s="2330"/>
      <c r="K1418" s="2330"/>
      <c r="L1418" s="2330"/>
      <c r="M1418" s="2330"/>
      <c r="O1418" s="2325" t="s">
        <v>1731</v>
      </c>
      <c r="P1418" s="1505"/>
      <c r="Q1418" s="1505"/>
    </row>
    <row r="1419" spans="1:31" ht="12" customHeight="1">
      <c r="A1419" s="2342" t="s">
        <v>1842</v>
      </c>
      <c r="B1419" s="362" t="s">
        <v>2439</v>
      </c>
      <c r="D1419" s="2331"/>
      <c r="E1419" s="2331"/>
      <c r="O1419" s="2342" t="s">
        <v>1842</v>
      </c>
      <c r="P1419" s="2344" t="str">
        <f>'Part VII-Threshold Criteria'!P381</f>
        <v>No</v>
      </c>
      <c r="Q1419" s="2243"/>
    </row>
    <row r="1420" spans="1:31" ht="12" customHeight="1">
      <c r="A1420" s="2342" t="s">
        <v>1844</v>
      </c>
      <c r="B1420" s="362" t="s">
        <v>3146</v>
      </c>
      <c r="D1420" s="2331"/>
      <c r="E1420" s="2331"/>
      <c r="O1420" s="2342" t="s">
        <v>1844</v>
      </c>
      <c r="P1420" s="2344" t="str">
        <f>'Part VII-Threshold Criteria'!P382</f>
        <v>No</v>
      </c>
      <c r="Q1420" s="2243"/>
    </row>
    <row r="1421" spans="1:31" ht="12" customHeight="1">
      <c r="A1421" s="2342" t="s">
        <v>698</v>
      </c>
      <c r="B1421" s="362" t="s">
        <v>4036</v>
      </c>
      <c r="D1421" s="2331"/>
      <c r="E1421" s="2331"/>
      <c r="O1421" s="2342" t="s">
        <v>698</v>
      </c>
      <c r="P1421" s="2344" t="str">
        <f>'Part VII-Threshold Criteria'!P383</f>
        <v>No</v>
      </c>
      <c r="Q1421" s="2243"/>
    </row>
    <row r="1422" spans="1:31" ht="12" customHeight="1">
      <c r="A1422" s="2342" t="s">
        <v>1963</v>
      </c>
      <c r="B1422" s="362" t="s">
        <v>3147</v>
      </c>
      <c r="E1422" s="1889"/>
      <c r="O1422" s="2342" t="s">
        <v>1963</v>
      </c>
      <c r="P1422" s="2344" t="str">
        <f>'Part VII-Threshold Criteria'!P384</f>
        <v>No</v>
      </c>
      <c r="Q1422" s="2243"/>
    </row>
    <row r="1423" spans="1:31" ht="12" customHeight="1">
      <c r="A1423" s="2342" t="s">
        <v>1613</v>
      </c>
      <c r="B1423" s="362" t="s">
        <v>1929</v>
      </c>
      <c r="E1423" s="1889"/>
      <c r="G1423" s="2342" t="s">
        <v>1613</v>
      </c>
      <c r="H1423" s="2182" t="str">
        <f>'Part VII-Threshold Criteria'!H385</f>
        <v>Real Estate Tax Exempt Allowance</v>
      </c>
      <c r="I1423" s="2182"/>
      <c r="J1423" s="2182"/>
      <c r="K1423" s="2182"/>
      <c r="L1423" s="2182"/>
      <c r="M1423" s="2182"/>
      <c r="N1423" s="2182"/>
      <c r="O1423" s="2182"/>
      <c r="P1423" s="2344" t="str">
        <f>'Part VII-Threshold Criteria'!P385</f>
        <v>Yes</v>
      </c>
      <c r="Q1423" s="2243"/>
    </row>
    <row r="1424" spans="1:31" ht="11.25" customHeight="1">
      <c r="B1424" s="2268" t="s">
        <v>3243</v>
      </c>
      <c r="D1424" s="2268"/>
      <c r="E1424" s="2268"/>
      <c r="F1424" s="2268"/>
      <c r="G1424" s="2268"/>
      <c r="H1424" s="1875"/>
      <c r="I1424" s="2243"/>
      <c r="J1424" s="2243"/>
      <c r="K1424" s="2243"/>
      <c r="L1424" s="1902"/>
      <c r="M1424" s="1902"/>
      <c r="N1424" s="1902"/>
      <c r="O1424" s="1902"/>
      <c r="P1424" s="1902"/>
      <c r="Q1424" s="1902"/>
    </row>
    <row r="1425" spans="1:31" ht="11.45" customHeight="1">
      <c r="A1425" s="2327" t="str">
        <f>'Part VII-Threshold Criteria'!A387</f>
        <v>Applicant has obtained a legal opinion as to the validity of the real estate tax exemption since the Housing Authority of the City of Gainesville will be the land owner and lessor of the land to the partnership and can provide upon request.</v>
      </c>
      <c r="B1425" s="2327"/>
      <c r="C1425" s="2327"/>
      <c r="D1425" s="2327"/>
      <c r="E1425" s="2327"/>
      <c r="F1425" s="2327"/>
      <c r="G1425" s="2327"/>
      <c r="H1425" s="2327"/>
      <c r="I1425" s="2327"/>
      <c r="J1425" s="2327"/>
      <c r="K1425" s="2327"/>
      <c r="L1425" s="2327"/>
      <c r="M1425" s="2327"/>
      <c r="N1425" s="2327"/>
      <c r="O1425" s="2327"/>
      <c r="P1425" s="2327"/>
      <c r="Q1425" s="2327"/>
      <c r="U1425" s="1505"/>
      <c r="V1425" s="1505"/>
      <c r="W1425" s="1505"/>
      <c r="X1425" s="1505"/>
      <c r="Y1425" s="1505"/>
      <c r="Z1425" s="1505"/>
      <c r="AA1425" s="1505"/>
      <c r="AB1425" s="1505"/>
      <c r="AC1425" s="1505"/>
      <c r="AD1425" s="1505"/>
      <c r="AE1425" s="1505"/>
    </row>
    <row r="1426" spans="1:31" ht="11.25" customHeight="1">
      <c r="B1426" s="2328" t="s">
        <v>1730</v>
      </c>
      <c r="C1426" s="2329"/>
      <c r="D1426" s="2330"/>
      <c r="E1426" s="2330"/>
      <c r="F1426" s="2330"/>
      <c r="G1426" s="2330"/>
      <c r="H1426" s="2330"/>
      <c r="I1426" s="2330"/>
      <c r="J1426" s="2330"/>
      <c r="K1426" s="2330"/>
      <c r="L1426" s="2330"/>
      <c r="M1426" s="2330"/>
      <c r="N1426" s="2330"/>
      <c r="O1426" s="2330"/>
      <c r="P1426" s="2330"/>
      <c r="Q1426" s="2330"/>
    </row>
    <row r="1427" spans="1:31" ht="11.45" customHeight="1">
      <c r="A1427" s="2331"/>
      <c r="B1427" s="2331"/>
      <c r="C1427" s="2331"/>
      <c r="D1427" s="2331"/>
      <c r="E1427" s="2331"/>
      <c r="F1427" s="2331"/>
      <c r="G1427" s="2331"/>
      <c r="H1427" s="2331"/>
      <c r="I1427" s="2331"/>
      <c r="J1427" s="2331"/>
      <c r="K1427" s="2331"/>
      <c r="L1427" s="2331"/>
      <c r="M1427" s="2331"/>
      <c r="N1427" s="2331"/>
      <c r="O1427" s="2331"/>
      <c r="P1427" s="2331"/>
      <c r="Q1427" s="2331"/>
    </row>
    <row r="1428" spans="1:31" ht="3" customHeight="1">
      <c r="A1428" s="1902"/>
      <c r="B1428" s="2243"/>
      <c r="C1428" s="2330"/>
      <c r="D1428" s="2330"/>
      <c r="E1428" s="2330"/>
      <c r="F1428" s="2330"/>
      <c r="G1428" s="2330"/>
      <c r="H1428" s="2330"/>
      <c r="I1428" s="2330"/>
      <c r="J1428" s="2330"/>
      <c r="K1428" s="2330"/>
      <c r="L1428" s="2330"/>
      <c r="M1428" s="2330"/>
      <c r="N1428" s="2330"/>
      <c r="O1428" s="2330"/>
      <c r="P1428" s="2330"/>
      <c r="Q1428" s="1902"/>
    </row>
    <row r="1429" spans="1:31" ht="14.1" customHeight="1">
      <c r="A1429" s="2206" t="s">
        <v>3384</v>
      </c>
      <c r="B1429" s="359" t="s">
        <v>3944</v>
      </c>
      <c r="C1429" s="359"/>
      <c r="D1429" s="359"/>
      <c r="E1429" s="359"/>
      <c r="F1429" s="359"/>
      <c r="G1429" s="359"/>
      <c r="H1429" s="2330"/>
      <c r="I1429" s="2330"/>
      <c r="J1429" s="2330"/>
      <c r="K1429" s="2330"/>
      <c r="L1429" s="2330"/>
      <c r="M1429" s="2330"/>
      <c r="O1429" s="2325" t="s">
        <v>1731</v>
      </c>
      <c r="P1429" s="1505"/>
      <c r="Q1429" s="1505"/>
    </row>
    <row r="1430" spans="1:31" ht="12" customHeight="1">
      <c r="B1430" s="807" t="s">
        <v>6259</v>
      </c>
      <c r="O1430" s="2342"/>
      <c r="P1430" s="2344" t="str">
        <f>'Part VII-Threshold Criteria'!P392</f>
        <v>Yes</v>
      </c>
      <c r="Q1430" s="2243"/>
    </row>
    <row r="1431" spans="1:31" ht="12" customHeight="1">
      <c r="A1431" s="2342" t="s">
        <v>1842</v>
      </c>
      <c r="B1431" s="362" t="s">
        <v>3943</v>
      </c>
      <c r="D1431" s="359"/>
      <c r="E1431" s="359"/>
      <c r="F1431" s="359"/>
      <c r="G1431" s="359"/>
      <c r="H1431" s="359"/>
      <c r="I1431" s="359"/>
      <c r="J1431" s="359"/>
      <c r="K1431" s="359"/>
      <c r="L1431" s="359"/>
      <c r="M1431" s="359"/>
      <c r="N1431" s="359"/>
      <c r="O1431" s="359"/>
      <c r="P1431" s="359"/>
      <c r="Q1431" s="359"/>
    </row>
    <row r="1432" spans="1:31" ht="12" customHeight="1">
      <c r="A1432" s="2342"/>
      <c r="B1432" s="2394" t="s">
        <v>1845</v>
      </c>
      <c r="C1432" s="807" t="s">
        <v>701</v>
      </c>
      <c r="D1432" s="359"/>
      <c r="E1432" s="359"/>
      <c r="F1432" s="359"/>
      <c r="G1432" s="359"/>
      <c r="H1432" s="359"/>
      <c r="I1432" s="359"/>
      <c r="J1432" s="359"/>
      <c r="K1432" s="359"/>
      <c r="L1432" s="359"/>
      <c r="M1432" s="359"/>
      <c r="N1432" s="359"/>
      <c r="O1432" s="2342">
        <v>1</v>
      </c>
      <c r="P1432" s="2344" t="str">
        <f>'Part VII-Threshold Criteria'!P394</f>
        <v>No</v>
      </c>
      <c r="Q1432" s="2243"/>
    </row>
    <row r="1433" spans="1:31" ht="12" customHeight="1">
      <c r="B1433" s="362"/>
      <c r="C1433" s="362" t="s">
        <v>4037</v>
      </c>
      <c r="D1433" s="807" t="s">
        <v>4038</v>
      </c>
      <c r="E1433" s="359"/>
      <c r="F1433" s="359"/>
      <c r="G1433" s="359"/>
      <c r="H1433" s="359"/>
      <c r="I1433" s="359"/>
      <c r="J1433" s="359"/>
      <c r="K1433" s="359"/>
      <c r="L1433" s="359"/>
      <c r="M1433" s="359"/>
      <c r="N1433" s="359"/>
      <c r="O1433" s="2342" t="s">
        <v>4037</v>
      </c>
      <c r="P1433" s="2338" t="str">
        <f>'Part VII-Threshold Criteria'!P395</f>
        <v>No</v>
      </c>
      <c r="Q1433" s="1889"/>
    </row>
    <row r="1434" spans="1:31" ht="12" customHeight="1">
      <c r="A1434" s="2342"/>
      <c r="D1434" s="362" t="s">
        <v>6508</v>
      </c>
      <c r="E1434" s="362"/>
      <c r="F1434" s="362"/>
      <c r="G1434" s="362"/>
      <c r="H1434" s="362"/>
      <c r="I1434" s="362"/>
      <c r="J1434" s="362"/>
      <c r="K1434" s="362"/>
      <c r="L1434" s="362"/>
      <c r="M1434" s="362"/>
      <c r="N1434" s="359"/>
      <c r="O1434" s="2308"/>
      <c r="P1434" s="2338">
        <f>'Part VII-Threshold Criteria'!P396</f>
        <v>0</v>
      </c>
      <c r="Q1434" s="1889"/>
    </row>
    <row r="1435" spans="1:31" ht="12" customHeight="1">
      <c r="C1435" s="362" t="s">
        <v>2242</v>
      </c>
      <c r="D1435" s="362" t="s">
        <v>3086</v>
      </c>
      <c r="E1435" s="362"/>
      <c r="F1435" s="362"/>
      <c r="G1435" s="362"/>
      <c r="H1435" s="362"/>
      <c r="I1435" s="362"/>
      <c r="J1435" s="362"/>
      <c r="K1435" s="362"/>
      <c r="L1435" s="362"/>
      <c r="M1435" s="362"/>
      <c r="N1435" s="359"/>
      <c r="O1435" s="2342" t="s">
        <v>2242</v>
      </c>
      <c r="P1435" s="2344" t="str">
        <f>'Part VII-Threshold Criteria'!P397</f>
        <v>No</v>
      </c>
      <c r="Q1435" s="2243"/>
    </row>
    <row r="1436" spans="1:31" ht="12" customHeight="1">
      <c r="A1436" s="2342"/>
      <c r="C1436" s="362" t="s">
        <v>3947</v>
      </c>
      <c r="D1436" s="362" t="s">
        <v>3143</v>
      </c>
      <c r="E1436" s="362"/>
      <c r="F1436" s="362"/>
      <c r="G1436" s="362"/>
      <c r="H1436" s="362"/>
      <c r="I1436" s="362"/>
      <c r="J1436" s="362"/>
      <c r="K1436" s="362"/>
      <c r="L1436" s="362"/>
      <c r="M1436" s="362"/>
      <c r="N1436" s="359"/>
      <c r="O1436" s="2342" t="s">
        <v>2243</v>
      </c>
      <c r="P1436" s="2344" t="str">
        <f>'Part VII-Threshold Criteria'!P398</f>
        <v>No</v>
      </c>
      <c r="Q1436" s="2243"/>
    </row>
    <row r="1437" spans="1:31" ht="12" customHeight="1">
      <c r="A1437" s="2342"/>
      <c r="B1437" s="2394" t="s">
        <v>1847</v>
      </c>
      <c r="C1437" s="362" t="s">
        <v>2042</v>
      </c>
      <c r="E1437" s="362"/>
      <c r="F1437" s="362"/>
      <c r="G1437" s="362"/>
      <c r="H1437" s="362"/>
      <c r="I1437" s="362"/>
      <c r="J1437" s="362"/>
      <c r="K1437" s="362"/>
      <c r="L1437" s="362"/>
      <c r="M1437" s="362"/>
      <c r="N1437" s="362"/>
      <c r="O1437" s="2342">
        <v>2</v>
      </c>
      <c r="P1437" s="2344" t="str">
        <f>'Part VII-Threshold Criteria'!P399</f>
        <v>No</v>
      </c>
      <c r="Q1437" s="2243"/>
    </row>
    <row r="1438" spans="1:31" ht="12" customHeight="1">
      <c r="A1438" s="2342"/>
      <c r="B1438" s="2394" t="s">
        <v>2333</v>
      </c>
      <c r="C1438" s="1889" t="s">
        <v>6159</v>
      </c>
      <c r="D1438" s="2331"/>
      <c r="E1438" s="2331"/>
      <c r="F1438" s="2331"/>
      <c r="G1438" s="362" t="s">
        <v>3948</v>
      </c>
      <c r="J1438" s="2235">
        <f>'Part VII-Threshold Criteria'!J400</f>
        <v>0</v>
      </c>
      <c r="K1438" s="1902"/>
      <c r="M1438" s="362" t="s">
        <v>6233</v>
      </c>
      <c r="P1438" s="2235">
        <f>'Part VII-Threshold Criteria'!P400</f>
        <v>0</v>
      </c>
      <c r="Q1438" s="1902"/>
    </row>
    <row r="1439" spans="1:31" ht="12" customHeight="1">
      <c r="A1439" s="2342"/>
      <c r="C1439" s="1889"/>
      <c r="D1439" s="2331"/>
      <c r="E1439" s="2331"/>
      <c r="F1439" s="2331"/>
      <c r="G1439" s="362" t="s">
        <v>6232</v>
      </c>
      <c r="J1439" s="2235">
        <f>'Part VII-Threshold Criteria'!J401</f>
        <v>0</v>
      </c>
      <c r="K1439" s="1902"/>
      <c r="M1439" s="362" t="s">
        <v>6234</v>
      </c>
      <c r="P1439" s="2235">
        <f>'Part VII-Threshold Criteria'!P401</f>
        <v>0</v>
      </c>
      <c r="Q1439" s="1902"/>
    </row>
    <row r="1440" spans="1:31" ht="8.25" customHeight="1">
      <c r="A1440" s="2342"/>
      <c r="C1440" s="1889"/>
      <c r="D1440" s="2331"/>
      <c r="E1440" s="2331"/>
      <c r="F1440" s="2331"/>
      <c r="L1440" s="1875"/>
      <c r="M1440" s="359"/>
      <c r="N1440" s="2342"/>
    </row>
    <row r="1441" spans="1:44" s="359" customFormat="1" ht="22.5">
      <c r="A1441" s="2239"/>
      <c r="B1441" s="1884"/>
      <c r="D1441" s="2381"/>
      <c r="E1441" s="2381"/>
      <c r="F1441" s="2381"/>
      <c r="G1441" s="2381"/>
      <c r="H1441" s="2381"/>
      <c r="I1441" s="1656" t="s">
        <v>6189</v>
      </c>
      <c r="J1441" s="1656" t="s">
        <v>6190</v>
      </c>
      <c r="K1441" s="807" t="s">
        <v>6192</v>
      </c>
      <c r="L1441" s="1656"/>
      <c r="M1441" s="1656"/>
      <c r="N1441" s="1656" t="s">
        <v>6191</v>
      </c>
      <c r="O1441" s="2342"/>
      <c r="P1441" s="362" t="s">
        <v>6703</v>
      </c>
      <c r="Q1441" s="2292"/>
      <c r="S1441" s="2079"/>
      <c r="T1441" s="2079"/>
      <c r="U1441" s="2079"/>
      <c r="V1441" s="2079"/>
      <c r="W1441" s="2079"/>
      <c r="X1441" s="2079"/>
      <c r="Y1441" s="2079"/>
      <c r="Z1441" s="2079"/>
      <c r="AA1441" s="2079"/>
      <c r="AB1441" s="2079"/>
      <c r="AC1441" s="2079"/>
      <c r="AD1441" s="2079"/>
      <c r="AE1441" s="2079"/>
      <c r="AF1441" s="2079"/>
      <c r="AG1441" s="2079"/>
      <c r="AH1441" s="2079"/>
      <c r="AI1441" s="2079"/>
      <c r="AJ1441" s="2079"/>
      <c r="AK1441" s="2079"/>
      <c r="AL1441" s="2079"/>
      <c r="AM1441" s="2079"/>
      <c r="AN1441" s="2079"/>
      <c r="AO1441" s="2079"/>
      <c r="AP1441" s="2079"/>
      <c r="AQ1441" s="2079"/>
      <c r="AR1441" s="2079"/>
    </row>
    <row r="1442" spans="1:44" s="359" customFormat="1" ht="12.75" customHeight="1">
      <c r="A1442" s="2239"/>
      <c r="B1442" s="1884"/>
      <c r="D1442" s="2381"/>
      <c r="E1442" s="2381"/>
      <c r="F1442" s="2381"/>
      <c r="G1442" s="2381"/>
      <c r="H1442" s="2381"/>
      <c r="I1442" s="1656"/>
      <c r="J1442" s="1656"/>
      <c r="K1442" s="1656"/>
      <c r="L1442" s="1656"/>
      <c r="M1442" s="1656"/>
      <c r="N1442" s="1656"/>
      <c r="O1442" s="2342"/>
      <c r="P1442" s="2292"/>
      <c r="Q1442" s="2292"/>
      <c r="S1442" s="2079"/>
      <c r="T1442" s="2079"/>
      <c r="U1442" s="2079"/>
      <c r="V1442" s="2079"/>
      <c r="W1442" s="2079"/>
      <c r="X1442" s="2079"/>
      <c r="Y1442" s="2079"/>
      <c r="Z1442" s="2079"/>
      <c r="AA1442" s="2079"/>
      <c r="AB1442" s="2079"/>
      <c r="AC1442" s="2079"/>
      <c r="AD1442" s="2079"/>
      <c r="AE1442" s="2079"/>
      <c r="AF1442" s="2079"/>
      <c r="AG1442" s="2079"/>
      <c r="AH1442" s="2079"/>
      <c r="AI1442" s="2079"/>
      <c r="AJ1442" s="2079"/>
      <c r="AK1442" s="2079"/>
      <c r="AL1442" s="2079"/>
      <c r="AM1442" s="2079"/>
      <c r="AN1442" s="2079"/>
      <c r="AO1442" s="2079"/>
      <c r="AP1442" s="2079"/>
      <c r="AQ1442" s="2079"/>
      <c r="AR1442" s="2079"/>
    </row>
    <row r="1443" spans="1:44" s="359" customFormat="1" ht="12.75" customHeight="1">
      <c r="A1443" s="2287"/>
      <c r="B1443" s="2339"/>
      <c r="C1443" s="1889" t="s">
        <v>6303</v>
      </c>
      <c r="D1443" s="2331"/>
      <c r="E1443" s="2331"/>
      <c r="F1443" s="2331"/>
      <c r="G1443" s="2331"/>
      <c r="H1443" s="2331"/>
      <c r="I1443" s="2120">
        <f>K1328</f>
        <v>6</v>
      </c>
      <c r="J1443" s="2383">
        <f>'Part VII-Threshold Criteria'!J405</f>
        <v>6</v>
      </c>
      <c r="K1443" s="2395">
        <f>'Part VII-Threshold Criteria'!K405</f>
        <v>6</v>
      </c>
      <c r="L1443" s="2395"/>
      <c r="M1443" s="2395"/>
      <c r="N1443" s="2396">
        <f>MAX(J1443,K1443)</f>
        <v>6</v>
      </c>
      <c r="O1443" s="2342" t="s">
        <v>2245</v>
      </c>
      <c r="P1443" s="2344" t="str">
        <f>'Part VII-Threshold Criteria'!P405</f>
        <v>Yes</v>
      </c>
      <c r="Q1443" s="2243"/>
      <c r="S1443" s="2079"/>
      <c r="T1443" s="2079"/>
      <c r="U1443" s="2079"/>
      <c r="V1443" s="2079"/>
      <c r="W1443" s="2079"/>
      <c r="X1443" s="2079"/>
      <c r="Y1443" s="2079"/>
      <c r="Z1443" s="2079"/>
      <c r="AA1443" s="2079"/>
      <c r="AB1443" s="2079"/>
      <c r="AC1443" s="2079"/>
      <c r="AD1443" s="2079"/>
      <c r="AE1443" s="2079"/>
      <c r="AF1443" s="2079"/>
      <c r="AG1443" s="2079"/>
      <c r="AH1443" s="2079"/>
      <c r="AI1443" s="2079"/>
      <c r="AJ1443" s="2079"/>
      <c r="AK1443" s="2079"/>
      <c r="AL1443" s="2079"/>
      <c r="AM1443" s="2079"/>
      <c r="AN1443" s="2079"/>
      <c r="AO1443" s="2079"/>
      <c r="AP1443" s="2079"/>
      <c r="AQ1443" s="2079"/>
      <c r="AR1443" s="2079"/>
    </row>
    <row r="1444" spans="1:44" s="1821" customFormat="1" ht="12.75" customHeight="1">
      <c r="A1444" s="2024"/>
      <c r="B1444" s="2030"/>
      <c r="C1444" s="1889"/>
      <c r="D1444" s="2331"/>
      <c r="E1444" s="2331"/>
      <c r="F1444" s="2331"/>
      <c r="G1444" s="2331"/>
      <c r="H1444" s="2331"/>
      <c r="I1444" s="1624"/>
      <c r="J1444" s="2397"/>
      <c r="K1444" s="2398"/>
      <c r="L1444" s="2398"/>
      <c r="M1444" s="2398"/>
      <c r="N1444" s="2396">
        <f>MAX(J1444,K1444)</f>
        <v>0</v>
      </c>
      <c r="P1444" s="1624"/>
      <c r="S1444" s="2026"/>
      <c r="T1444" s="2026"/>
      <c r="U1444" s="2026"/>
      <c r="V1444" s="2026"/>
      <c r="W1444" s="2026"/>
      <c r="X1444" s="2026"/>
      <c r="Y1444" s="2026"/>
      <c r="Z1444" s="2026"/>
      <c r="AA1444" s="2026"/>
      <c r="AB1444" s="2026"/>
      <c r="AC1444" s="2026"/>
      <c r="AD1444" s="2026"/>
      <c r="AE1444" s="2026"/>
      <c r="AF1444" s="2026"/>
      <c r="AG1444" s="2026"/>
      <c r="AH1444" s="2026"/>
      <c r="AI1444" s="2026"/>
      <c r="AJ1444" s="2026"/>
      <c r="AK1444" s="2026"/>
      <c r="AL1444" s="2026"/>
      <c r="AM1444" s="2026"/>
      <c r="AN1444" s="2026"/>
      <c r="AO1444" s="2026"/>
      <c r="AP1444" s="2026"/>
      <c r="AQ1444" s="2026"/>
      <c r="AR1444" s="2026"/>
    </row>
    <row r="1445" spans="1:44" s="1821" customFormat="1" ht="9" customHeight="1">
      <c r="A1445" s="2024"/>
      <c r="B1445" s="2030"/>
      <c r="C1445" s="1889"/>
      <c r="D1445" s="2331"/>
      <c r="E1445" s="2331"/>
      <c r="F1445" s="2331"/>
      <c r="G1445" s="2331"/>
      <c r="H1445" s="2331"/>
      <c r="I1445" s="362"/>
      <c r="J1445" s="362"/>
      <c r="M1445" s="2381"/>
      <c r="N1445" s="2381"/>
      <c r="O1445" s="2342"/>
      <c r="S1445" s="2026"/>
      <c r="T1445" s="2026"/>
      <c r="U1445" s="2026"/>
      <c r="V1445" s="2211"/>
      <c r="W1445" s="2026"/>
      <c r="X1445" s="2211"/>
      <c r="Y1445" s="2026"/>
      <c r="Z1445" s="2053" t="str">
        <f>IF(AA1445="","",IF(AA1445&lt;AC1445,"Check!!!",""))</f>
        <v/>
      </c>
      <c r="AA1445" s="2053" t="str">
        <f t="shared" ref="AA1445:AG1445" si="410">IF(AB1445="","",IF(AB1445&lt;AD1445,"Check!!!",""))</f>
        <v/>
      </c>
      <c r="AB1445" s="2053" t="str">
        <f t="shared" si="410"/>
        <v/>
      </c>
      <c r="AC1445" s="2053" t="str">
        <f t="shared" si="410"/>
        <v/>
      </c>
      <c r="AD1445" s="2053" t="str">
        <f t="shared" si="410"/>
        <v/>
      </c>
      <c r="AE1445" s="2053" t="str">
        <f t="shared" si="410"/>
        <v/>
      </c>
      <c r="AF1445" s="2053" t="str">
        <f t="shared" si="410"/>
        <v/>
      </c>
      <c r="AG1445" s="2053" t="str">
        <f t="shared" si="410"/>
        <v/>
      </c>
      <c r="AH1445" s="2026"/>
      <c r="AI1445" s="2026"/>
      <c r="AJ1445" s="2026"/>
      <c r="AK1445" s="2026"/>
      <c r="AL1445" s="2026"/>
      <c r="AM1445" s="2026"/>
      <c r="AN1445" s="2026"/>
      <c r="AO1445" s="2026"/>
      <c r="AP1445" s="2026"/>
      <c r="AQ1445" s="2026"/>
      <c r="AR1445" s="2026"/>
    </row>
    <row r="1446" spans="1:44" s="359" customFormat="1" ht="12.75" customHeight="1">
      <c r="A1446" s="2336"/>
      <c r="B1446" s="2339"/>
      <c r="D1446" s="1889" t="s">
        <v>6193</v>
      </c>
      <c r="E1446" s="1889"/>
      <c r="F1446" s="1889"/>
      <c r="G1446" s="1889"/>
      <c r="H1446" s="1889"/>
      <c r="I1446" s="2120">
        <f>K1329</f>
        <v>6</v>
      </c>
      <c r="J1446" s="2383">
        <f>'Part VII-Threshold Criteria'!J408</f>
        <v>6</v>
      </c>
      <c r="K1446" s="2395">
        <f>'Part VII-Threshold Criteria'!K408</f>
        <v>6</v>
      </c>
      <c r="L1446" s="2395"/>
      <c r="M1446" s="2395"/>
      <c r="N1446" s="2396">
        <f>MAX(J1446,K1446)</f>
        <v>6</v>
      </c>
      <c r="O1446" s="2342"/>
      <c r="P1446" s="2355" t="str">
        <f>'Part VII-Threshold Criteria'!P408</f>
        <v>Yes</v>
      </c>
      <c r="Q1446" s="1889"/>
      <c r="S1446" s="2079"/>
      <c r="T1446" s="2338"/>
      <c r="U1446" s="2338"/>
      <c r="V1446" s="2338"/>
      <c r="W1446" s="2338"/>
      <c r="X1446" s="2338"/>
      <c r="Y1446" s="2338"/>
      <c r="Z1446" s="2338"/>
      <c r="AA1446" s="2338"/>
      <c r="AB1446" s="2338"/>
      <c r="AC1446" s="2338"/>
      <c r="AD1446" s="2338"/>
      <c r="AE1446" s="2338"/>
      <c r="AF1446" s="2338"/>
      <c r="AG1446" s="2338"/>
      <c r="AH1446" s="2079"/>
      <c r="AI1446" s="2079"/>
      <c r="AJ1446" s="2079"/>
      <c r="AK1446" s="2079"/>
      <c r="AL1446" s="2079"/>
      <c r="AM1446" s="2079"/>
      <c r="AN1446" s="2079"/>
      <c r="AO1446" s="2079"/>
      <c r="AP1446" s="2079"/>
      <c r="AQ1446" s="2079"/>
      <c r="AR1446" s="2079"/>
    </row>
    <row r="1447" spans="1:44" s="1821" customFormat="1" ht="12.75" customHeight="1">
      <c r="A1447" s="2024"/>
      <c r="B1447" s="2030"/>
      <c r="C1447" s="1889"/>
      <c r="D1447" s="1889"/>
      <c r="E1447" s="1889"/>
      <c r="F1447" s="1889"/>
      <c r="G1447" s="1889"/>
      <c r="H1447" s="1889"/>
      <c r="J1447" s="2397"/>
      <c r="K1447" s="2398"/>
      <c r="L1447" s="2398"/>
      <c r="M1447" s="2398"/>
      <c r="N1447" s="2396">
        <f>MAX(J1447,K1447)</f>
        <v>0</v>
      </c>
      <c r="O1447" s="1875"/>
      <c r="P1447" s="1875"/>
      <c r="Q1447" s="1875"/>
      <c r="S1447" s="2026"/>
      <c r="T1447" s="2026"/>
      <c r="U1447" s="2026"/>
      <c r="V1447" s="2211"/>
      <c r="W1447" s="2385"/>
      <c r="X1447" s="2211"/>
      <c r="Y1447" s="2026"/>
      <c r="Z1447" s="2053" t="str">
        <f>IF(AA1447="","",IF(AA1447&lt;AC1447,"Check!!!",""))</f>
        <v/>
      </c>
      <c r="AA1447" s="2053" t="str">
        <f t="shared" ref="AA1447:AG1447" si="411">IF(AB1447="","",IF(AB1447&lt;AD1447,"Check!!!",""))</f>
        <v/>
      </c>
      <c r="AB1447" s="2053" t="str">
        <f t="shared" si="411"/>
        <v/>
      </c>
      <c r="AC1447" s="2053" t="str">
        <f t="shared" si="411"/>
        <v/>
      </c>
      <c r="AD1447" s="2053" t="str">
        <f t="shared" si="411"/>
        <v/>
      </c>
      <c r="AE1447" s="2053" t="str">
        <f t="shared" si="411"/>
        <v/>
      </c>
      <c r="AF1447" s="2053" t="str">
        <f t="shared" si="411"/>
        <v/>
      </c>
      <c r="AG1447" s="2053" t="str">
        <f t="shared" si="411"/>
        <v/>
      </c>
      <c r="AH1447" s="2026"/>
      <c r="AI1447" s="2026"/>
      <c r="AJ1447" s="2026"/>
      <c r="AK1447" s="2026"/>
      <c r="AL1447" s="2026"/>
      <c r="AM1447" s="2026"/>
      <c r="AN1447" s="2026"/>
      <c r="AO1447" s="2026"/>
      <c r="AP1447" s="2026"/>
      <c r="AQ1447" s="2026"/>
      <c r="AR1447" s="2026"/>
    </row>
    <row r="1448" spans="1:44" s="1821" customFormat="1" ht="9" customHeight="1">
      <c r="A1448" s="2024"/>
      <c r="B1448" s="2030"/>
      <c r="C1448" s="1889"/>
      <c r="D1448" s="1889"/>
      <c r="E1448" s="1889"/>
      <c r="F1448" s="1889"/>
      <c r="G1448" s="1889"/>
      <c r="H1448" s="1889"/>
      <c r="M1448" s="2381"/>
      <c r="N1448" s="2381"/>
      <c r="O1448" s="1875"/>
      <c r="P1448" s="1875"/>
      <c r="Q1448" s="1875"/>
      <c r="S1448" s="2026"/>
      <c r="T1448" s="2026"/>
      <c r="U1448" s="2026"/>
      <c r="V1448" s="2211"/>
      <c r="W1448" s="2385"/>
      <c r="X1448" s="2211"/>
      <c r="Y1448" s="2026"/>
      <c r="Z1448" s="2053"/>
      <c r="AA1448" s="2053"/>
      <c r="AB1448" s="2053"/>
      <c r="AC1448" s="2053"/>
      <c r="AD1448" s="2053"/>
      <c r="AE1448" s="2053"/>
      <c r="AF1448" s="2053"/>
      <c r="AG1448" s="2053"/>
      <c r="AH1448" s="2026"/>
      <c r="AI1448" s="2026"/>
      <c r="AJ1448" s="2026"/>
      <c r="AK1448" s="2026"/>
      <c r="AL1448" s="2026"/>
      <c r="AM1448" s="2026"/>
      <c r="AN1448" s="2026"/>
      <c r="AO1448" s="2026"/>
      <c r="AP1448" s="2026"/>
      <c r="AQ1448" s="2026"/>
      <c r="AR1448" s="2026"/>
    </row>
    <row r="1449" spans="1:44" s="359" customFormat="1" ht="12.75" customHeight="1">
      <c r="A1449" s="2342"/>
      <c r="B1449" s="1875"/>
      <c r="C1449" s="1889" t="s">
        <v>6304</v>
      </c>
      <c r="D1449" s="2331"/>
      <c r="E1449" s="2331"/>
      <c r="F1449" s="2331"/>
      <c r="G1449" s="2331"/>
      <c r="H1449" s="2331"/>
      <c r="I1449" s="2120">
        <f>K1331</f>
        <v>3</v>
      </c>
      <c r="J1449" s="2383">
        <f>'Part VII-Threshold Criteria'!J411</f>
        <v>3</v>
      </c>
      <c r="K1449" s="2395">
        <f>'Part VII-Threshold Criteria'!K411</f>
        <v>3</v>
      </c>
      <c r="L1449" s="2395"/>
      <c r="M1449" s="2395"/>
      <c r="N1449" s="2396">
        <f>MAX(J1449,K1449)</f>
        <v>3</v>
      </c>
      <c r="O1449" s="2342" t="s">
        <v>2261</v>
      </c>
      <c r="P1449" s="2344" t="str">
        <f>'Part VII-Threshold Criteria'!P411</f>
        <v>Yes</v>
      </c>
      <c r="Q1449" s="2243"/>
      <c r="S1449" s="2079"/>
      <c r="T1449" s="2211"/>
      <c r="U1449" s="2211"/>
      <c r="V1449" s="2211"/>
      <c r="W1449" s="2211"/>
      <c r="X1449" s="2211"/>
      <c r="Y1449" s="2211"/>
      <c r="Z1449" s="2211"/>
      <c r="AA1449" s="2211"/>
      <c r="AB1449" s="2211"/>
      <c r="AC1449" s="2211"/>
      <c r="AD1449" s="2211"/>
      <c r="AE1449" s="2211"/>
      <c r="AF1449" s="2211"/>
      <c r="AG1449" s="2211"/>
      <c r="AH1449" s="2079"/>
      <c r="AI1449" s="2079"/>
      <c r="AJ1449" s="2079"/>
      <c r="AK1449" s="2079"/>
      <c r="AL1449" s="2079"/>
      <c r="AM1449" s="2079"/>
      <c r="AN1449" s="2079"/>
      <c r="AO1449" s="2079"/>
      <c r="AP1449" s="2079"/>
      <c r="AQ1449" s="2079"/>
      <c r="AR1449" s="2079"/>
    </row>
    <row r="1450" spans="1:44" s="1821" customFormat="1" ht="12.75" customHeight="1">
      <c r="A1450" s="2024"/>
      <c r="C1450" s="2331"/>
      <c r="D1450" s="2331"/>
      <c r="E1450" s="2331"/>
      <c r="F1450" s="2331"/>
      <c r="G1450" s="2331"/>
      <c r="H1450" s="2331"/>
      <c r="J1450" s="2397"/>
      <c r="K1450" s="2398"/>
      <c r="L1450" s="2398"/>
      <c r="M1450" s="2398"/>
      <c r="N1450" s="2396">
        <f>MAX(J1450,K1450)</f>
        <v>0</v>
      </c>
      <c r="O1450" s="362"/>
      <c r="P1450" s="2243"/>
      <c r="Q1450" s="362"/>
      <c r="S1450" s="2026"/>
      <c r="T1450" s="2211"/>
      <c r="U1450" s="2385"/>
      <c r="V1450" s="2211"/>
      <c r="W1450" s="2385"/>
      <c r="X1450" s="2211"/>
      <c r="Y1450" s="2211"/>
      <c r="Z1450" s="2211"/>
      <c r="AA1450" s="2211"/>
      <c r="AB1450" s="2211"/>
      <c r="AC1450" s="2211"/>
      <c r="AD1450" s="2211"/>
      <c r="AE1450" s="2211"/>
      <c r="AF1450" s="2211"/>
      <c r="AG1450" s="2211"/>
      <c r="AH1450" s="2026"/>
      <c r="AI1450" s="2026"/>
      <c r="AJ1450" s="2026"/>
      <c r="AK1450" s="2026"/>
      <c r="AL1450" s="2026"/>
      <c r="AM1450" s="2026"/>
      <c r="AN1450" s="2026"/>
      <c r="AO1450" s="2026"/>
      <c r="AP1450" s="2026"/>
      <c r="AQ1450" s="2026"/>
      <c r="AR1450" s="2026"/>
    </row>
    <row r="1451" spans="1:44" s="1821" customFormat="1" ht="3" customHeight="1">
      <c r="A1451" s="2024"/>
      <c r="C1451" s="2330"/>
      <c r="D1451" s="2330"/>
      <c r="E1451" s="2330"/>
      <c r="F1451" s="2330"/>
      <c r="G1451" s="2330"/>
      <c r="H1451" s="2330"/>
      <c r="O1451" s="1875"/>
      <c r="P1451" s="2342"/>
      <c r="S1451" s="2026"/>
      <c r="T1451" s="2026"/>
      <c r="U1451" s="2026"/>
      <c r="V1451" s="2211"/>
      <c r="W1451" s="2385"/>
      <c r="X1451" s="2211"/>
      <c r="Y1451" s="2026"/>
      <c r="Z1451" s="2053"/>
      <c r="AA1451" s="2053"/>
      <c r="AB1451" s="2053"/>
      <c r="AC1451" s="2053"/>
      <c r="AD1451" s="2053"/>
      <c r="AE1451" s="2053"/>
      <c r="AF1451" s="2053"/>
      <c r="AG1451" s="2053"/>
      <c r="AH1451" s="2026"/>
      <c r="AI1451" s="2026"/>
      <c r="AJ1451" s="2026"/>
      <c r="AK1451" s="2026"/>
      <c r="AL1451" s="2026"/>
      <c r="AM1451" s="2026"/>
      <c r="AN1451" s="2026"/>
      <c r="AO1451" s="2026"/>
      <c r="AP1451" s="2026"/>
      <c r="AQ1451" s="2026"/>
      <c r="AR1451" s="2026"/>
    </row>
    <row r="1452" spans="1:44" ht="12" customHeight="1">
      <c r="A1452" s="2342"/>
      <c r="B1452" s="2394" t="s">
        <v>1151</v>
      </c>
      <c r="C1452" s="1875" t="s">
        <v>3840</v>
      </c>
      <c r="E1452" s="1875"/>
      <c r="F1452" s="1875"/>
      <c r="G1452" s="1875"/>
      <c r="J1452" s="359"/>
      <c r="K1452" s="1875"/>
      <c r="L1452" s="1875"/>
      <c r="M1452" s="359"/>
      <c r="N1452" s="2342"/>
      <c r="P1452" s="2342"/>
      <c r="Q1452" s="2342"/>
    </row>
    <row r="1453" spans="1:44" ht="12" customHeight="1">
      <c r="A1453" s="2342"/>
      <c r="B1453" s="807"/>
      <c r="C1453" s="1875" t="s">
        <v>6236</v>
      </c>
      <c r="E1453" s="1875"/>
      <c r="F1453" s="1875"/>
      <c r="L1453" s="1875"/>
      <c r="M1453" s="1875"/>
      <c r="O1453" s="2342" t="s">
        <v>2241</v>
      </c>
      <c r="P1453" s="2344" t="str">
        <f>'Part VII-Threshold Criteria'!P415</f>
        <v>Applicant</v>
      </c>
      <c r="Q1453" s="2243" t="s">
        <v>1647</v>
      </c>
    </row>
    <row r="1454" spans="1:44" ht="12" customHeight="1">
      <c r="A1454" s="359"/>
      <c r="D1454" s="1656" t="s">
        <v>6237</v>
      </c>
      <c r="E1454" s="2362" t="s">
        <v>2264</v>
      </c>
      <c r="F1454" s="807" t="s">
        <v>3291</v>
      </c>
      <c r="G1454" s="2211" t="str">
        <f>'Part VII-Threshold Criteria'!G416</f>
        <v>Gainesville Housing Authority</v>
      </c>
      <c r="H1454" s="2211"/>
      <c r="I1454" s="2211"/>
      <c r="J1454" s="2211"/>
      <c r="K1454" s="2211"/>
      <c r="L1454" s="2362"/>
    </row>
    <row r="1455" spans="1:44" ht="12" customHeight="1">
      <c r="D1455" s="1656"/>
      <c r="E1455" s="2362" t="s">
        <v>3945</v>
      </c>
      <c r="F1455" s="807" t="s">
        <v>3946</v>
      </c>
      <c r="G1455" s="2211" t="str">
        <f>'Part VII-Threshold Criteria'!G417</f>
        <v>Local Government</v>
      </c>
      <c r="H1455" s="2211"/>
      <c r="I1455" s="2211"/>
      <c r="J1455" s="807" t="s">
        <v>3807</v>
      </c>
      <c r="M1455" s="2211">
        <f>'Part VII-Threshold Criteria'!M417</f>
        <v>0</v>
      </c>
      <c r="N1455" s="2211"/>
      <c r="O1455" s="2211"/>
      <c r="P1455" s="2211"/>
      <c r="Q1455" s="2211"/>
    </row>
    <row r="1456" spans="1:44" ht="12" customHeight="1">
      <c r="A1456" s="359"/>
      <c r="C1456" s="807" t="s">
        <v>6235</v>
      </c>
      <c r="E1456" s="1875"/>
      <c r="F1456" s="1875"/>
      <c r="G1456" s="1875"/>
      <c r="H1456" s="1875"/>
      <c r="I1456" s="1875"/>
      <c r="J1456" s="1875"/>
      <c r="K1456" s="1875"/>
      <c r="L1456" s="1875"/>
      <c r="M1456" s="1875"/>
      <c r="N1456" s="1875"/>
      <c r="O1456" s="1875"/>
      <c r="P1456" s="1875"/>
      <c r="Q1456" s="1875"/>
    </row>
    <row r="1457" spans="1:31" ht="409.5">
      <c r="B1457" s="2070" t="str">
        <f>'Part VII-Threshold Criteria'!B419</f>
        <v>The project is a new construction, and will be replacement housing for Gainesville Housing Authority's existing Public Housing property, Harrison Square Apartments, which is adjacent to the subject site.  There will be no temporary or interim relocation of households at Harrison Square.  The households will be relocated to the new property once their units have been completed.  The moving and relocation costs are contained within the operating budget and relocation plan provided in the application.  The Gainesville Housing Authority is acting as the manager and will handle the relocation of their 75 households from Harrison Square Apartments.  They have experience handling relocations of this nature on previous properties which also contained tax credits.  The budget for relocation is ample to handle.</v>
      </c>
      <c r="C1457" s="2070"/>
      <c r="D1457" s="2070"/>
      <c r="E1457" s="2070"/>
      <c r="F1457" s="2070"/>
      <c r="G1457" s="2070"/>
      <c r="H1457" s="2070"/>
      <c r="I1457" s="2070"/>
      <c r="J1457" s="2070"/>
      <c r="K1457" s="2070"/>
      <c r="L1457" s="2070"/>
      <c r="M1457" s="2070"/>
      <c r="N1457" s="2070"/>
      <c r="O1457" s="2070"/>
      <c r="P1457" s="2070"/>
      <c r="Q1457" s="2070"/>
      <c r="R1457" s="2017" t="s">
        <v>3806</v>
      </c>
      <c r="U1457" s="1505"/>
      <c r="V1457" s="1505"/>
      <c r="W1457" s="1505"/>
      <c r="X1457" s="1505"/>
      <c r="Y1457" s="1505"/>
      <c r="Z1457" s="1505"/>
      <c r="AA1457" s="1505"/>
      <c r="AB1457" s="1505"/>
      <c r="AC1457" s="1505"/>
      <c r="AD1457" s="1505"/>
      <c r="AE1457" s="1505"/>
    </row>
    <row r="1458" spans="1:31" ht="3" customHeight="1">
      <c r="A1458" s="807"/>
      <c r="B1458" s="807"/>
      <c r="C1458" s="807"/>
      <c r="D1458" s="807"/>
      <c r="E1458" s="807"/>
      <c r="F1458" s="807"/>
      <c r="G1458" s="807"/>
      <c r="H1458" s="807"/>
      <c r="I1458" s="807"/>
      <c r="J1458" s="807"/>
      <c r="K1458" s="807"/>
      <c r="L1458" s="807"/>
      <c r="M1458" s="807"/>
      <c r="N1458" s="807"/>
      <c r="O1458" s="807"/>
      <c r="P1458" s="807"/>
      <c r="Q1458" s="807"/>
    </row>
    <row r="1459" spans="1:31" ht="12.75" customHeight="1">
      <c r="A1459" s="2336" t="s">
        <v>1844</v>
      </c>
      <c r="B1459" s="2331" t="s">
        <v>4039</v>
      </c>
      <c r="C1459" s="2331"/>
      <c r="D1459" s="2331"/>
      <c r="E1459" s="2331"/>
      <c r="F1459" s="2331"/>
      <c r="G1459" s="2331"/>
      <c r="H1459" s="2331"/>
      <c r="I1459" s="2331"/>
      <c r="J1459" s="2331"/>
      <c r="K1459" s="2331"/>
      <c r="L1459" s="2331"/>
      <c r="M1459" s="2331"/>
      <c r="N1459" s="2331"/>
    </row>
    <row r="1460" spans="1:31">
      <c r="B1460" s="1889" t="s">
        <v>6874</v>
      </c>
      <c r="C1460" s="2331"/>
      <c r="D1460" s="2331"/>
      <c r="E1460" s="2331"/>
      <c r="F1460" s="2331"/>
      <c r="G1460" s="2331"/>
      <c r="H1460" s="2331"/>
      <c r="I1460" s="2331"/>
      <c r="J1460" s="2331"/>
      <c r="K1460" s="2331"/>
      <c r="L1460" s="2331"/>
      <c r="M1460" s="2331"/>
      <c r="N1460" s="2331"/>
      <c r="O1460" s="2336" t="s">
        <v>1844</v>
      </c>
      <c r="P1460" s="2355" t="str">
        <f>'Part VII-Threshold Criteria'!P422</f>
        <v>Agree</v>
      </c>
      <c r="Q1460" s="2337"/>
    </row>
    <row r="1461" spans="1:31" ht="12" customHeight="1">
      <c r="B1461" s="2268" t="s">
        <v>3243</v>
      </c>
      <c r="D1461" s="2268"/>
      <c r="E1461" s="2268"/>
      <c r="F1461" s="2268"/>
      <c r="G1461" s="2268"/>
      <c r="H1461" s="1875"/>
      <c r="I1461" s="2243"/>
      <c r="J1461" s="2243"/>
      <c r="K1461" s="2243"/>
    </row>
    <row r="1462" spans="1:31" ht="180">
      <c r="A1462" s="2327" t="str">
        <f>'Part VII-Threshold Criteria'!A424</f>
        <v xml:space="preserve">Tenants are being relocated after CO's are received for the property from Gainesville Housing Authority's adjacent Public Housing Property. </v>
      </c>
      <c r="B1462" s="2327"/>
      <c r="C1462" s="2327"/>
      <c r="D1462" s="2327"/>
      <c r="E1462" s="2327"/>
      <c r="F1462" s="2327"/>
      <c r="G1462" s="2327"/>
      <c r="H1462" s="2327"/>
      <c r="I1462" s="2327"/>
      <c r="J1462" s="2327"/>
      <c r="K1462" s="2327"/>
      <c r="L1462" s="2327"/>
      <c r="M1462" s="2327"/>
      <c r="N1462" s="2327"/>
      <c r="O1462" s="2327"/>
      <c r="P1462" s="2327"/>
      <c r="Q1462" s="2327"/>
      <c r="U1462" s="1505"/>
      <c r="V1462" s="1505"/>
      <c r="W1462" s="1505"/>
      <c r="X1462" s="1505"/>
      <c r="Y1462" s="1505"/>
      <c r="Z1462" s="1505"/>
      <c r="AA1462" s="1505"/>
      <c r="AB1462" s="1505"/>
      <c r="AC1462" s="1505"/>
      <c r="AD1462" s="1505"/>
      <c r="AE1462" s="1505"/>
    </row>
    <row r="1463" spans="1:31" ht="12" customHeight="1">
      <c r="B1463" s="2328" t="s">
        <v>1730</v>
      </c>
      <c r="C1463" s="2329"/>
      <c r="D1463" s="2330"/>
      <c r="E1463" s="2330"/>
      <c r="F1463" s="2330"/>
      <c r="G1463" s="2330"/>
      <c r="H1463" s="2330"/>
      <c r="I1463" s="2330"/>
      <c r="J1463" s="2330"/>
      <c r="K1463" s="2330"/>
      <c r="L1463" s="2330"/>
      <c r="M1463" s="2330"/>
      <c r="N1463" s="2330"/>
      <c r="O1463" s="2330"/>
      <c r="P1463" s="2330"/>
      <c r="Q1463" s="2330"/>
    </row>
    <row r="1464" spans="1:31">
      <c r="A1464" s="2331"/>
      <c r="B1464" s="2331"/>
      <c r="C1464" s="2331"/>
      <c r="D1464" s="2331"/>
      <c r="E1464" s="2331"/>
      <c r="F1464" s="2331"/>
      <c r="G1464" s="2331"/>
      <c r="H1464" s="2331"/>
      <c r="I1464" s="2331"/>
      <c r="J1464" s="2331"/>
      <c r="K1464" s="2331"/>
      <c r="L1464" s="2331"/>
      <c r="M1464" s="2331"/>
      <c r="N1464" s="2331"/>
      <c r="O1464" s="2331"/>
      <c r="P1464" s="2331"/>
      <c r="Q1464" s="2331"/>
    </row>
    <row r="1465" spans="1:31" ht="3" customHeight="1">
      <c r="A1465" s="1902"/>
      <c r="B1465" s="2243"/>
      <c r="C1465" s="2330"/>
      <c r="D1465" s="2330"/>
      <c r="E1465" s="2330"/>
      <c r="F1465" s="2330"/>
      <c r="G1465" s="2330"/>
      <c r="H1465" s="2330"/>
      <c r="I1465" s="2330"/>
      <c r="J1465" s="2330"/>
      <c r="K1465" s="2330"/>
      <c r="L1465" s="2330"/>
      <c r="M1465" s="2330"/>
      <c r="Q1465" s="1902"/>
    </row>
    <row r="1466" spans="1:31" ht="14.1" customHeight="1">
      <c r="A1466" s="2206" t="s">
        <v>3385</v>
      </c>
      <c r="B1466" s="359" t="s">
        <v>2511</v>
      </c>
      <c r="C1466" s="359"/>
      <c r="D1466" s="362"/>
      <c r="E1466" s="2330"/>
      <c r="F1466" s="2330"/>
      <c r="G1466" s="2330"/>
      <c r="H1466" s="2330"/>
      <c r="O1466" s="2325" t="s">
        <v>1731</v>
      </c>
      <c r="P1466" s="1505"/>
      <c r="Q1466" s="1505"/>
    </row>
    <row r="1467" spans="1:31" ht="14.1" customHeight="1">
      <c r="B1467" s="362" t="s">
        <v>3902</v>
      </c>
      <c r="C1467" s="359"/>
      <c r="D1467" s="362"/>
      <c r="E1467" s="2330"/>
      <c r="F1467" s="2330"/>
      <c r="G1467" s="2330"/>
      <c r="H1467" s="2330"/>
    </row>
    <row r="1468" spans="1:31" s="2265" customFormat="1">
      <c r="A1468" s="2336" t="s">
        <v>1842</v>
      </c>
      <c r="B1468" s="1889" t="s">
        <v>3316</v>
      </c>
      <c r="C1468" s="2331"/>
      <c r="D1468" s="2331"/>
      <c r="E1468" s="2331"/>
      <c r="F1468" s="2331"/>
      <c r="G1468" s="2331"/>
      <c r="H1468" s="2331"/>
      <c r="I1468" s="2331"/>
      <c r="J1468" s="2331"/>
      <c r="K1468" s="2331"/>
      <c r="L1468" s="2331"/>
      <c r="M1468" s="2331"/>
      <c r="N1468" s="2331"/>
      <c r="O1468" s="2336" t="s">
        <v>1842</v>
      </c>
      <c r="P1468" s="2355" t="str">
        <f>'Part VII-Threshold Criteria'!P430</f>
        <v>Agree</v>
      </c>
      <c r="Q1468" s="2337"/>
    </row>
    <row r="1469" spans="1:31" s="2265" customFormat="1">
      <c r="A1469" s="2336" t="s">
        <v>1844</v>
      </c>
      <c r="B1469" s="1889" t="s">
        <v>3315</v>
      </c>
      <c r="C1469" s="2331"/>
      <c r="D1469" s="2331"/>
      <c r="E1469" s="2331"/>
      <c r="F1469" s="2331"/>
      <c r="G1469" s="2331"/>
      <c r="H1469" s="2331"/>
      <c r="I1469" s="2331"/>
      <c r="J1469" s="2331"/>
      <c r="K1469" s="2331"/>
      <c r="L1469" s="2331"/>
      <c r="M1469" s="2331"/>
      <c r="N1469" s="2331"/>
      <c r="O1469" s="2336" t="s">
        <v>1844</v>
      </c>
      <c r="P1469" s="2355" t="str">
        <f>'Part VII-Threshold Criteria'!P431</f>
        <v>Agree</v>
      </c>
      <c r="Q1469" s="2337"/>
    </row>
    <row r="1470" spans="1:31" s="2265" customFormat="1">
      <c r="B1470" s="2339" t="s">
        <v>1615</v>
      </c>
      <c r="C1470" s="1889" t="s">
        <v>3872</v>
      </c>
      <c r="D1470" s="2331"/>
      <c r="E1470" s="2331"/>
      <c r="F1470" s="2331"/>
      <c r="G1470" s="2331"/>
      <c r="H1470" s="2331"/>
      <c r="I1470" s="2331"/>
      <c r="J1470" s="2331"/>
      <c r="K1470" s="2331"/>
      <c r="L1470" s="2331"/>
      <c r="M1470" s="2331"/>
      <c r="N1470" s="2331"/>
      <c r="O1470" s="2336" t="s">
        <v>1615</v>
      </c>
      <c r="P1470" s="2355" t="str">
        <f>'Part VII-Threshold Criteria'!P432</f>
        <v>Agree</v>
      </c>
      <c r="Q1470" s="2337"/>
    </row>
    <row r="1471" spans="1:31" s="359" customFormat="1">
      <c r="B1471" s="2339" t="s">
        <v>1616</v>
      </c>
      <c r="C1471" s="362" t="s">
        <v>3873</v>
      </c>
      <c r="D1471" s="2292"/>
      <c r="E1471" s="2292"/>
      <c r="F1471" s="2292"/>
      <c r="G1471" s="2292"/>
      <c r="H1471" s="2292"/>
      <c r="I1471" s="2292"/>
      <c r="J1471" s="2292"/>
      <c r="K1471" s="2292"/>
      <c r="L1471" s="2292"/>
      <c r="M1471" s="2292"/>
      <c r="N1471" s="2292"/>
      <c r="O1471" s="2342" t="s">
        <v>1616</v>
      </c>
      <c r="P1471" s="2344" t="str">
        <f>'Part VII-Threshold Criteria'!P433</f>
        <v>Agree</v>
      </c>
      <c r="Q1471" s="2243"/>
    </row>
    <row r="1472" spans="1:31" s="2265" customFormat="1">
      <c r="B1472" s="2339" t="s">
        <v>1617</v>
      </c>
      <c r="C1472" s="1889" t="s">
        <v>3874</v>
      </c>
      <c r="D1472" s="2331"/>
      <c r="E1472" s="2331"/>
      <c r="F1472" s="2331"/>
      <c r="G1472" s="2331"/>
      <c r="H1472" s="2331"/>
      <c r="I1472" s="2331"/>
      <c r="J1472" s="2331"/>
      <c r="K1472" s="2331"/>
      <c r="L1472" s="2331"/>
      <c r="M1472" s="2331"/>
      <c r="N1472" s="2331"/>
      <c r="O1472" s="2336" t="s">
        <v>1617</v>
      </c>
      <c r="P1472" s="2355" t="str">
        <f>'Part VII-Threshold Criteria'!P434</f>
        <v>Agree</v>
      </c>
      <c r="Q1472" s="2337"/>
    </row>
    <row r="1473" spans="1:31" s="2265" customFormat="1">
      <c r="B1473" s="2339" t="s">
        <v>2183</v>
      </c>
      <c r="C1473" s="1889" t="s">
        <v>3875</v>
      </c>
      <c r="D1473" s="2331"/>
      <c r="E1473" s="2331"/>
      <c r="F1473" s="2331"/>
      <c r="G1473" s="2331"/>
      <c r="H1473" s="2331"/>
      <c r="I1473" s="2331"/>
      <c r="J1473" s="2331"/>
      <c r="K1473" s="2331"/>
      <c r="L1473" s="2331"/>
      <c r="M1473" s="2331"/>
      <c r="N1473" s="2331"/>
      <c r="O1473" s="2336" t="s">
        <v>2183</v>
      </c>
      <c r="P1473" s="2355" t="str">
        <f>'Part VII-Threshold Criteria'!P435</f>
        <v>Agree</v>
      </c>
      <c r="Q1473" s="2337"/>
    </row>
    <row r="1474" spans="1:31" s="2265" customFormat="1">
      <c r="A1474" s="2336" t="s">
        <v>698</v>
      </c>
      <c r="B1474" s="1889" t="s">
        <v>3317</v>
      </c>
      <c r="C1474" s="2331"/>
      <c r="D1474" s="2331"/>
      <c r="E1474" s="2331"/>
      <c r="F1474" s="2331"/>
      <c r="G1474" s="2331"/>
      <c r="H1474" s="2331"/>
      <c r="I1474" s="2331"/>
      <c r="J1474" s="2331"/>
      <c r="K1474" s="2331"/>
      <c r="L1474" s="2331"/>
      <c r="M1474" s="2331"/>
      <c r="N1474" s="2331"/>
      <c r="O1474" s="2336" t="s">
        <v>698</v>
      </c>
      <c r="P1474" s="2355" t="str">
        <f>'Part VII-Threshold Criteria'!P436</f>
        <v>Agree</v>
      </c>
      <c r="Q1474" s="2337"/>
    </row>
    <row r="1475" spans="1:31" s="2265" customFormat="1">
      <c r="A1475" s="2336" t="s">
        <v>1963</v>
      </c>
      <c r="B1475" s="1889" t="s">
        <v>3923</v>
      </c>
      <c r="C1475" s="2331"/>
      <c r="D1475" s="2331"/>
      <c r="E1475" s="2331"/>
      <c r="F1475" s="2331"/>
      <c r="G1475" s="2331"/>
      <c r="H1475" s="2331"/>
      <c r="I1475" s="2331"/>
      <c r="J1475" s="2331"/>
      <c r="K1475" s="2331"/>
      <c r="L1475" s="2331"/>
      <c r="M1475" s="2331"/>
      <c r="N1475" s="2331"/>
      <c r="O1475" s="2336" t="s">
        <v>1963</v>
      </c>
      <c r="P1475" s="2355" t="str">
        <f>'Part VII-Threshold Criteria'!P437</f>
        <v>Agree</v>
      </c>
      <c r="Q1475" s="2337"/>
    </row>
    <row r="1476" spans="1:31" s="2265" customFormat="1">
      <c r="A1476" s="2336" t="s">
        <v>1613</v>
      </c>
      <c r="B1476" s="1889" t="s">
        <v>3924</v>
      </c>
      <c r="C1476" s="2331"/>
      <c r="D1476" s="2331"/>
      <c r="E1476" s="2331"/>
      <c r="F1476" s="2331"/>
      <c r="G1476" s="2331"/>
      <c r="H1476" s="2331"/>
      <c r="I1476" s="2331"/>
      <c r="J1476" s="2331"/>
      <c r="K1476" s="2331"/>
      <c r="L1476" s="2331"/>
      <c r="M1476" s="2331"/>
      <c r="N1476" s="2331"/>
      <c r="O1476" s="2336" t="s">
        <v>1613</v>
      </c>
      <c r="P1476" s="2355" t="str">
        <f>'Part VII-Threshold Criteria'!P438</f>
        <v>Agree</v>
      </c>
      <c r="Q1476" s="2337"/>
    </row>
    <row r="1477" spans="1:31" s="2265" customFormat="1">
      <c r="A1477" s="2336" t="s">
        <v>1614</v>
      </c>
      <c r="B1477" s="1889" t="s">
        <v>3957</v>
      </c>
      <c r="C1477" s="2331"/>
      <c r="D1477" s="2331"/>
      <c r="E1477" s="2331"/>
      <c r="F1477" s="2331"/>
      <c r="G1477" s="2331"/>
      <c r="H1477" s="2331"/>
      <c r="I1477" s="2331"/>
      <c r="J1477" s="2331"/>
      <c r="K1477" s="2331"/>
      <c r="L1477" s="2331"/>
      <c r="M1477" s="2331"/>
      <c r="N1477" s="2331"/>
      <c r="O1477" s="2336" t="s">
        <v>1614</v>
      </c>
      <c r="P1477" s="2355" t="str">
        <f>'Part VII-Threshold Criteria'!P439</f>
        <v>Agree</v>
      </c>
      <c r="Q1477" s="2337"/>
    </row>
    <row r="1478" spans="1:31" ht="11.25" customHeight="1">
      <c r="B1478" s="2268" t="s">
        <v>3243</v>
      </c>
      <c r="D1478" s="2268"/>
      <c r="E1478" s="2268"/>
      <c r="F1478" s="2268"/>
      <c r="G1478" s="2268"/>
      <c r="H1478" s="1875"/>
      <c r="I1478" s="2243"/>
      <c r="J1478" s="2243"/>
      <c r="K1478" s="2243"/>
      <c r="L1478" s="1902"/>
      <c r="M1478" s="1902"/>
      <c r="N1478" s="1902"/>
      <c r="O1478" s="1902"/>
      <c r="P1478" s="1902"/>
      <c r="Q1478" s="1902"/>
    </row>
    <row r="1479" spans="1:31" ht="12.75" customHeight="1">
      <c r="A1479" s="2327" t="str">
        <f>'Part VII-Threshold Criteria'!A441</f>
        <v>The applicant will comply with any AFFH requirements.</v>
      </c>
      <c r="B1479" s="2327"/>
      <c r="C1479" s="2327"/>
      <c r="D1479" s="2327"/>
      <c r="E1479" s="2327"/>
      <c r="F1479" s="2327"/>
      <c r="G1479" s="2327"/>
      <c r="H1479" s="2327"/>
      <c r="I1479" s="2327"/>
      <c r="J1479" s="2327"/>
      <c r="K1479" s="2327"/>
      <c r="L1479" s="2327"/>
      <c r="M1479" s="2327"/>
      <c r="N1479" s="2327"/>
      <c r="O1479" s="2327"/>
      <c r="P1479" s="2327"/>
      <c r="Q1479" s="2327"/>
      <c r="R1479" s="2017" t="s">
        <v>1181</v>
      </c>
      <c r="S1479" s="2017"/>
      <c r="U1479" s="1505"/>
      <c r="V1479" s="1505"/>
      <c r="W1479" s="1505"/>
      <c r="X1479" s="1505"/>
      <c r="Y1479" s="1505"/>
      <c r="Z1479" s="1505"/>
      <c r="AA1479" s="1505"/>
      <c r="AB1479" s="1505"/>
      <c r="AC1479" s="1505"/>
      <c r="AD1479" s="1505"/>
      <c r="AE1479" s="1505"/>
    </row>
    <row r="1480" spans="1:31" ht="11.25" customHeight="1">
      <c r="B1480" s="2328" t="s">
        <v>1730</v>
      </c>
      <c r="C1480" s="2329"/>
      <c r="D1480" s="2330"/>
      <c r="E1480" s="2330"/>
      <c r="F1480" s="2330"/>
      <c r="G1480" s="2330"/>
      <c r="H1480" s="2330"/>
      <c r="I1480" s="2330"/>
      <c r="J1480" s="2330"/>
      <c r="K1480" s="2330"/>
      <c r="L1480" s="2330"/>
      <c r="M1480" s="2330"/>
      <c r="N1480" s="2330"/>
      <c r="O1480" s="2330"/>
      <c r="P1480" s="2330"/>
      <c r="Q1480" s="2330"/>
    </row>
    <row r="1481" spans="1:31" ht="12.75" customHeight="1">
      <c r="A1481" s="2331"/>
      <c r="B1481" s="2331"/>
      <c r="C1481" s="2331"/>
      <c r="D1481" s="2331"/>
      <c r="E1481" s="2331"/>
      <c r="F1481" s="2331"/>
      <c r="G1481" s="2331"/>
      <c r="H1481" s="2331"/>
      <c r="I1481" s="2331"/>
      <c r="J1481" s="2331"/>
      <c r="K1481" s="2331"/>
      <c r="L1481" s="2331"/>
      <c r="M1481" s="2331"/>
      <c r="N1481" s="2331"/>
      <c r="O1481" s="2331"/>
      <c r="P1481" s="2331"/>
      <c r="Q1481" s="2331"/>
    </row>
    <row r="1482" spans="1:31" ht="3" customHeight="1">
      <c r="A1482" s="1902"/>
      <c r="B1482" s="2243"/>
      <c r="C1482" s="2330"/>
      <c r="D1482" s="2330"/>
      <c r="E1482" s="2330"/>
      <c r="F1482" s="2330"/>
      <c r="G1482" s="2330"/>
      <c r="H1482" s="2330"/>
      <c r="I1482" s="2330"/>
      <c r="J1482" s="2330"/>
      <c r="K1482" s="2330"/>
      <c r="L1482" s="2330"/>
      <c r="M1482" s="2330"/>
      <c r="Q1482" s="1902"/>
    </row>
    <row r="1483" spans="1:31" ht="14.1" customHeight="1">
      <c r="A1483" s="2206" t="s">
        <v>3808</v>
      </c>
      <c r="B1483" s="359"/>
      <c r="C1483" s="359" t="s">
        <v>2437</v>
      </c>
      <c r="D1483" s="362"/>
      <c r="E1483" s="2330"/>
      <c r="F1483" s="2330"/>
      <c r="G1483" s="2330"/>
      <c r="H1483" s="2330"/>
      <c r="J1483" s="2330"/>
      <c r="K1483" s="2330"/>
      <c r="L1483" s="2330"/>
      <c r="M1483" s="2330"/>
      <c r="O1483" s="2325" t="s">
        <v>1731</v>
      </c>
      <c r="P1483" s="1505"/>
      <c r="Q1483" s="1505"/>
    </row>
    <row r="1484" spans="1:31" ht="11.25" customHeight="1">
      <c r="A1484" s="2206"/>
      <c r="B1484" s="2268" t="s">
        <v>3243</v>
      </c>
      <c r="D1484" s="2268"/>
      <c r="E1484" s="2268"/>
      <c r="F1484" s="2268"/>
      <c r="G1484" s="2268"/>
      <c r="H1484" s="1875"/>
      <c r="I1484" s="2243"/>
      <c r="J1484" s="2243"/>
      <c r="K1484" s="2243"/>
      <c r="L1484" s="1902"/>
      <c r="M1484" s="1902"/>
      <c r="N1484" s="1902"/>
      <c r="O1484" s="1902"/>
      <c r="P1484" s="1902"/>
      <c r="Q1484" s="1902"/>
    </row>
    <row r="1485" spans="1:31" ht="12" customHeight="1">
      <c r="A1485" s="2327" t="str">
        <f>'Part VII-Threshold Criteria'!A447</f>
        <v>This New Construction Preservation Transaction is part of a RAD Conversion of the Gainesville Housing Authority. The Households which will be relocated to this new housing are coming from Housing that is extremely dated, obselete, and possessing life safety issues. This will serve a target population desperately in need of modernized housing and provide Gainesville Housing Authority a revitalization of a percentage of their Public Housing portfolio. This property will also improve the City of Gainesville Affordable Housing stock.</v>
      </c>
      <c r="B1485" s="2327"/>
      <c r="C1485" s="2327"/>
      <c r="D1485" s="2327"/>
      <c r="E1485" s="2327"/>
      <c r="F1485" s="2327"/>
      <c r="G1485" s="2327"/>
      <c r="H1485" s="2327"/>
      <c r="I1485" s="2327"/>
      <c r="J1485" s="2327"/>
      <c r="K1485" s="2327"/>
      <c r="L1485" s="2327"/>
      <c r="M1485" s="2327"/>
      <c r="N1485" s="2327"/>
      <c r="O1485" s="2327"/>
      <c r="P1485" s="2327"/>
      <c r="Q1485" s="2327"/>
      <c r="R1485" s="2017" t="s">
        <v>1181</v>
      </c>
      <c r="S1485" s="2017"/>
      <c r="U1485" s="1505"/>
      <c r="V1485" s="1505"/>
      <c r="W1485" s="1505"/>
      <c r="X1485" s="1505"/>
      <c r="Y1485" s="1505"/>
      <c r="Z1485" s="1505"/>
      <c r="AA1485" s="1505"/>
      <c r="AB1485" s="1505"/>
      <c r="AC1485" s="1505"/>
      <c r="AD1485" s="1505"/>
      <c r="AE1485" s="1505"/>
    </row>
    <row r="1486" spans="1:31" ht="11.25" customHeight="1">
      <c r="B1486" s="2328" t="s">
        <v>1730</v>
      </c>
      <c r="C1486" s="2329"/>
      <c r="D1486" s="2330"/>
      <c r="E1486" s="2330"/>
      <c r="F1486" s="2330"/>
      <c r="G1486" s="2330"/>
      <c r="H1486" s="2330"/>
      <c r="I1486" s="2330"/>
      <c r="J1486" s="2330"/>
      <c r="K1486" s="2330"/>
      <c r="L1486" s="2330"/>
      <c r="M1486" s="2330"/>
      <c r="N1486" s="2330"/>
      <c r="O1486" s="2330"/>
      <c r="P1486" s="2330"/>
      <c r="Q1486" s="2330"/>
    </row>
    <row r="1487" spans="1:31" ht="12" customHeight="1">
      <c r="A1487" s="2331"/>
      <c r="B1487" s="2331"/>
      <c r="C1487" s="2331"/>
      <c r="D1487" s="2331"/>
      <c r="E1487" s="2331"/>
      <c r="F1487" s="2331"/>
      <c r="G1487" s="2331"/>
      <c r="H1487" s="2331"/>
      <c r="I1487" s="2331"/>
      <c r="J1487" s="2331"/>
      <c r="K1487" s="2331"/>
      <c r="L1487" s="2331"/>
      <c r="M1487" s="2331"/>
      <c r="N1487" s="2331"/>
      <c r="O1487" s="2331"/>
      <c r="P1487" s="2331"/>
      <c r="Q1487" s="2331"/>
    </row>
    <row r="1492" spans="1:25" ht="14.1" customHeight="1">
      <c r="A1492" s="359" t="str">
        <f>CONCATENATE("PART EIGHT - SCORING CRITERIA","  -  ",'Part I-Project Identification'!$O$7," ",'Part I-Project Identification'!$F$29,", ",'Part I-Project Identification'!F1521,", ",'Part I-Project Identification'!J1521," County")</f>
        <v>PART EIGHT - SCORING CRITERIA  -  2022-522 Harrison Village Apartments, ,  County</v>
      </c>
      <c r="B1492" s="359"/>
      <c r="C1492" s="359"/>
      <c r="D1492" s="359"/>
      <c r="E1492" s="359"/>
      <c r="F1492" s="359"/>
      <c r="G1492" s="359"/>
      <c r="H1492" s="359"/>
      <c r="I1492" s="359"/>
      <c r="J1492" s="359"/>
      <c r="K1492" s="359"/>
      <c r="L1492" s="359"/>
      <c r="M1492" s="359"/>
      <c r="N1492" s="359"/>
      <c r="O1492" s="359"/>
      <c r="P1492" s="359"/>
      <c r="Q1492" s="2039" t="s">
        <v>6656</v>
      </c>
      <c r="R1492" s="2039"/>
      <c r="S1492" s="2039"/>
      <c r="T1492" s="2039"/>
      <c r="U1492" s="2039"/>
      <c r="V1492" s="2039"/>
      <c r="W1492" s="2039"/>
      <c r="X1492" s="2080"/>
    </row>
    <row r="1493" spans="1:25" ht="4.3499999999999996" customHeight="1">
      <c r="A1493" s="362"/>
      <c r="B1493" s="362"/>
      <c r="C1493" s="2399"/>
      <c r="D1493" s="362"/>
      <c r="E1493" s="362"/>
      <c r="F1493" s="362"/>
      <c r="G1493" s="362"/>
      <c r="H1493" s="362"/>
      <c r="I1493" s="362"/>
      <c r="J1493" s="362"/>
      <c r="K1493" s="362"/>
      <c r="L1493" s="362"/>
      <c r="M1493" s="2243"/>
      <c r="N1493" s="1901"/>
      <c r="O1493" s="1901"/>
      <c r="P1493" s="1901"/>
      <c r="Q1493" s="2039"/>
      <c r="R1493" s="2039"/>
      <c r="S1493" s="2039"/>
      <c r="T1493" s="2039"/>
      <c r="U1493" s="2039"/>
      <c r="V1493" s="2039"/>
      <c r="W1493" s="2039"/>
      <c r="X1493" s="2080"/>
    </row>
    <row r="1494" spans="1:25" s="359" customFormat="1" ht="12" customHeight="1">
      <c r="A1494" s="2039" t="s">
        <v>6875</v>
      </c>
      <c r="B1494" s="2039"/>
      <c r="C1494" s="2039"/>
      <c r="D1494" s="2039"/>
      <c r="E1494" s="2039"/>
      <c r="F1494" s="2039"/>
      <c r="G1494" s="2039"/>
      <c r="H1494" s="2039"/>
      <c r="I1494" s="2039"/>
      <c r="J1494" s="2039"/>
      <c r="K1494" s="2039"/>
      <c r="L1494" s="2039"/>
      <c r="M1494" s="2224"/>
      <c r="N1494" s="1901"/>
      <c r="O1494" s="1901" t="s">
        <v>2051</v>
      </c>
      <c r="P1494" s="1901" t="s">
        <v>245</v>
      </c>
      <c r="Q1494" s="2039"/>
      <c r="R1494" s="2039"/>
      <c r="S1494" s="2039"/>
      <c r="T1494" s="2039"/>
      <c r="U1494" s="2039"/>
      <c r="V1494" s="2039"/>
      <c r="W1494" s="2039"/>
      <c r="X1494" s="2080"/>
    </row>
    <row r="1495" spans="1:25" s="2386" customFormat="1" ht="12" customHeight="1">
      <c r="A1495" s="2039"/>
      <c r="B1495" s="2039"/>
      <c r="C1495" s="2039"/>
      <c r="D1495" s="2039"/>
      <c r="E1495" s="2039"/>
      <c r="F1495" s="2039"/>
      <c r="G1495" s="2039"/>
      <c r="H1495" s="2039"/>
      <c r="I1495" s="2039"/>
      <c r="J1495" s="2039"/>
      <c r="K1495" s="2039"/>
      <c r="L1495" s="2039"/>
      <c r="M1495" s="2224"/>
      <c r="N1495" s="359"/>
      <c r="O1495" s="1901" t="s">
        <v>2052</v>
      </c>
      <c r="P1495" s="1901" t="s">
        <v>2052</v>
      </c>
      <c r="Q1495" s="2039"/>
      <c r="R1495" s="2039"/>
      <c r="S1495" s="2039"/>
      <c r="T1495" s="2039"/>
      <c r="U1495" s="2039"/>
    </row>
    <row r="1496" spans="1:25" s="2386" customFormat="1" ht="3" customHeight="1">
      <c r="A1496" s="359"/>
      <c r="B1496" s="359"/>
      <c r="C1496" s="359"/>
      <c r="D1496" s="359"/>
      <c r="E1496" s="359"/>
      <c r="F1496" s="359"/>
      <c r="G1496" s="359"/>
      <c r="H1496" s="359"/>
      <c r="I1496" s="359"/>
      <c r="J1496" s="359"/>
      <c r="K1496" s="359"/>
      <c r="M1496" s="2400"/>
      <c r="N1496" s="359"/>
      <c r="O1496" s="1901"/>
      <c r="P1496" s="1750"/>
      <c r="Q1496" s="2039"/>
      <c r="R1496" s="2039"/>
      <c r="S1496" s="2039"/>
      <c r="T1496" s="2039"/>
      <c r="U1496" s="2039"/>
    </row>
    <row r="1497" spans="1:25" s="2386" customFormat="1" ht="13.5" customHeight="1">
      <c r="A1497" s="359"/>
      <c r="B1497" s="2077" t="str">
        <f>'Part I-Project Identification'!$A$6</f>
        <v>Sept 20, 2022 Core Application - 4% Only</v>
      </c>
      <c r="C1497" s="2077"/>
      <c r="D1497" s="2077"/>
      <c r="E1497" s="2077"/>
      <c r="F1497" s="2077"/>
      <c r="G1497" s="359"/>
      <c r="H1497" s="359"/>
      <c r="I1497" s="359"/>
      <c r="J1497" s="359"/>
      <c r="L1497" s="2401" t="s">
        <v>1153</v>
      </c>
      <c r="M1497" s="2293"/>
      <c r="N1497" s="2293"/>
      <c r="O1497" s="2402">
        <f>O1932</f>
        <v>45</v>
      </c>
      <c r="P1497" s="2402">
        <f>P1932</f>
        <v>22</v>
      </c>
      <c r="Q1497" s="2046" t="s">
        <v>6876</v>
      </c>
      <c r="R1497" s="2039"/>
      <c r="S1497" s="2039"/>
      <c r="T1497" s="2039"/>
      <c r="U1497" s="2039"/>
      <c r="V1497" s="2039"/>
      <c r="W1497" s="2039"/>
      <c r="X1497" s="2039"/>
      <c r="Y1497" s="2039"/>
    </row>
    <row r="1498" spans="1:25" s="2366" customFormat="1" ht="3.6" customHeight="1">
      <c r="A1498" s="359"/>
      <c r="B1498" s="2342"/>
      <c r="C1498" s="362"/>
      <c r="D1498" s="1505"/>
      <c r="E1498" s="1505"/>
      <c r="F1498" s="1505"/>
      <c r="G1498" s="1505"/>
      <c r="H1498" s="1505"/>
      <c r="I1498" s="1505"/>
      <c r="J1498" s="1505"/>
      <c r="K1498" s="1505"/>
      <c r="L1498" s="359"/>
      <c r="M1498" s="1901"/>
      <c r="N1498" s="1750"/>
      <c r="O1498" s="2293"/>
      <c r="P1498" s="1901"/>
      <c r="Q1498" s="2039"/>
      <c r="R1498" s="2039"/>
      <c r="S1498" s="2039"/>
      <c r="T1498" s="2039"/>
      <c r="U1498" s="2039"/>
      <c r="V1498" s="2039"/>
      <c r="W1498" s="2039"/>
      <c r="X1498" s="2039"/>
      <c r="Y1498" s="2039"/>
    </row>
    <row r="1499" spans="1:25" s="359" customFormat="1" ht="2.25" customHeight="1">
      <c r="A1499" s="2403"/>
      <c r="D1499" s="362"/>
      <c r="E1499" s="362"/>
      <c r="F1499" s="362"/>
      <c r="G1499" s="2256"/>
      <c r="H1499" s="2029"/>
      <c r="I1499" s="2256"/>
      <c r="J1499" s="2256"/>
      <c r="K1499" s="2256"/>
      <c r="L1499" s="2256"/>
      <c r="M1499" s="2256"/>
      <c r="N1499" s="2256"/>
      <c r="O1499" s="2256"/>
      <c r="P1499" s="2256"/>
    </row>
    <row r="1500" spans="1:25" s="359" customFormat="1" ht="12" customHeight="1">
      <c r="A1500" s="2404" t="s">
        <v>573</v>
      </c>
      <c r="B1500" s="2253" t="s">
        <v>6142</v>
      </c>
      <c r="D1500" s="362"/>
      <c r="E1500" s="362"/>
      <c r="F1500" s="362"/>
      <c r="G1500" s="2256"/>
      <c r="H1500" s="2029"/>
      <c r="I1500" s="2256"/>
      <c r="J1500" s="2256"/>
      <c r="K1500" s="2256"/>
      <c r="L1500" s="2256"/>
      <c r="M1500" s="2256"/>
      <c r="N1500" s="2256"/>
      <c r="O1500" s="2256"/>
      <c r="P1500" s="2256"/>
      <c r="Q1500" s="2039"/>
      <c r="R1500" s="2039"/>
      <c r="S1500" s="2039"/>
      <c r="T1500" s="2039"/>
      <c r="U1500" s="2039"/>
      <c r="V1500" s="2039"/>
      <c r="W1500" s="2039"/>
      <c r="X1500" s="2039"/>
      <c r="Y1500" s="2039"/>
    </row>
    <row r="1501" spans="1:25" s="359" customFormat="1" ht="12" customHeight="1">
      <c r="A1501" s="2403" t="s">
        <v>6143</v>
      </c>
      <c r="D1501" s="362"/>
      <c r="E1501" s="362"/>
      <c r="F1501" s="362"/>
      <c r="G1501" s="2256"/>
      <c r="H1501" s="2029" t="s">
        <v>6877</v>
      </c>
      <c r="I1501" s="2256"/>
      <c r="J1501" s="2256"/>
      <c r="K1501" s="2256"/>
      <c r="L1501" s="2256"/>
      <c r="M1501" s="2405" t="s">
        <v>6878</v>
      </c>
      <c r="N1501" s="2256"/>
      <c r="O1501" s="2256"/>
      <c r="P1501" s="1901">
        <f>'Part VIII Scoring Criteria'!P10</f>
        <v>0</v>
      </c>
      <c r="Q1501" s="2039"/>
      <c r="R1501" s="2039"/>
      <c r="S1501" s="2039"/>
      <c r="T1501" s="2039"/>
      <c r="U1501" s="2039"/>
      <c r="V1501" s="2039"/>
      <c r="W1501" s="2039"/>
      <c r="X1501" s="2039"/>
      <c r="Y1501" s="2039"/>
    </row>
    <row r="1502" spans="1:25" s="2366" customFormat="1" ht="3.6" customHeight="1">
      <c r="A1502" s="359"/>
      <c r="B1502" s="2342"/>
      <c r="C1502" s="362"/>
      <c r="D1502" s="1505"/>
      <c r="E1502" s="1505"/>
      <c r="F1502" s="1505"/>
      <c r="G1502" s="1505"/>
      <c r="H1502" s="1505"/>
      <c r="I1502" s="1505"/>
      <c r="J1502" s="1505"/>
      <c r="K1502" s="1505"/>
      <c r="L1502" s="359"/>
      <c r="M1502" s="1901"/>
      <c r="N1502" s="1750"/>
      <c r="O1502" s="2293"/>
      <c r="P1502" s="1901"/>
      <c r="R1502" s="359"/>
      <c r="S1502" s="359"/>
    </row>
    <row r="1503" spans="1:25" s="359" customFormat="1" ht="10.5" customHeight="1">
      <c r="A1503" s="403" t="s">
        <v>3396</v>
      </c>
      <c r="B1503" s="403" t="s">
        <v>3397</v>
      </c>
      <c r="C1503" s="362"/>
      <c r="D1503" s="362"/>
      <c r="E1503" s="403" t="s">
        <v>3404</v>
      </c>
      <c r="F1503" s="403" t="s">
        <v>6503</v>
      </c>
      <c r="G1503" s="403"/>
      <c r="H1503" s="403"/>
      <c r="I1503" s="403"/>
      <c r="J1503" s="403"/>
      <c r="K1503" s="403"/>
      <c r="L1503" s="403"/>
      <c r="M1503" s="403"/>
      <c r="N1503" s="403"/>
      <c r="O1503" s="2406" t="s">
        <v>3815</v>
      </c>
      <c r="P1503" s="2243">
        <f>SUM(P1504:P1522)</f>
        <v>0</v>
      </c>
      <c r="Q1503" s="2331" t="s">
        <v>6879</v>
      </c>
      <c r="R1503" s="2331"/>
      <c r="S1503" s="2331"/>
      <c r="T1503" s="2292"/>
      <c r="U1503" s="2292"/>
      <c r="V1503" s="2292"/>
    </row>
    <row r="1504" spans="1:25" s="359" customFormat="1" ht="10.5" customHeight="1">
      <c r="A1504" s="2407" t="s">
        <v>1669</v>
      </c>
      <c r="B1504" s="2074" t="s">
        <v>3398</v>
      </c>
      <c r="C1504" s="2035"/>
      <c r="D1504" s="2035"/>
      <c r="E1504" s="2408" t="str">
        <f>$O$102</f>
        <v>Title of Principal</v>
      </c>
      <c r="F1504" s="2409">
        <f>$A$108</f>
        <v>0</v>
      </c>
      <c r="G1504" s="2409"/>
      <c r="H1504" s="2409"/>
      <c r="I1504" s="2409"/>
      <c r="J1504" s="2409"/>
      <c r="K1504" s="2409"/>
      <c r="L1504" s="2409"/>
      <c r="M1504" s="2409"/>
      <c r="N1504" s="2409"/>
      <c r="O1504" s="2409"/>
      <c r="P1504" s="2410"/>
      <c r="Q1504" s="2331"/>
      <c r="R1504" s="2331"/>
      <c r="S1504" s="2331"/>
      <c r="T1504" s="2292"/>
      <c r="U1504" s="2292"/>
      <c r="V1504" s="2292"/>
    </row>
    <row r="1505" spans="1:21" s="359" customFormat="1" ht="10.5" customHeight="1">
      <c r="A1505" s="2407" t="s">
        <v>496</v>
      </c>
      <c r="B1505" s="2074" t="s">
        <v>4043</v>
      </c>
      <c r="C1505" s="2035"/>
      <c r="D1505" s="2035"/>
      <c r="E1505" s="2411" t="str">
        <f>$O$112</f>
        <v>Cellular</v>
      </c>
      <c r="F1505" s="2409">
        <f>$A$146</f>
        <v>0</v>
      </c>
      <c r="G1505" s="2409"/>
      <c r="H1505" s="2409"/>
      <c r="I1505" s="2409"/>
      <c r="J1505" s="2409"/>
      <c r="K1505" s="2409"/>
      <c r="L1505" s="2409"/>
      <c r="M1505" s="2409"/>
      <c r="N1505" s="2409"/>
      <c r="O1505" s="2409"/>
      <c r="P1505" s="2410"/>
      <c r="Q1505" s="2331"/>
      <c r="R1505" s="2331"/>
      <c r="S1505" s="2331"/>
      <c r="T1505" s="2292"/>
      <c r="U1505" s="2292"/>
    </row>
    <row r="1506" spans="1:21" s="359" customFormat="1" ht="10.5" customHeight="1">
      <c r="A1506" s="2407" t="s">
        <v>720</v>
      </c>
      <c r="B1506" s="2074" t="s">
        <v>3343</v>
      </c>
      <c r="C1506" s="2035"/>
      <c r="D1506" s="2035"/>
      <c r="E1506" s="2411">
        <f>$O$151</f>
        <v>0</v>
      </c>
      <c r="F1506" s="2409">
        <f>$A$164</f>
        <v>0</v>
      </c>
      <c r="G1506" s="2409"/>
      <c r="H1506" s="2409"/>
      <c r="I1506" s="2409"/>
      <c r="J1506" s="2409"/>
      <c r="K1506" s="2409"/>
      <c r="L1506" s="2409"/>
      <c r="M1506" s="2409"/>
      <c r="N1506" s="2409"/>
      <c r="O1506" s="2409"/>
      <c r="P1506" s="2410"/>
      <c r="Q1506" s="2331"/>
      <c r="R1506" s="2331"/>
      <c r="S1506" s="2331"/>
      <c r="T1506" s="2292"/>
      <c r="U1506" s="2292"/>
    </row>
    <row r="1507" spans="1:21" s="359" customFormat="1" ht="10.5" customHeight="1">
      <c r="A1507" s="2407" t="s">
        <v>280</v>
      </c>
      <c r="B1507" s="2074" t="s">
        <v>3399</v>
      </c>
      <c r="C1507" s="2035"/>
      <c r="D1507" s="2035"/>
      <c r="E1507" s="2408" t="str">
        <f>$O$168</f>
        <v>Cellular</v>
      </c>
      <c r="F1507" s="2409">
        <f>$A$185</f>
        <v>0</v>
      </c>
      <c r="G1507" s="2409"/>
      <c r="H1507" s="2409"/>
      <c r="I1507" s="2409"/>
      <c r="J1507" s="2409"/>
      <c r="K1507" s="2409"/>
      <c r="L1507" s="2409"/>
      <c r="M1507" s="2409"/>
      <c r="N1507" s="2409"/>
      <c r="O1507" s="2409"/>
      <c r="P1507" s="2410"/>
      <c r="Q1507" s="2331"/>
      <c r="R1507" s="2331"/>
      <c r="S1507" s="2331"/>
      <c r="T1507" s="2292"/>
      <c r="U1507" s="2292"/>
    </row>
    <row r="1508" spans="1:21" s="359" customFormat="1" ht="10.5" customHeight="1">
      <c r="A1508" s="2407" t="s">
        <v>401</v>
      </c>
      <c r="B1508" s="2074" t="s">
        <v>3400</v>
      </c>
      <c r="C1508" s="2035"/>
      <c r="D1508" s="2035"/>
      <c r="E1508" s="2412" t="s">
        <v>1611</v>
      </c>
      <c r="F1508" s="2409">
        <f>$A$200</f>
        <v>0</v>
      </c>
      <c r="G1508" s="2409"/>
      <c r="H1508" s="2409"/>
      <c r="I1508" s="2409"/>
      <c r="J1508" s="2409"/>
      <c r="K1508" s="2409"/>
      <c r="L1508" s="2409"/>
      <c r="M1508" s="2409"/>
      <c r="N1508" s="2409"/>
      <c r="O1508" s="2409"/>
      <c r="P1508" s="2410"/>
      <c r="Q1508" s="2331"/>
      <c r="R1508" s="2331"/>
      <c r="S1508" s="2331"/>
      <c r="T1508" s="2292"/>
      <c r="U1508" s="2292"/>
    </row>
    <row r="1509" spans="1:21" s="359" customFormat="1" ht="10.5" customHeight="1">
      <c r="A1509" s="2407" t="s">
        <v>342</v>
      </c>
      <c r="B1509" s="2074" t="s">
        <v>4044</v>
      </c>
      <c r="C1509" s="2035"/>
      <c r="D1509" s="2035"/>
      <c r="E1509" s="2408">
        <f>$O$204</f>
        <v>0</v>
      </c>
      <c r="F1509" s="2409">
        <f>$A$219</f>
        <v>0</v>
      </c>
      <c r="G1509" s="2409"/>
      <c r="H1509" s="2409"/>
      <c r="I1509" s="2409"/>
      <c r="J1509" s="2409"/>
      <c r="K1509" s="2409"/>
      <c r="L1509" s="2409"/>
      <c r="M1509" s="2409"/>
      <c r="N1509" s="2409"/>
      <c r="O1509" s="2409"/>
      <c r="P1509" s="2410"/>
      <c r="Q1509" s="2018" t="str">
        <f>IF(OR($A$108="",$A$146="",$A$164="",$A$185="",$A$200="",$A$219="",$A$237="",$A$247="",$A$256="",$A$280="",$A$305="",$A$313="",$A$337="",$A$373="",$A$392="",$A$413="",$A$419="",$A$429="",$A$437=""),"Some Applicant Scoring Justification boxes are empty! Check to see if points claimed.","")</f>
        <v>Some Applicant Scoring Justification boxes are empty! Check to see if points claimed.</v>
      </c>
      <c r="R1509" s="2018"/>
      <c r="S1509" s="2018"/>
    </row>
    <row r="1510" spans="1:21" s="359" customFormat="1" ht="10.5" customHeight="1">
      <c r="A1510" s="2407" t="s">
        <v>4046</v>
      </c>
      <c r="B1510" s="2074" t="s">
        <v>3265</v>
      </c>
      <c r="C1510" s="2035"/>
      <c r="D1510" s="2035"/>
      <c r="E1510" s="2408">
        <f>$O$232</f>
        <v>0</v>
      </c>
      <c r="F1510" s="2409" t="str">
        <f>$A$237</f>
        <v>Management Company</v>
      </c>
      <c r="G1510" s="2409"/>
      <c r="H1510" s="2409"/>
      <c r="I1510" s="2409"/>
      <c r="J1510" s="2409"/>
      <c r="K1510" s="2409"/>
      <c r="L1510" s="2409"/>
      <c r="M1510" s="2409"/>
      <c r="N1510" s="2409"/>
      <c r="O1510" s="2409"/>
      <c r="P1510" s="2410"/>
      <c r="Q1510" s="2018"/>
      <c r="R1510" s="2018"/>
      <c r="S1510" s="2018"/>
    </row>
    <row r="1511" spans="1:21" s="359" customFormat="1" ht="10.5" customHeight="1">
      <c r="A1511" s="2407" t="s">
        <v>4058</v>
      </c>
      <c r="B1511" s="2074" t="s">
        <v>4047</v>
      </c>
      <c r="C1511" s="2035"/>
      <c r="D1511" s="2035"/>
      <c r="E1511" s="2412">
        <f>$O$241</f>
        <v>0</v>
      </c>
      <c r="F1511" s="2409">
        <f>$A$247</f>
        <v>0</v>
      </c>
      <c r="G1511" s="2409"/>
      <c r="H1511" s="2409"/>
      <c r="I1511" s="2409"/>
      <c r="J1511" s="2409"/>
      <c r="K1511" s="2409"/>
      <c r="L1511" s="2409"/>
      <c r="M1511" s="2409"/>
      <c r="N1511" s="2409"/>
      <c r="O1511" s="2409"/>
      <c r="P1511" s="2410"/>
      <c r="Q1511" s="2018"/>
      <c r="R1511" s="2018"/>
      <c r="S1511" s="2018"/>
    </row>
    <row r="1512" spans="1:21" s="359" customFormat="1" ht="10.5" customHeight="1">
      <c r="A1512" s="2407" t="s">
        <v>6251</v>
      </c>
      <c r="B1512" s="2074" t="s">
        <v>4048</v>
      </c>
      <c r="C1512" s="2035"/>
      <c r="D1512" s="2035"/>
      <c r="E1512" s="2408">
        <f>$O$251</f>
        <v>0</v>
      </c>
      <c r="F1512" s="2409">
        <f>$A$256</f>
        <v>0</v>
      </c>
      <c r="G1512" s="2409"/>
      <c r="H1512" s="2409"/>
      <c r="I1512" s="2409"/>
      <c r="J1512" s="2409"/>
      <c r="K1512" s="2409"/>
      <c r="L1512" s="2409"/>
      <c r="M1512" s="2409"/>
      <c r="N1512" s="2409"/>
      <c r="O1512" s="2409"/>
      <c r="P1512" s="2410"/>
      <c r="Q1512" s="2018"/>
      <c r="R1512" s="2018"/>
      <c r="S1512" s="2018"/>
    </row>
    <row r="1513" spans="1:21" s="359" customFormat="1" ht="10.5" customHeight="1">
      <c r="A1513" s="2407" t="s">
        <v>6648</v>
      </c>
      <c r="B1513" s="2074" t="s">
        <v>6558</v>
      </c>
      <c r="C1513" s="2035"/>
      <c r="D1513" s="2035"/>
      <c r="E1513" s="2408">
        <f>$O$273</f>
        <v>0</v>
      </c>
      <c r="F1513" s="2409">
        <f>$A$280</f>
        <v>0</v>
      </c>
      <c r="G1513" s="2409"/>
      <c r="H1513" s="2409"/>
      <c r="I1513" s="2409"/>
      <c r="J1513" s="2409"/>
      <c r="K1513" s="2409"/>
      <c r="L1513" s="2409"/>
      <c r="M1513" s="2409"/>
      <c r="N1513" s="2409"/>
      <c r="O1513" s="2409"/>
      <c r="P1513" s="2410"/>
      <c r="Q1513" s="2018"/>
      <c r="R1513" s="2018"/>
      <c r="S1513" s="2018"/>
    </row>
    <row r="1514" spans="1:21" s="359" customFormat="1" ht="10.5" customHeight="1">
      <c r="A1514" s="2407" t="s">
        <v>6650</v>
      </c>
      <c r="B1514" s="2074" t="s">
        <v>6649</v>
      </c>
      <c r="C1514" s="2035"/>
      <c r="D1514" s="2035"/>
      <c r="E1514" s="2408">
        <f>$O$284</f>
        <v>0</v>
      </c>
      <c r="F1514" s="2409" t="str">
        <f>$A$305</f>
        <v>*Foundation, charity or other government funding to cover costs exceeding DCA cost limit (see Appendix I, Section II).</v>
      </c>
      <c r="G1514" s="2409"/>
      <c r="H1514" s="2409"/>
      <c r="I1514" s="2409"/>
      <c r="J1514" s="2409"/>
      <c r="K1514" s="2409"/>
      <c r="L1514" s="2409"/>
      <c r="M1514" s="2409"/>
      <c r="N1514" s="2409"/>
      <c r="O1514" s="2409"/>
      <c r="P1514" s="2410"/>
      <c r="Q1514" s="2018"/>
      <c r="R1514" s="2018"/>
      <c r="S1514" s="2018"/>
    </row>
    <row r="1515" spans="1:21" s="359" customFormat="1" ht="10.5" customHeight="1">
      <c r="A1515" s="2407" t="s">
        <v>3373</v>
      </c>
      <c r="B1515" s="2074" t="s">
        <v>6564</v>
      </c>
      <c r="C1515" s="2035"/>
      <c r="D1515" s="2035"/>
      <c r="E1515" s="2408">
        <f>$O$309</f>
        <v>0</v>
      </c>
      <c r="F1515" s="2409">
        <f>$A$313</f>
        <v>0</v>
      </c>
      <c r="G1515" s="2409"/>
      <c r="H1515" s="2409"/>
      <c r="I1515" s="2409"/>
      <c r="J1515" s="2409"/>
      <c r="K1515" s="2409"/>
      <c r="L1515" s="2409"/>
      <c r="M1515" s="2409"/>
      <c r="N1515" s="2409"/>
      <c r="O1515" s="2409"/>
      <c r="P1515" s="2410"/>
      <c r="Q1515" s="2018"/>
      <c r="R1515" s="2018"/>
      <c r="S1515" s="2018"/>
    </row>
    <row r="1516" spans="1:21" s="359" customFormat="1" ht="10.5" customHeight="1">
      <c r="A1516" s="2407" t="s">
        <v>3377</v>
      </c>
      <c r="B1516" s="2074" t="s">
        <v>3401</v>
      </c>
      <c r="C1516" s="2035"/>
      <c r="D1516" s="2035"/>
      <c r="E1516" s="2408">
        <f>$O$333</f>
        <v>0</v>
      </c>
      <c r="F1516" s="2409">
        <f>$A$337</f>
        <v>0</v>
      </c>
      <c r="G1516" s="2409"/>
      <c r="H1516" s="2409"/>
      <c r="I1516" s="2409"/>
      <c r="J1516" s="2409"/>
      <c r="K1516" s="2409"/>
      <c r="L1516" s="2409"/>
      <c r="M1516" s="2409"/>
      <c r="N1516" s="2409"/>
      <c r="O1516" s="2409"/>
      <c r="P1516" s="2410"/>
      <c r="Q1516" s="2018"/>
      <c r="R1516" s="2018"/>
      <c r="S1516" s="2018"/>
    </row>
    <row r="1517" spans="1:21" s="359" customFormat="1" ht="10.5" customHeight="1">
      <c r="A1517" s="2407" t="s">
        <v>3380</v>
      </c>
      <c r="B1517" s="2074" t="s">
        <v>3402</v>
      </c>
      <c r="C1517" s="2035"/>
      <c r="D1517" s="2035"/>
      <c r="E1517" s="2408">
        <f>$O$341</f>
        <v>0</v>
      </c>
      <c r="F1517" s="2409">
        <f>$A$373</f>
        <v>0</v>
      </c>
      <c r="G1517" s="2409"/>
      <c r="H1517" s="2409"/>
      <c r="I1517" s="2409"/>
      <c r="J1517" s="2409"/>
      <c r="K1517" s="2409"/>
      <c r="L1517" s="2409"/>
      <c r="M1517" s="2409"/>
      <c r="N1517" s="2409"/>
      <c r="O1517" s="2409"/>
      <c r="P1517" s="2410"/>
      <c r="Q1517" s="2018"/>
      <c r="R1517" s="2018"/>
      <c r="S1517" s="2018"/>
    </row>
    <row r="1518" spans="1:21" s="359" customFormat="1" ht="10.5" customHeight="1">
      <c r="A1518" s="2407" t="s">
        <v>3381</v>
      </c>
      <c r="B1518" s="2074" t="s">
        <v>3403</v>
      </c>
      <c r="C1518" s="2035"/>
      <c r="D1518" s="2035"/>
      <c r="E1518" s="2412">
        <f>$O$377</f>
        <v>0</v>
      </c>
      <c r="F1518" s="2409">
        <f>$A$392</f>
        <v>0</v>
      </c>
      <c r="G1518" s="2409"/>
      <c r="H1518" s="2409"/>
      <c r="I1518" s="2409"/>
      <c r="J1518" s="2409"/>
      <c r="K1518" s="2409"/>
      <c r="L1518" s="2409"/>
      <c r="M1518" s="2409"/>
      <c r="N1518" s="2409"/>
      <c r="O1518" s="2409"/>
      <c r="P1518" s="2410"/>
      <c r="Q1518" s="2018"/>
      <c r="R1518" s="2018"/>
      <c r="S1518" s="2018"/>
    </row>
    <row r="1519" spans="1:21" s="359" customFormat="1" ht="10.5" customHeight="1">
      <c r="A1519" s="2407" t="s">
        <v>3383</v>
      </c>
      <c r="B1519" s="2074" t="s">
        <v>6647</v>
      </c>
      <c r="C1519" s="2035"/>
      <c r="D1519" s="2035"/>
      <c r="E1519" s="2408">
        <f>$O$404</f>
        <v>0</v>
      </c>
      <c r="F1519" s="2409">
        <f>$A$413</f>
        <v>0</v>
      </c>
      <c r="G1519" s="2409"/>
      <c r="H1519" s="2409"/>
      <c r="I1519" s="2409"/>
      <c r="J1519" s="2409"/>
      <c r="K1519" s="2409"/>
      <c r="L1519" s="2409"/>
      <c r="M1519" s="2409"/>
      <c r="N1519" s="2409"/>
      <c r="O1519" s="2409"/>
      <c r="P1519" s="2410"/>
      <c r="Q1519" s="2018"/>
      <c r="R1519" s="2018"/>
      <c r="S1519" s="2018"/>
    </row>
    <row r="1520" spans="1:21" s="359" customFormat="1" ht="10.5" customHeight="1">
      <c r="A1520" s="2407" t="s">
        <v>3384</v>
      </c>
      <c r="B1520" s="2074" t="s">
        <v>6139</v>
      </c>
      <c r="C1520" s="2035"/>
      <c r="D1520" s="2035"/>
      <c r="E1520" s="2408">
        <f>$O$417</f>
        <v>0</v>
      </c>
      <c r="F1520" s="2409">
        <f>$A$419</f>
        <v>0</v>
      </c>
      <c r="G1520" s="2409"/>
      <c r="H1520" s="2409"/>
      <c r="I1520" s="2409"/>
      <c r="J1520" s="2409"/>
      <c r="K1520" s="2409"/>
      <c r="L1520" s="2409"/>
      <c r="M1520" s="2409"/>
      <c r="N1520" s="2409"/>
      <c r="O1520" s="2409"/>
      <c r="P1520" s="2410"/>
      <c r="Q1520" s="2018"/>
      <c r="R1520" s="2018"/>
      <c r="S1520" s="2018"/>
    </row>
    <row r="1521" spans="1:35" s="359" customFormat="1" ht="10.5" customHeight="1">
      <c r="A1521" s="2407" t="s">
        <v>3808</v>
      </c>
      <c r="B1521" s="2074" t="s">
        <v>6562</v>
      </c>
      <c r="C1521" s="2035"/>
      <c r="D1521" s="2035"/>
      <c r="E1521" s="2408">
        <f>$O$427</f>
        <v>0</v>
      </c>
      <c r="F1521" s="2409" t="str">
        <f>$A$429</f>
        <v/>
      </c>
      <c r="G1521" s="2409"/>
      <c r="H1521" s="2409"/>
      <c r="I1521" s="2409"/>
      <c r="J1521" s="2409"/>
      <c r="K1521" s="2409"/>
      <c r="L1521" s="2409"/>
      <c r="M1521" s="2409"/>
      <c r="N1521" s="2409"/>
      <c r="O1521" s="2409"/>
      <c r="P1521" s="2410"/>
      <c r="Q1521" s="2018"/>
      <c r="R1521" s="2018"/>
      <c r="S1521" s="2018"/>
      <c r="AA1521" s="359" t="s">
        <v>6572</v>
      </c>
    </row>
    <row r="1522" spans="1:35" s="359" customFormat="1" ht="10.5" customHeight="1">
      <c r="A1522" s="2407" t="s">
        <v>6565</v>
      </c>
      <c r="B1522" s="2074" t="s">
        <v>6563</v>
      </c>
      <c r="C1522" s="2035"/>
      <c r="D1522" s="2035"/>
      <c r="E1522" s="2408">
        <f>$O$433</f>
        <v>0</v>
      </c>
      <c r="F1522" s="2409" t="str">
        <f>$A$437</f>
        <v/>
      </c>
      <c r="G1522" s="2409"/>
      <c r="H1522" s="2409"/>
      <c r="I1522" s="2409"/>
      <c r="J1522" s="2409"/>
      <c r="K1522" s="2409"/>
      <c r="L1522" s="2409"/>
      <c r="M1522" s="2409"/>
      <c r="N1522" s="2409"/>
      <c r="O1522" s="2409"/>
      <c r="P1522" s="2410"/>
      <c r="Q1522" s="2018"/>
      <c r="R1522" s="2018"/>
      <c r="S1522" s="2018"/>
      <c r="X1522" s="359" t="s">
        <v>6573</v>
      </c>
      <c r="AD1522" s="359" t="s">
        <v>6574</v>
      </c>
    </row>
    <row r="1523" spans="1:35" ht="5.25" customHeight="1">
      <c r="C1523" s="360"/>
      <c r="D1523" s="360"/>
      <c r="E1523" s="360"/>
      <c r="F1523" s="360"/>
      <c r="G1523" s="1888"/>
      <c r="H1523" s="360"/>
      <c r="I1523" s="360"/>
      <c r="J1523" s="360"/>
      <c r="K1523" s="360"/>
    </row>
    <row r="1524" spans="1:35" ht="12.75" customHeight="1">
      <c r="A1524" s="2404" t="s">
        <v>689</v>
      </c>
      <c r="B1524" s="2253" t="s">
        <v>6144</v>
      </c>
      <c r="C1524" s="2379"/>
      <c r="D1524" s="360"/>
      <c r="E1524" s="360"/>
      <c r="F1524" s="360"/>
      <c r="G1524" s="2218" t="s">
        <v>6132</v>
      </c>
      <c r="H1524" s="2218"/>
      <c r="I1524" s="2218" t="s">
        <v>6513</v>
      </c>
      <c r="J1524" s="2218"/>
      <c r="K1524" s="2218"/>
      <c r="L1524" s="2218"/>
      <c r="M1524" s="2076" t="s">
        <v>6145</v>
      </c>
      <c r="N1524" s="2076"/>
      <c r="O1524" s="2076"/>
      <c r="P1524" s="2076"/>
      <c r="Q1524" s="2072"/>
      <c r="R1524" s="2072"/>
      <c r="S1524" s="2253" t="s">
        <v>6144</v>
      </c>
      <c r="T1524" s="2072"/>
      <c r="U1524" s="2072"/>
      <c r="V1524" s="2072"/>
      <c r="X1524" s="2218" t="s">
        <v>6132</v>
      </c>
      <c r="Y1524" s="2218"/>
      <c r="Z1524" s="2218" t="s">
        <v>6513</v>
      </c>
      <c r="AA1524" s="2218"/>
      <c r="AB1524" s="2218"/>
      <c r="AC1524" s="2218"/>
      <c r="AD1524" s="2218" t="s">
        <v>6132</v>
      </c>
      <c r="AE1524" s="2218"/>
      <c r="AF1524" s="2218" t="s">
        <v>6513</v>
      </c>
      <c r="AG1524" s="2218"/>
      <c r="AH1524" s="2218"/>
      <c r="AI1524" s="2218"/>
    </row>
    <row r="1525" spans="1:35" ht="11.25" customHeight="1">
      <c r="A1525" s="807"/>
      <c r="B1525" s="362"/>
      <c r="C1525" s="807"/>
      <c r="D1525" s="807"/>
      <c r="E1525" s="807"/>
      <c r="F1525" s="807"/>
      <c r="G1525" s="2413">
        <v>0.09</v>
      </c>
      <c r="H1525" s="2413">
        <v>0.04</v>
      </c>
      <c r="I1525" s="2413">
        <v>0.04</v>
      </c>
      <c r="J1525" s="2413" t="s">
        <v>6555</v>
      </c>
      <c r="K1525" s="2413" t="s">
        <v>6556</v>
      </c>
      <c r="L1525" s="2413" t="s">
        <v>6557</v>
      </c>
      <c r="M1525" s="2039">
        <f>'Part I-Project Identification'!F1503</f>
        <v>0</v>
      </c>
      <c r="N1525" s="2039"/>
      <c r="O1525" s="2039"/>
      <c r="P1525" s="2039"/>
      <c r="Q1525" s="2072"/>
      <c r="R1525" s="807"/>
      <c r="S1525" s="362"/>
      <c r="T1525" s="807"/>
      <c r="U1525" s="807"/>
      <c r="V1525" s="807"/>
      <c r="W1525" s="807"/>
      <c r="X1525" s="2413">
        <v>0.09</v>
      </c>
      <c r="Y1525" s="2413">
        <v>0.04</v>
      </c>
      <c r="Z1525" s="2413">
        <v>0.04</v>
      </c>
      <c r="AA1525" s="2413" t="s">
        <v>6555</v>
      </c>
      <c r="AB1525" s="2413" t="s">
        <v>6556</v>
      </c>
      <c r="AC1525" s="2413" t="s">
        <v>6557</v>
      </c>
      <c r="AD1525" s="2413">
        <v>0.09</v>
      </c>
      <c r="AE1525" s="2413">
        <v>0.04</v>
      </c>
      <c r="AF1525" s="2413">
        <v>0.04</v>
      </c>
      <c r="AG1525" s="2413" t="s">
        <v>6555</v>
      </c>
      <c r="AH1525" s="2413" t="s">
        <v>6556</v>
      </c>
      <c r="AI1525" s="2413" t="s">
        <v>6557</v>
      </c>
    </row>
    <row r="1526" spans="1:35" ht="10.5" customHeight="1">
      <c r="A1526" s="2119" t="s">
        <v>691</v>
      </c>
      <c r="B1526" s="2029" t="s">
        <v>6133</v>
      </c>
      <c r="C1526" s="403"/>
      <c r="D1526" s="807"/>
      <c r="E1526" s="807"/>
      <c r="F1526" s="807"/>
      <c r="G1526" s="2346">
        <v>10</v>
      </c>
      <c r="H1526" s="2346">
        <v>10</v>
      </c>
      <c r="I1526" s="2346">
        <v>10</v>
      </c>
      <c r="J1526" s="2346">
        <v>10</v>
      </c>
      <c r="K1526" s="2346">
        <v>10</v>
      </c>
      <c r="L1526" s="2346">
        <v>10</v>
      </c>
      <c r="Q1526" s="2076"/>
      <c r="R1526" s="2119" t="s">
        <v>691</v>
      </c>
      <c r="S1526" s="2029" t="s">
        <v>6133</v>
      </c>
      <c r="T1526" s="2029"/>
      <c r="U1526" s="362"/>
      <c r="V1526" s="362"/>
      <c r="W1526" s="362"/>
      <c r="X1526" s="2414">
        <f>O1554</f>
        <v>10</v>
      </c>
      <c r="Y1526" s="2414">
        <f>O1554</f>
        <v>10</v>
      </c>
      <c r="Z1526" s="2414">
        <f>O1554</f>
        <v>10</v>
      </c>
      <c r="AA1526" s="2414">
        <f>O1554</f>
        <v>10</v>
      </c>
      <c r="AB1526" s="2414">
        <f>O1554</f>
        <v>10</v>
      </c>
      <c r="AC1526" s="2414">
        <f>O1554</f>
        <v>10</v>
      </c>
      <c r="AD1526" s="2414">
        <f>P1554</f>
        <v>10</v>
      </c>
      <c r="AE1526" s="2414">
        <f>P1554</f>
        <v>10</v>
      </c>
      <c r="AF1526" s="2414">
        <f>P1554</f>
        <v>10</v>
      </c>
      <c r="AG1526" s="2414">
        <f>P1554</f>
        <v>10</v>
      </c>
      <c r="AH1526" s="2414">
        <f>P1554</f>
        <v>10</v>
      </c>
      <c r="AI1526" s="2414">
        <f>P1554</f>
        <v>10</v>
      </c>
    </row>
    <row r="1527" spans="1:35" ht="10.5" customHeight="1">
      <c r="A1527" s="2119" t="s">
        <v>1667</v>
      </c>
      <c r="B1527" s="2029" t="s">
        <v>6134</v>
      </c>
      <c r="C1527" s="403"/>
      <c r="D1527" s="807"/>
      <c r="E1527" s="807"/>
      <c r="F1527" s="807"/>
      <c r="G1527" s="2346">
        <v>3</v>
      </c>
      <c r="H1527" s="2346">
        <v>3</v>
      </c>
      <c r="I1527" s="2346"/>
      <c r="J1527" s="2346"/>
      <c r="K1527" s="2346"/>
      <c r="L1527" s="2346"/>
      <c r="M1527" s="2046" t="s">
        <v>6146</v>
      </c>
      <c r="N1527" s="2076"/>
      <c r="O1527" s="2076"/>
      <c r="P1527" s="2415" t="str">
        <f>IF(OR($M$34="9% Credit Competitive Round only", $M$34="9% Credit &amp; HOME"),"9%",IF(OR($M$34="4% Credit/TE Bond", $M$34="4% Credit/TE Bond &amp; HOME", $M$34="4% Credit/TE Bond &amp; HOME NOFA", $M$34="4% Credit &amp; NHTF", $M$34="4% Credit &amp; NHTF &amp; HOME"),"4%",""))</f>
        <v/>
      </c>
      <c r="Q1527" s="2076"/>
      <c r="R1527" s="2119" t="s">
        <v>1667</v>
      </c>
      <c r="S1527" s="2029" t="s">
        <v>6134</v>
      </c>
      <c r="T1527" s="2029"/>
      <c r="U1527" s="362"/>
      <c r="V1527" s="362"/>
      <c r="W1527" s="362"/>
      <c r="X1527" s="2414">
        <f>O1579</f>
        <v>0</v>
      </c>
      <c r="Y1527" s="2414">
        <f>O1579</f>
        <v>0</v>
      </c>
      <c r="Z1527" s="2414">
        <f>O1579</f>
        <v>0</v>
      </c>
      <c r="AA1527" s="2346"/>
      <c r="AB1527" s="2414">
        <f>O1579</f>
        <v>0</v>
      </c>
      <c r="AC1527" s="2414">
        <f>O1579</f>
        <v>0</v>
      </c>
      <c r="AD1527" s="2414">
        <f>P1579</f>
        <v>0</v>
      </c>
      <c r="AE1527" s="2414">
        <f>P1579</f>
        <v>0</v>
      </c>
      <c r="AF1527" s="2414">
        <f>P1579</f>
        <v>0</v>
      </c>
      <c r="AG1527" s="2346"/>
      <c r="AH1527" s="2414">
        <f>P1579</f>
        <v>0</v>
      </c>
      <c r="AI1527" s="2414">
        <f>P1579</f>
        <v>0</v>
      </c>
    </row>
    <row r="1528" spans="1:35" ht="10.5" customHeight="1">
      <c r="A1528" s="2119" t="s">
        <v>1669</v>
      </c>
      <c r="B1528" s="2029" t="s">
        <v>3398</v>
      </c>
      <c r="C1528" s="403"/>
      <c r="D1528" s="807"/>
      <c r="E1528" s="807"/>
      <c r="F1528" s="807"/>
      <c r="G1528" s="2346">
        <v>20</v>
      </c>
      <c r="H1528" s="2346">
        <v>12</v>
      </c>
      <c r="I1528" s="2346"/>
      <c r="J1528" s="2346"/>
      <c r="K1528" s="2346"/>
      <c r="L1528" s="2346"/>
      <c r="Q1528" s="2076"/>
      <c r="R1528" s="2119" t="s">
        <v>1669</v>
      </c>
      <c r="S1528" s="2029" t="s">
        <v>3398</v>
      </c>
      <c r="T1528" s="2029"/>
      <c r="U1528" s="362"/>
      <c r="V1528" s="362"/>
      <c r="W1528" s="362"/>
      <c r="X1528" s="2416">
        <f>O1593</f>
        <v>0</v>
      </c>
      <c r="Y1528" s="2416">
        <f>O1593</f>
        <v>0</v>
      </c>
      <c r="Z1528" s="2346"/>
      <c r="AA1528" s="2346"/>
      <c r="AB1528" s="2346"/>
      <c r="AC1528" s="2346"/>
      <c r="AD1528" s="2416">
        <f>P1593</f>
        <v>0</v>
      </c>
      <c r="AE1528" s="2416">
        <f>P1593</f>
        <v>0</v>
      </c>
      <c r="AF1528" s="2346"/>
      <c r="AG1528" s="2346"/>
      <c r="AH1528" s="2346"/>
      <c r="AI1528" s="2346"/>
    </row>
    <row r="1529" spans="1:35" ht="10.5" customHeight="1">
      <c r="A1529" s="2119" t="s">
        <v>496</v>
      </c>
      <c r="B1529" s="2029" t="s">
        <v>4043</v>
      </c>
      <c r="C1529" s="403"/>
      <c r="D1529" s="807"/>
      <c r="E1529" s="807"/>
      <c r="F1529" s="807"/>
      <c r="G1529" s="2346">
        <v>6</v>
      </c>
      <c r="H1529" s="2346">
        <v>4</v>
      </c>
      <c r="I1529" s="2346"/>
      <c r="J1529" s="2346"/>
      <c r="K1529" s="2346"/>
      <c r="L1529" s="2346"/>
      <c r="Q1529" s="2076"/>
      <c r="R1529" s="2119" t="s">
        <v>496</v>
      </c>
      <c r="S1529" s="2029" t="s">
        <v>4043</v>
      </c>
      <c r="T1529" s="2029"/>
      <c r="U1529" s="362"/>
      <c r="V1529" s="362"/>
      <c r="W1529" s="362"/>
      <c r="X1529" s="2416">
        <f>O1603</f>
        <v>0</v>
      </c>
      <c r="Y1529" s="2416">
        <f>O1603</f>
        <v>0</v>
      </c>
      <c r="Z1529" s="2346"/>
      <c r="AA1529" s="2346"/>
      <c r="AB1529" s="2346"/>
      <c r="AC1529" s="2346"/>
      <c r="AD1529" s="2416">
        <f>P1603</f>
        <v>0</v>
      </c>
      <c r="AE1529" s="2416">
        <f>P1603</f>
        <v>0</v>
      </c>
      <c r="AF1529" s="2346"/>
      <c r="AG1529" s="2346"/>
      <c r="AH1529" s="2346"/>
      <c r="AI1529" s="2346"/>
    </row>
    <row r="1530" spans="1:35" ht="10.5" customHeight="1">
      <c r="A1530" s="2119" t="s">
        <v>720</v>
      </c>
      <c r="B1530" s="2029" t="s">
        <v>3343</v>
      </c>
      <c r="C1530" s="403"/>
      <c r="D1530" s="807"/>
      <c r="E1530" s="807"/>
      <c r="F1530" s="807"/>
      <c r="G1530" s="2346">
        <v>3</v>
      </c>
      <c r="H1530" s="2346">
        <v>2</v>
      </c>
      <c r="I1530" s="2346"/>
      <c r="J1530" s="2346"/>
      <c r="K1530" s="2346"/>
      <c r="L1530" s="2346"/>
      <c r="M1530" s="2417" t="s">
        <v>6571</v>
      </c>
      <c r="N1530" s="2417"/>
      <c r="O1530" s="2417"/>
      <c r="P1530" s="2417"/>
      <c r="Q1530" s="2076"/>
      <c r="R1530" s="2119" t="s">
        <v>720</v>
      </c>
      <c r="S1530" s="2029" t="s">
        <v>3343</v>
      </c>
      <c r="T1530" s="2029"/>
      <c r="U1530" s="362"/>
      <c r="V1530" s="362"/>
      <c r="W1530" s="362"/>
      <c r="X1530" s="2346">
        <f>O1642</f>
        <v>0</v>
      </c>
      <c r="Y1530" s="2346">
        <f>O1642</f>
        <v>0</v>
      </c>
      <c r="Z1530" s="2346"/>
      <c r="AA1530" s="2346"/>
      <c r="AB1530" s="2346"/>
      <c r="AC1530" s="2346"/>
      <c r="AD1530" s="2346">
        <f>P1642</f>
        <v>0</v>
      </c>
      <c r="AE1530" s="2346">
        <f>P1642</f>
        <v>0</v>
      </c>
      <c r="AF1530" s="2346"/>
      <c r="AG1530" s="2346"/>
      <c r="AH1530" s="2346"/>
      <c r="AI1530" s="2346"/>
    </row>
    <row r="1531" spans="1:35" ht="10.5" customHeight="1">
      <c r="A1531" s="2119" t="s">
        <v>280</v>
      </c>
      <c r="B1531" s="2029" t="s">
        <v>3399</v>
      </c>
      <c r="C1531" s="403"/>
      <c r="D1531" s="807"/>
      <c r="E1531" s="807"/>
      <c r="F1531" s="807"/>
      <c r="G1531" s="2346">
        <v>7</v>
      </c>
      <c r="H1531" s="2346">
        <v>5</v>
      </c>
      <c r="I1531" s="2346"/>
      <c r="J1531" s="2346"/>
      <c r="K1531" s="2346"/>
      <c r="L1531" s="2346"/>
      <c r="M1531" s="2417"/>
      <c r="N1531" s="2417"/>
      <c r="O1531" s="2417"/>
      <c r="P1531" s="2417"/>
      <c r="Q1531" s="2076"/>
      <c r="R1531" s="2119" t="s">
        <v>280</v>
      </c>
      <c r="S1531" s="2029" t="s">
        <v>3399</v>
      </c>
      <c r="T1531" s="2029"/>
      <c r="U1531" s="362"/>
      <c r="V1531" s="362"/>
      <c r="W1531" s="362"/>
      <c r="X1531" s="2414">
        <f>O1659</f>
        <v>0</v>
      </c>
      <c r="Y1531" s="2414">
        <f>O1659</f>
        <v>0</v>
      </c>
      <c r="Z1531" s="2346"/>
      <c r="AA1531" s="2346"/>
      <c r="AB1531" s="2346"/>
      <c r="AC1531" s="2346"/>
      <c r="AD1531" s="2414">
        <f>P1659</f>
        <v>0</v>
      </c>
      <c r="AE1531" s="2414">
        <f>P1659</f>
        <v>0</v>
      </c>
      <c r="AF1531" s="2346"/>
      <c r="AG1531" s="2346"/>
      <c r="AH1531" s="2346"/>
      <c r="AI1531" s="2346"/>
    </row>
    <row r="1532" spans="1:35" ht="10.5" customHeight="1">
      <c r="A1532" s="2119" t="s">
        <v>401</v>
      </c>
      <c r="B1532" s="2029" t="s">
        <v>3400</v>
      </c>
      <c r="C1532" s="403"/>
      <c r="D1532" s="807"/>
      <c r="E1532" s="807"/>
      <c r="F1532" s="807"/>
      <c r="G1532" s="2346">
        <v>3</v>
      </c>
      <c r="H1532" s="2346"/>
      <c r="I1532" s="2346"/>
      <c r="J1532" s="2346"/>
      <c r="K1532" s="2346"/>
      <c r="L1532" s="2346"/>
      <c r="M1532" s="2029" t="s">
        <v>6566</v>
      </c>
      <c r="N1532" s="2029"/>
      <c r="O1532" s="2029"/>
      <c r="P1532" s="2038" t="str">
        <f>'Part VIII Scoring Criteria'!P41</f>
        <v>No</v>
      </c>
      <c r="Q1532" s="2076"/>
      <c r="R1532" s="2119" t="s">
        <v>401</v>
      </c>
      <c r="S1532" s="2029" t="s">
        <v>3400</v>
      </c>
      <c r="T1532" s="2029"/>
      <c r="U1532" s="362"/>
      <c r="V1532" s="362"/>
      <c r="W1532" s="362"/>
      <c r="X1532" s="2346"/>
      <c r="Y1532" s="2346"/>
      <c r="Z1532" s="2346"/>
      <c r="AA1532" s="2346"/>
      <c r="AB1532" s="2346"/>
      <c r="AC1532" s="2346"/>
      <c r="AD1532" s="2414">
        <f>P1680</f>
        <v>0</v>
      </c>
      <c r="AE1532" s="2346"/>
      <c r="AF1532" s="2346"/>
      <c r="AG1532" s="2346"/>
      <c r="AH1532" s="2346"/>
      <c r="AI1532" s="2346"/>
    </row>
    <row r="1533" spans="1:35" ht="10.5" customHeight="1">
      <c r="A1533" s="2119" t="s">
        <v>342</v>
      </c>
      <c r="B1533" s="2029" t="s">
        <v>4044</v>
      </c>
      <c r="C1533" s="403"/>
      <c r="D1533" s="807"/>
      <c r="E1533" s="807"/>
      <c r="F1533" s="807"/>
      <c r="G1533" s="2346">
        <v>10</v>
      </c>
      <c r="H1533" s="2346">
        <v>5</v>
      </c>
      <c r="I1533" s="2346"/>
      <c r="J1533" s="2346"/>
      <c r="K1533" s="2346"/>
      <c r="L1533" s="2346"/>
      <c r="M1533" s="2029" t="s">
        <v>3311</v>
      </c>
      <c r="N1533" s="2029"/>
      <c r="O1533" s="2029"/>
      <c r="P1533" s="2038" t="str">
        <f>'Part VIII Scoring Criteria'!P42</f>
        <v>No</v>
      </c>
      <c r="Q1533" s="2076"/>
      <c r="R1533" s="2119" t="s">
        <v>342</v>
      </c>
      <c r="S1533" s="2029" t="s">
        <v>4044</v>
      </c>
      <c r="T1533" s="2029"/>
      <c r="U1533" s="362"/>
      <c r="V1533" s="362"/>
      <c r="W1533" s="362"/>
      <c r="X1533" s="2414">
        <f>O1695</f>
        <v>0</v>
      </c>
      <c r="Y1533" s="2414">
        <f>O1695</f>
        <v>0</v>
      </c>
      <c r="Z1533" s="2346"/>
      <c r="AA1533" s="2346"/>
      <c r="AB1533" s="2346"/>
      <c r="AC1533" s="2346"/>
      <c r="AD1533" s="2414">
        <f>P1695</f>
        <v>0</v>
      </c>
      <c r="AE1533" s="2414">
        <f>P1695</f>
        <v>0</v>
      </c>
      <c r="AF1533" s="2346"/>
      <c r="AG1533" s="2346"/>
      <c r="AH1533" s="2346"/>
      <c r="AI1533" s="2346"/>
    </row>
    <row r="1534" spans="1:35" ht="10.5" customHeight="1">
      <c r="A1534" s="2119" t="s">
        <v>343</v>
      </c>
      <c r="B1534" s="2029" t="s">
        <v>6135</v>
      </c>
      <c r="C1534" s="403"/>
      <c r="D1534" s="807"/>
      <c r="E1534" s="807"/>
      <c r="F1534" s="807"/>
      <c r="G1534" s="2346">
        <v>1</v>
      </c>
      <c r="H1534" s="2346"/>
      <c r="I1534" s="2346"/>
      <c r="J1534" s="2346"/>
      <c r="K1534" s="2346"/>
      <c r="L1534" s="2346"/>
      <c r="M1534" s="2029" t="s">
        <v>6150</v>
      </c>
      <c r="N1534" s="2046"/>
      <c r="O1534" s="2046"/>
      <c r="P1534" s="2038" t="str">
        <f>'Part VIII Scoring Criteria'!P43</f>
        <v>No</v>
      </c>
      <c r="Q1534" s="2076"/>
      <c r="R1534" s="2119" t="s">
        <v>343</v>
      </c>
      <c r="S1534" s="2029" t="s">
        <v>6135</v>
      </c>
      <c r="T1534" s="2029"/>
      <c r="U1534" s="362"/>
      <c r="V1534" s="362"/>
      <c r="W1534" s="362"/>
      <c r="X1534" s="2414">
        <f>O1715</f>
        <v>0</v>
      </c>
      <c r="Y1534" s="2346"/>
      <c r="Z1534" s="2346"/>
      <c r="AA1534" s="2346"/>
      <c r="AB1534" s="2346"/>
      <c r="AC1534" s="2346"/>
      <c r="AD1534" s="2414">
        <f>P1715</f>
        <v>0</v>
      </c>
      <c r="AE1534" s="2346"/>
      <c r="AF1534" s="2346"/>
      <c r="AG1534" s="2346"/>
      <c r="AH1534" s="2346"/>
      <c r="AI1534" s="2346"/>
    </row>
    <row r="1535" spans="1:35" ht="10.5" customHeight="1">
      <c r="A1535" s="2119" t="s">
        <v>344</v>
      </c>
      <c r="B1535" s="2029" t="s">
        <v>3265</v>
      </c>
      <c r="C1535" s="403"/>
      <c r="D1535" s="807"/>
      <c r="E1535" s="807"/>
      <c r="F1535" s="807"/>
      <c r="G1535" s="2346">
        <v>10</v>
      </c>
      <c r="H1535" s="2346">
        <v>5</v>
      </c>
      <c r="I1535" s="2346"/>
      <c r="J1535" s="2346"/>
      <c r="K1535" s="2346"/>
      <c r="L1535" s="2346"/>
      <c r="M1535" s="2029" t="s">
        <v>6520</v>
      </c>
      <c r="N1535" s="2046"/>
      <c r="O1535" s="2161" t="s">
        <v>6149</v>
      </c>
      <c r="P1535" s="2038" t="str">
        <f>'Part VIII Scoring Criteria'!P44</f>
        <v>Yes</v>
      </c>
      <c r="Q1535" s="2076"/>
      <c r="R1535" s="2119" t="s">
        <v>344</v>
      </c>
      <c r="S1535" s="2029" t="s">
        <v>3265</v>
      </c>
      <c r="T1535" s="2029"/>
      <c r="U1535" s="362"/>
      <c r="V1535" s="362"/>
      <c r="W1535" s="362"/>
      <c r="X1535" s="2414">
        <f>O1723</f>
        <v>0</v>
      </c>
      <c r="Y1535" s="2414">
        <f>O1723</f>
        <v>0</v>
      </c>
      <c r="Z1535" s="2346"/>
      <c r="AA1535" s="2346"/>
      <c r="AB1535" s="2346"/>
      <c r="AC1535" s="2346"/>
      <c r="AD1535" s="2414">
        <f>P1723</f>
        <v>0</v>
      </c>
      <c r="AE1535" s="2414">
        <f>P1723</f>
        <v>0</v>
      </c>
      <c r="AF1535" s="2346"/>
      <c r="AG1535" s="2346"/>
      <c r="AH1535" s="2346"/>
      <c r="AI1535" s="2346"/>
    </row>
    <row r="1536" spans="1:35" ht="10.5" customHeight="1">
      <c r="A1536" s="2119" t="s">
        <v>1605</v>
      </c>
      <c r="B1536" s="2029" t="s">
        <v>6136</v>
      </c>
      <c r="C1536" s="403"/>
      <c r="D1536" s="807"/>
      <c r="E1536" s="807"/>
      <c r="F1536" s="807"/>
      <c r="G1536" s="2346">
        <v>3</v>
      </c>
      <c r="H1536" s="2346"/>
      <c r="I1536" s="2346"/>
      <c r="J1536" s="2346"/>
      <c r="K1536" s="2346"/>
      <c r="L1536" s="2346"/>
      <c r="M1536" s="2029"/>
      <c r="N1536" s="2046"/>
      <c r="O1536" s="2161" t="s">
        <v>6567</v>
      </c>
      <c r="P1536" s="2038" t="str">
        <f>'Part VIII Scoring Criteria'!P45</f>
        <v/>
      </c>
      <c r="Q1536" s="2076"/>
      <c r="R1536" s="2119" t="s">
        <v>1605</v>
      </c>
      <c r="S1536" s="2029" t="s">
        <v>6136</v>
      </c>
      <c r="T1536" s="2029"/>
      <c r="U1536" s="362"/>
      <c r="V1536" s="362"/>
      <c r="W1536" s="362"/>
      <c r="X1536" s="2414">
        <f>O1732</f>
        <v>0</v>
      </c>
      <c r="Y1536" s="2346"/>
      <c r="Z1536" s="2346"/>
      <c r="AA1536" s="2346"/>
      <c r="AB1536" s="2346"/>
      <c r="AC1536" s="2346"/>
      <c r="AD1536" s="2414">
        <f>P1732</f>
        <v>0</v>
      </c>
      <c r="AE1536" s="2346"/>
      <c r="AF1536" s="2346"/>
      <c r="AG1536" s="2346"/>
      <c r="AH1536" s="2346"/>
      <c r="AI1536" s="2346"/>
    </row>
    <row r="1537" spans="1:46" ht="10.5" customHeight="1">
      <c r="A1537" s="2119" t="s">
        <v>3374</v>
      </c>
      <c r="B1537" s="2029" t="s">
        <v>4048</v>
      </c>
      <c r="C1537" s="403"/>
      <c r="D1537" s="807"/>
      <c r="E1537" s="807"/>
      <c r="F1537" s="807"/>
      <c r="G1537" s="2346">
        <v>5</v>
      </c>
      <c r="H1537" s="2346"/>
      <c r="I1537" s="2346"/>
      <c r="J1537" s="2346"/>
      <c r="K1537" s="2346"/>
      <c r="L1537" s="2346"/>
      <c r="M1537" s="359"/>
      <c r="N1537" s="359"/>
      <c r="O1537" s="2161" t="s">
        <v>6568</v>
      </c>
      <c r="P1537" s="2038" t="str">
        <f>'Part VIII Scoring Criteria'!P46</f>
        <v/>
      </c>
      <c r="Q1537" s="2076"/>
      <c r="R1537" s="2119" t="s">
        <v>3374</v>
      </c>
      <c r="S1537" s="2029" t="s">
        <v>4048</v>
      </c>
      <c r="T1537" s="2029"/>
      <c r="U1537" s="362"/>
      <c r="V1537" s="362"/>
      <c r="W1537" s="362"/>
      <c r="X1537" s="2414">
        <f>O1742</f>
        <v>0</v>
      </c>
      <c r="Y1537" s="2346"/>
      <c r="Z1537" s="2346"/>
      <c r="AA1537" s="2346"/>
      <c r="AB1537" s="2346"/>
      <c r="AC1537" s="2346"/>
      <c r="AD1537" s="2414">
        <f>P1742</f>
        <v>0</v>
      </c>
      <c r="AE1537" s="2346"/>
      <c r="AF1537" s="2346"/>
      <c r="AG1537" s="2346"/>
      <c r="AH1537" s="2346"/>
      <c r="AI1537" s="2346"/>
    </row>
    <row r="1538" spans="1:46" ht="10.5" customHeight="1">
      <c r="A1538" s="2119" t="s">
        <v>2081</v>
      </c>
      <c r="B1538" s="2029" t="s">
        <v>3809</v>
      </c>
      <c r="C1538" s="403"/>
      <c r="D1538" s="807"/>
      <c r="E1538" s="807"/>
      <c r="F1538" s="807"/>
      <c r="G1538" s="2346">
        <v>4</v>
      </c>
      <c r="H1538" s="2346">
        <v>4</v>
      </c>
      <c r="I1538" s="2346">
        <v>4</v>
      </c>
      <c r="J1538" s="2346">
        <v>4</v>
      </c>
      <c r="K1538" s="2346">
        <v>4</v>
      </c>
      <c r="L1538" s="2346">
        <v>4</v>
      </c>
      <c r="M1538" s="2029" t="s">
        <v>2445</v>
      </c>
      <c r="N1538" s="2046"/>
      <c r="O1538" s="2046"/>
      <c r="P1538" s="2038" t="str">
        <f>'Part VIII Scoring Criteria'!P47</f>
        <v>No</v>
      </c>
      <c r="R1538" s="2119" t="s">
        <v>2081</v>
      </c>
      <c r="S1538" s="2029" t="s">
        <v>3809</v>
      </c>
      <c r="T1538" s="2029"/>
      <c r="U1538" s="362"/>
      <c r="V1538" s="362"/>
      <c r="W1538" s="362"/>
      <c r="X1538" s="2414">
        <f>O1751</f>
        <v>4</v>
      </c>
      <c r="Y1538" s="2414">
        <f>O1751</f>
        <v>4</v>
      </c>
      <c r="Z1538" s="2414">
        <f>O1751</f>
        <v>4</v>
      </c>
      <c r="AA1538" s="2414">
        <f>O1751</f>
        <v>4</v>
      </c>
      <c r="AB1538" s="2414">
        <f>O1751</f>
        <v>4</v>
      </c>
      <c r="AC1538" s="2414">
        <f>O1751</f>
        <v>4</v>
      </c>
      <c r="AD1538" s="2414">
        <f>P1751</f>
        <v>0</v>
      </c>
      <c r="AE1538" s="2414">
        <f>P1751</f>
        <v>0</v>
      </c>
      <c r="AF1538" s="2414">
        <f>P1751</f>
        <v>0</v>
      </c>
      <c r="AG1538" s="2414">
        <f>P1751</f>
        <v>0</v>
      </c>
      <c r="AH1538" s="2414">
        <f>P1751</f>
        <v>0</v>
      </c>
      <c r="AI1538" s="2414">
        <f>P1751</f>
        <v>0</v>
      </c>
      <c r="AT1538" s="2119" t="s">
        <v>3251</v>
      </c>
    </row>
    <row r="1539" spans="1:46" ht="10.5" customHeight="1">
      <c r="A1539" s="2119" t="s">
        <v>3374</v>
      </c>
      <c r="B1539" s="2029" t="s">
        <v>6558</v>
      </c>
      <c r="C1539" s="403"/>
      <c r="D1539" s="807"/>
      <c r="E1539" s="807"/>
      <c r="F1539" s="807"/>
      <c r="G1539" s="2346">
        <v>2</v>
      </c>
      <c r="H1539" s="2346">
        <v>2</v>
      </c>
      <c r="I1539" s="2346">
        <v>2</v>
      </c>
      <c r="J1539" s="2346">
        <v>2</v>
      </c>
      <c r="K1539" s="2346">
        <v>2</v>
      </c>
      <c r="L1539" s="2346">
        <v>2</v>
      </c>
      <c r="M1539" s="2029" t="s">
        <v>6569</v>
      </c>
      <c r="N1539" s="2046"/>
      <c r="O1539" s="2046"/>
      <c r="P1539" s="2038" t="str">
        <f>'Part VIII Scoring Criteria'!P48</f>
        <v>No</v>
      </c>
      <c r="R1539" s="2119" t="s">
        <v>3374</v>
      </c>
      <c r="S1539" s="2029" t="s">
        <v>6558</v>
      </c>
      <c r="T1539" s="2029"/>
      <c r="U1539" s="362"/>
      <c r="V1539" s="362"/>
      <c r="W1539" s="362"/>
      <c r="X1539" s="2414">
        <f>O1764</f>
        <v>2</v>
      </c>
      <c r="Y1539" s="2414">
        <f>O1764</f>
        <v>2</v>
      </c>
      <c r="Z1539" s="2414">
        <f>O1764</f>
        <v>2</v>
      </c>
      <c r="AA1539" s="2414">
        <f>O1764</f>
        <v>2</v>
      </c>
      <c r="AB1539" s="2414">
        <f>O1764</f>
        <v>2</v>
      </c>
      <c r="AC1539" s="2414">
        <f>O1764</f>
        <v>2</v>
      </c>
      <c r="AD1539" s="2414">
        <f>P1764</f>
        <v>0</v>
      </c>
      <c r="AE1539" s="2414">
        <f>P1764</f>
        <v>0</v>
      </c>
      <c r="AF1539" s="2414">
        <f>P1764</f>
        <v>0</v>
      </c>
      <c r="AG1539" s="2414">
        <f>P1764</f>
        <v>0</v>
      </c>
      <c r="AH1539" s="2414">
        <f>P1764</f>
        <v>0</v>
      </c>
      <c r="AI1539" s="2414">
        <f>P1764</f>
        <v>0</v>
      </c>
      <c r="AQ1539" s="2029" t="s">
        <v>6880</v>
      </c>
      <c r="AR1539" s="2046"/>
      <c r="AS1539" s="359"/>
      <c r="AT1539" s="2418">
        <f>'Part V-Revenues &amp; Expenses'!P1606+'Part V-Revenues &amp; Expenses'!P1613+'Part V-Revenues &amp; Expenses'!P1614</f>
        <v>0</v>
      </c>
    </row>
    <row r="1540" spans="1:46" ht="10.5" customHeight="1">
      <c r="A1540" s="2119" t="s">
        <v>3375</v>
      </c>
      <c r="B1540" s="2029" t="s">
        <v>6559</v>
      </c>
      <c r="C1540" s="403"/>
      <c r="D1540" s="807"/>
      <c r="E1540" s="807"/>
      <c r="F1540" s="807"/>
      <c r="G1540" s="2346">
        <v>2</v>
      </c>
      <c r="H1540" s="2346">
        <v>2</v>
      </c>
      <c r="I1540" s="2346">
        <v>2</v>
      </c>
      <c r="J1540" s="2346">
        <v>2</v>
      </c>
      <c r="K1540" s="2346">
        <v>2</v>
      </c>
      <c r="L1540" s="2346">
        <v>2</v>
      </c>
      <c r="M1540" s="2029" t="s">
        <v>6570</v>
      </c>
      <c r="N1540" s="359"/>
      <c r="O1540" s="359"/>
      <c r="P1540" s="2243" t="str">
        <f>'Part II-Sources of Funds'!$L$14</f>
        <v>Yes</v>
      </c>
      <c r="R1540" s="2119" t="s">
        <v>3375</v>
      </c>
      <c r="S1540" s="2029" t="s">
        <v>6559</v>
      </c>
      <c r="T1540" s="2029"/>
      <c r="U1540" s="362"/>
      <c r="V1540" s="362"/>
      <c r="W1540" s="362"/>
      <c r="X1540" s="2414">
        <f>O1775</f>
        <v>2</v>
      </c>
      <c r="Y1540" s="2414">
        <f>O1775</f>
        <v>2</v>
      </c>
      <c r="Z1540" s="2414">
        <f>O1775</f>
        <v>2</v>
      </c>
      <c r="AA1540" s="2414">
        <f>O1775</f>
        <v>2</v>
      </c>
      <c r="AB1540" s="2414">
        <f>O1775</f>
        <v>2</v>
      </c>
      <c r="AC1540" s="2414">
        <f>O1775</f>
        <v>2</v>
      </c>
      <c r="AD1540" s="2414">
        <f>P1775</f>
        <v>0</v>
      </c>
      <c r="AE1540" s="2414">
        <f>P1775</f>
        <v>0</v>
      </c>
      <c r="AF1540" s="2414">
        <f>P1775</f>
        <v>0</v>
      </c>
      <c r="AG1540" s="2414">
        <f>P1775</f>
        <v>0</v>
      </c>
      <c r="AH1540" s="2414">
        <f>P1775</f>
        <v>0</v>
      </c>
      <c r="AI1540" s="2414">
        <f>P1775</f>
        <v>0</v>
      </c>
      <c r="AQ1540" s="2029" t="s">
        <v>6697</v>
      </c>
      <c r="AR1540" s="2046"/>
      <c r="AS1540" s="2046"/>
      <c r="AT1540" s="2418">
        <f>'Part V-Revenues &amp; Expenses'!P1609+'Part V-Revenues &amp; Expenses'!P1612-'Part V-Revenues &amp; Expenses'!$P$122-'Part V-Revenues &amp; Expenses'!$P$123</f>
        <v>0</v>
      </c>
    </row>
    <row r="1541" spans="1:46" ht="10.5" customHeight="1">
      <c r="A1541" s="2119" t="s">
        <v>3373</v>
      </c>
      <c r="B1541" s="2029" t="s">
        <v>6564</v>
      </c>
      <c r="C1541" s="403"/>
      <c r="D1541" s="807"/>
      <c r="E1541" s="807"/>
      <c r="F1541" s="807"/>
      <c r="G1541" s="2346">
        <v>2</v>
      </c>
      <c r="H1541" s="2346"/>
      <c r="I1541" s="2346"/>
      <c r="J1541" s="2346">
        <v>2</v>
      </c>
      <c r="K1541" s="2346">
        <v>2</v>
      </c>
      <c r="L1541" s="2346">
        <v>2</v>
      </c>
      <c r="Q1541" s="2076"/>
      <c r="R1541" s="2119" t="s">
        <v>3373</v>
      </c>
      <c r="S1541" s="2029" t="s">
        <v>6564</v>
      </c>
      <c r="T1541" s="2029"/>
      <c r="U1541" s="362"/>
      <c r="V1541" s="362"/>
      <c r="W1541" s="362"/>
      <c r="X1541" s="2414">
        <f>O1800</f>
        <v>0</v>
      </c>
      <c r="Y1541" s="2346"/>
      <c r="Z1541" s="2346"/>
      <c r="AA1541" s="2414">
        <f>O1800</f>
        <v>0</v>
      </c>
      <c r="AB1541" s="2414">
        <f>O1800</f>
        <v>0</v>
      </c>
      <c r="AC1541" s="2414">
        <f>O1800</f>
        <v>0</v>
      </c>
      <c r="AD1541" s="2414">
        <f>P1800</f>
        <v>0</v>
      </c>
      <c r="AE1541" s="2346"/>
      <c r="AF1541" s="2346"/>
      <c r="AG1541" s="2414">
        <f>P1800</f>
        <v>0</v>
      </c>
      <c r="AH1541" s="2414">
        <f>P1800</f>
        <v>0</v>
      </c>
      <c r="AI1541" s="2414">
        <f>P1800</f>
        <v>0</v>
      </c>
    </row>
    <row r="1542" spans="1:46" ht="10.5" customHeight="1">
      <c r="A1542" s="2119" t="s">
        <v>3376</v>
      </c>
      <c r="B1542" s="2029" t="s">
        <v>6137</v>
      </c>
      <c r="C1542" s="403"/>
      <c r="D1542" s="807"/>
      <c r="E1542" s="807"/>
      <c r="F1542" s="807"/>
      <c r="G1542" s="2346">
        <v>2</v>
      </c>
      <c r="H1542" s="2346"/>
      <c r="I1542" s="2346"/>
      <c r="J1542" s="2346">
        <v>2</v>
      </c>
      <c r="K1542" s="2346">
        <v>2</v>
      </c>
      <c r="L1542" s="2346">
        <v>2</v>
      </c>
      <c r="M1542" s="2419" t="s">
        <v>6740</v>
      </c>
      <c r="N1542" s="2419"/>
      <c r="O1542" s="2419"/>
      <c r="P1542" s="2419"/>
      <c r="Q1542" s="379"/>
      <c r="R1542" s="2119" t="s">
        <v>3376</v>
      </c>
      <c r="S1542" s="2029" t="s">
        <v>6137</v>
      </c>
      <c r="T1542" s="2029"/>
      <c r="U1542" s="362"/>
      <c r="V1542" s="362"/>
      <c r="W1542" s="362"/>
      <c r="X1542" s="2414"/>
      <c r="Y1542" s="2346"/>
      <c r="Z1542" s="2346"/>
      <c r="AA1542" s="2414"/>
      <c r="AB1542" s="2414"/>
      <c r="AC1542" s="2414"/>
      <c r="AD1542" s="2414">
        <f>P1808</f>
        <v>0</v>
      </c>
      <c r="AE1542" s="2346"/>
      <c r="AF1542" s="2346"/>
      <c r="AG1542" s="2414">
        <f>P1808</f>
        <v>0</v>
      </c>
      <c r="AH1542" s="2414">
        <f>P1808</f>
        <v>0</v>
      </c>
      <c r="AI1542" s="2414">
        <f>P1808</f>
        <v>0</v>
      </c>
    </row>
    <row r="1543" spans="1:46" ht="10.5" customHeight="1">
      <c r="A1543" s="2119" t="s">
        <v>3377</v>
      </c>
      <c r="B1543" s="2029" t="s">
        <v>3401</v>
      </c>
      <c r="C1543" s="403"/>
      <c r="D1543" s="807"/>
      <c r="E1543" s="807"/>
      <c r="F1543" s="807"/>
      <c r="G1543" s="2346">
        <v>2</v>
      </c>
      <c r="H1543" s="2346"/>
      <c r="I1543" s="2346"/>
      <c r="J1543" s="2346">
        <v>2</v>
      </c>
      <c r="K1543" s="2346">
        <v>2</v>
      </c>
      <c r="L1543" s="2346">
        <v>2</v>
      </c>
      <c r="M1543" s="2419"/>
      <c r="N1543" s="2419"/>
      <c r="O1543" s="2419"/>
      <c r="P1543" s="2419"/>
      <c r="R1543" s="2119" t="s">
        <v>3377</v>
      </c>
      <c r="S1543" s="2029" t="s">
        <v>3401</v>
      </c>
      <c r="T1543" s="2029"/>
      <c r="U1543" s="362"/>
      <c r="V1543" s="362"/>
      <c r="W1543" s="362"/>
      <c r="X1543" s="2414">
        <f>O1824</f>
        <v>0</v>
      </c>
      <c r="Y1543" s="2414"/>
      <c r="Z1543" s="2414"/>
      <c r="AA1543" s="2414">
        <f>O1824</f>
        <v>0</v>
      </c>
      <c r="AB1543" s="2414">
        <f>O1824</f>
        <v>0</v>
      </c>
      <c r="AC1543" s="2414">
        <f>O1824</f>
        <v>0</v>
      </c>
      <c r="AD1543" s="2414">
        <f>P1824</f>
        <v>0</v>
      </c>
      <c r="AE1543" s="2414"/>
      <c r="AF1543" s="2414"/>
      <c r="AG1543" s="2414">
        <f>P1824</f>
        <v>0</v>
      </c>
      <c r="AH1543" s="2414">
        <f>P1824</f>
        <v>0</v>
      </c>
      <c r="AI1543" s="2414">
        <f>P1824</f>
        <v>0</v>
      </c>
    </row>
    <row r="1544" spans="1:46" ht="10.5" customHeight="1">
      <c r="A1544" s="2119" t="s">
        <v>3380</v>
      </c>
      <c r="B1544" s="2029" t="s">
        <v>3402</v>
      </c>
      <c r="C1544" s="403"/>
      <c r="D1544" s="807"/>
      <c r="E1544" s="807"/>
      <c r="F1544" s="807"/>
      <c r="G1544" s="2346">
        <v>4</v>
      </c>
      <c r="H1544" s="2346">
        <v>2</v>
      </c>
      <c r="I1544" s="2346">
        <v>2</v>
      </c>
      <c r="J1544" s="2346">
        <v>4</v>
      </c>
      <c r="K1544" s="2346">
        <v>4</v>
      </c>
      <c r="L1544" s="2346">
        <v>4</v>
      </c>
      <c r="M1544" s="2419"/>
      <c r="N1544" s="2419"/>
      <c r="O1544" s="2419"/>
      <c r="P1544" s="2419"/>
      <c r="R1544" s="2119" t="s">
        <v>3380</v>
      </c>
      <c r="S1544" s="2029" t="s">
        <v>3402</v>
      </c>
      <c r="T1544" s="2029"/>
      <c r="U1544" s="362"/>
      <c r="V1544" s="362"/>
      <c r="W1544" s="362"/>
      <c r="X1544" s="2414">
        <f>O1832</f>
        <v>0</v>
      </c>
      <c r="Y1544" s="2414">
        <f>O1832</f>
        <v>0</v>
      </c>
      <c r="Z1544" s="2414">
        <f>O1832</f>
        <v>0</v>
      </c>
      <c r="AA1544" s="2414">
        <f>O1832</f>
        <v>0</v>
      </c>
      <c r="AB1544" s="2414">
        <f>O1832</f>
        <v>0</v>
      </c>
      <c r="AC1544" s="2414">
        <f>O1832</f>
        <v>0</v>
      </c>
      <c r="AD1544" s="2414">
        <f>P1832</f>
        <v>0</v>
      </c>
      <c r="AE1544" s="2414">
        <f>P1832</f>
        <v>0</v>
      </c>
      <c r="AF1544" s="2414">
        <f>P1832</f>
        <v>0</v>
      </c>
      <c r="AG1544" s="2414">
        <f>P1832</f>
        <v>0</v>
      </c>
      <c r="AH1544" s="2414">
        <f>P1832</f>
        <v>0</v>
      </c>
      <c r="AI1544" s="2414">
        <f>P1832</f>
        <v>0</v>
      </c>
    </row>
    <row r="1545" spans="1:46" ht="10.5" customHeight="1">
      <c r="A1545" s="2119" t="s">
        <v>3381</v>
      </c>
      <c r="B1545" s="2029" t="s">
        <v>3403</v>
      </c>
      <c r="C1545" s="403"/>
      <c r="D1545" s="807"/>
      <c r="E1545" s="807"/>
      <c r="F1545" s="807"/>
      <c r="G1545" s="2346">
        <v>2</v>
      </c>
      <c r="H1545" s="2346"/>
      <c r="I1545" s="2346"/>
      <c r="J1545" s="2346"/>
      <c r="K1545" s="2346"/>
      <c r="L1545" s="2346"/>
      <c r="M1545" s="2282" t="str">
        <f>'Part VIII Scoring Criteria'!M54</f>
        <v>Preservation</v>
      </c>
      <c r="N1545" s="2282"/>
      <c r="O1545" s="2282"/>
      <c r="P1545" s="2282"/>
      <c r="R1545" s="2119" t="s">
        <v>3381</v>
      </c>
      <c r="S1545" s="2029" t="s">
        <v>3403</v>
      </c>
      <c r="T1545" s="2029"/>
      <c r="U1545" s="362"/>
      <c r="V1545" s="362"/>
      <c r="W1545" s="362"/>
      <c r="X1545" s="2414">
        <f>O1868</f>
        <v>0</v>
      </c>
      <c r="Y1545" s="2414"/>
      <c r="Z1545" s="2414"/>
      <c r="AA1545" s="2414"/>
      <c r="AB1545" s="2414"/>
      <c r="AC1545" s="2414"/>
      <c r="AD1545" s="2414">
        <f>P1868</f>
        <v>0</v>
      </c>
      <c r="AE1545" s="2414"/>
      <c r="AF1545" s="2414"/>
      <c r="AG1545" s="2414"/>
      <c r="AH1545" s="2414"/>
      <c r="AI1545" s="2414"/>
    </row>
    <row r="1546" spans="1:46" ht="10.5" customHeight="1">
      <c r="A1546" s="2119" t="s">
        <v>3382</v>
      </c>
      <c r="B1546" s="2029" t="s">
        <v>6138</v>
      </c>
      <c r="C1546" s="403"/>
      <c r="D1546" s="807"/>
      <c r="E1546" s="807"/>
      <c r="F1546" s="807"/>
      <c r="G1546" s="2346">
        <v>10</v>
      </c>
      <c r="H1546" s="2346">
        <v>10</v>
      </c>
      <c r="I1546" s="2346">
        <v>10</v>
      </c>
      <c r="J1546" s="2346">
        <v>10</v>
      </c>
      <c r="K1546" s="2346">
        <v>10</v>
      </c>
      <c r="L1546" s="2346">
        <v>10</v>
      </c>
      <c r="M1546" s="2282"/>
      <c r="N1546" s="2282"/>
      <c r="O1546" s="2282"/>
      <c r="P1546" s="2282"/>
      <c r="R1546" s="2119" t="s">
        <v>3382</v>
      </c>
      <c r="S1546" s="2029" t="s">
        <v>6138</v>
      </c>
      <c r="T1546" s="2029"/>
      <c r="U1546" s="362"/>
      <c r="V1546" s="362"/>
      <c r="W1546" s="362"/>
      <c r="X1546" s="2414">
        <f>O1887</f>
        <v>10</v>
      </c>
      <c r="Y1546" s="2414">
        <f>O1887</f>
        <v>10</v>
      </c>
      <c r="Z1546" s="2414">
        <f>O1887</f>
        <v>10</v>
      </c>
      <c r="AA1546" s="2414">
        <f>O1887</f>
        <v>10</v>
      </c>
      <c r="AB1546" s="2414">
        <f>O1887</f>
        <v>10</v>
      </c>
      <c r="AC1546" s="2414">
        <f>O1887</f>
        <v>10</v>
      </c>
      <c r="AD1546" s="2414">
        <f>P1887</f>
        <v>10</v>
      </c>
      <c r="AE1546" s="2414">
        <f>P1887</f>
        <v>10</v>
      </c>
      <c r="AF1546" s="2414">
        <f>P1887</f>
        <v>10</v>
      </c>
      <c r="AG1546" s="2414">
        <f>P1887</f>
        <v>10</v>
      </c>
      <c r="AH1546" s="2414">
        <f>P1887</f>
        <v>10</v>
      </c>
      <c r="AI1546" s="2414">
        <f>P1887</f>
        <v>10</v>
      </c>
    </row>
    <row r="1547" spans="1:46" ht="10.5" customHeight="1">
      <c r="A1547" s="2119" t="s">
        <v>3383</v>
      </c>
      <c r="B1547" s="2029" t="s">
        <v>6560</v>
      </c>
      <c r="C1547" s="403"/>
      <c r="D1547" s="807"/>
      <c r="E1547" s="807"/>
      <c r="F1547" s="807"/>
      <c r="G1547" s="2346">
        <v>3</v>
      </c>
      <c r="H1547" s="2346">
        <v>3</v>
      </c>
      <c r="I1547" s="2346">
        <v>3</v>
      </c>
      <c r="J1547" s="2346">
        <v>3</v>
      </c>
      <c r="K1547" s="2346">
        <v>3</v>
      </c>
      <c r="L1547" s="2346">
        <v>3</v>
      </c>
      <c r="R1547" s="2119" t="s">
        <v>3383</v>
      </c>
      <c r="S1547" s="2029" t="s">
        <v>6560</v>
      </c>
      <c r="T1547" s="2029"/>
      <c r="U1547" s="362"/>
      <c r="V1547" s="362"/>
      <c r="W1547" s="362"/>
      <c r="X1547" s="2414">
        <f>O1895</f>
        <v>3</v>
      </c>
      <c r="Y1547" s="2414">
        <f>O1895</f>
        <v>3</v>
      </c>
      <c r="Z1547" s="2414">
        <f>O1895</f>
        <v>3</v>
      </c>
      <c r="AA1547" s="2414">
        <f>O1895</f>
        <v>3</v>
      </c>
      <c r="AB1547" s="2414">
        <f>O1895</f>
        <v>3</v>
      </c>
      <c r="AC1547" s="2414">
        <f>O1895</f>
        <v>3</v>
      </c>
      <c r="AD1547" s="2414">
        <f>P1895</f>
        <v>2</v>
      </c>
      <c r="AE1547" s="2414">
        <f>P1895</f>
        <v>2</v>
      </c>
      <c r="AF1547" s="2414">
        <f>P1895</f>
        <v>2</v>
      </c>
      <c r="AG1547" s="2414">
        <f>P1895</f>
        <v>2</v>
      </c>
      <c r="AH1547" s="2414">
        <f>P1895</f>
        <v>2</v>
      </c>
      <c r="AI1547" s="2414">
        <f>P1895</f>
        <v>2</v>
      </c>
    </row>
    <row r="1548" spans="1:46" ht="10.5" customHeight="1">
      <c r="A1548" s="2119" t="s">
        <v>3384</v>
      </c>
      <c r="B1548" s="2029" t="s">
        <v>6139</v>
      </c>
      <c r="C1548" s="403"/>
      <c r="D1548" s="807"/>
      <c r="E1548" s="807"/>
      <c r="F1548" s="807"/>
      <c r="G1548" s="2346"/>
      <c r="H1548" s="2346"/>
      <c r="I1548" s="2346">
        <v>6</v>
      </c>
      <c r="J1548" s="2346">
        <v>6</v>
      </c>
      <c r="K1548" s="2346">
        <v>6</v>
      </c>
      <c r="L1548" s="2346">
        <v>6</v>
      </c>
      <c r="M1548" s="2417" t="s">
        <v>6147</v>
      </c>
      <c r="N1548" s="2417"/>
      <c r="O1548" s="2417"/>
      <c r="P1548" s="2417"/>
      <c r="Q1548" s="2076"/>
      <c r="R1548" s="2119" t="s">
        <v>3384</v>
      </c>
      <c r="S1548" s="2029" t="s">
        <v>6139</v>
      </c>
      <c r="T1548" s="2029"/>
      <c r="U1548" s="362"/>
      <c r="V1548" s="362"/>
      <c r="W1548" s="362"/>
      <c r="X1548" s="2346"/>
      <c r="Y1548" s="2346"/>
      <c r="Z1548" s="2414">
        <f>O1908</f>
        <v>6</v>
      </c>
      <c r="AA1548" s="2414">
        <f>O1908</f>
        <v>6</v>
      </c>
      <c r="AB1548" s="2414">
        <f>O1908</f>
        <v>6</v>
      </c>
      <c r="AC1548" s="2414">
        <f>O1908</f>
        <v>6</v>
      </c>
      <c r="AD1548" s="2346"/>
      <c r="AE1548" s="2346"/>
      <c r="AF1548" s="2414">
        <f>P1908</f>
        <v>0</v>
      </c>
      <c r="AG1548" s="2414">
        <f>P1908</f>
        <v>0</v>
      </c>
      <c r="AH1548" s="2414">
        <f>P1908</f>
        <v>0</v>
      </c>
      <c r="AI1548" s="2414">
        <f>P1908</f>
        <v>0</v>
      </c>
    </row>
    <row r="1549" spans="1:46" ht="10.5" customHeight="1">
      <c r="A1549" s="2119" t="s">
        <v>3385</v>
      </c>
      <c r="B1549" s="2029" t="s">
        <v>6561</v>
      </c>
      <c r="C1549" s="403"/>
      <c r="D1549" s="807"/>
      <c r="E1549" s="807"/>
      <c r="F1549" s="807"/>
      <c r="G1549" s="2346"/>
      <c r="H1549" s="2346"/>
      <c r="I1549" s="2346">
        <v>6</v>
      </c>
      <c r="J1549" s="2346">
        <v>6</v>
      </c>
      <c r="K1549" s="2346">
        <v>6</v>
      </c>
      <c r="L1549" s="2346">
        <v>6</v>
      </c>
      <c r="M1549" s="2417"/>
      <c r="N1549" s="2417"/>
      <c r="O1549" s="2417"/>
      <c r="P1549" s="2417"/>
      <c r="Q1549" s="2076"/>
      <c r="R1549" s="2119" t="s">
        <v>3385</v>
      </c>
      <c r="S1549" s="2029" t="s">
        <v>6561</v>
      </c>
      <c r="T1549" s="2029"/>
      <c r="U1549" s="362"/>
      <c r="V1549" s="362"/>
      <c r="W1549" s="362"/>
      <c r="X1549" s="2346"/>
      <c r="Y1549" s="2346"/>
      <c r="Z1549" s="2414">
        <f>O1914</f>
        <v>0</v>
      </c>
      <c r="AA1549" s="2414">
        <f>O1914</f>
        <v>0</v>
      </c>
      <c r="AB1549" s="2414">
        <f>O1914</f>
        <v>0</v>
      </c>
      <c r="AC1549" s="2414">
        <f>O1914</f>
        <v>0</v>
      </c>
      <c r="AD1549" s="2346"/>
      <c r="AE1549" s="2346"/>
      <c r="AF1549" s="2414">
        <f>P1914</f>
        <v>0</v>
      </c>
      <c r="AG1549" s="2414">
        <f>P1914</f>
        <v>0</v>
      </c>
      <c r="AH1549" s="2414">
        <f>P1914</f>
        <v>0</v>
      </c>
      <c r="AI1549" s="2414">
        <f>P1914</f>
        <v>0</v>
      </c>
    </row>
    <row r="1550" spans="1:46" ht="10.5" customHeight="1">
      <c r="A1550" s="2119" t="s">
        <v>3808</v>
      </c>
      <c r="B1550" s="2029" t="s">
        <v>6562</v>
      </c>
      <c r="C1550" s="403"/>
      <c r="D1550" s="807"/>
      <c r="E1550" s="807"/>
      <c r="F1550" s="807"/>
      <c r="G1550" s="2346"/>
      <c r="H1550" s="2346"/>
      <c r="I1550" s="2346">
        <v>4</v>
      </c>
      <c r="J1550" s="2346">
        <v>4</v>
      </c>
      <c r="K1550" s="2346">
        <v>4</v>
      </c>
      <c r="L1550" s="2346">
        <v>4</v>
      </c>
      <c r="M1550" s="2282" t="str">
        <f>'Part VIII Scoring Criteria'!M59</f>
        <v>N/A-4%</v>
      </c>
      <c r="N1550" s="2282"/>
      <c r="O1550" s="2282"/>
      <c r="P1550" s="2282"/>
      <c r="R1550" s="2119" t="s">
        <v>3808</v>
      </c>
      <c r="S1550" s="2029" t="s">
        <v>6562</v>
      </c>
      <c r="T1550" s="2029"/>
      <c r="U1550" s="362"/>
      <c r="V1550" s="362"/>
      <c r="W1550" s="362"/>
      <c r="X1550" s="2346"/>
      <c r="Y1550" s="2346"/>
      <c r="Z1550" s="2414">
        <f>O1918</f>
        <v>4</v>
      </c>
      <c r="AA1550" s="2414">
        <f>O1918</f>
        <v>4</v>
      </c>
      <c r="AB1550" s="2414">
        <f>O1918</f>
        <v>4</v>
      </c>
      <c r="AC1550" s="2414">
        <f>O1918</f>
        <v>4</v>
      </c>
      <c r="AD1550" s="2346"/>
      <c r="AE1550" s="2346"/>
      <c r="AF1550" s="2414">
        <f>P1918</f>
        <v>0</v>
      </c>
      <c r="AG1550" s="2414">
        <f>P1918</f>
        <v>0</v>
      </c>
      <c r="AH1550" s="2414">
        <f>P1918</f>
        <v>0</v>
      </c>
      <c r="AI1550" s="2414">
        <f>P1918</f>
        <v>0</v>
      </c>
    </row>
    <row r="1551" spans="1:46" ht="10.5" customHeight="1">
      <c r="A1551" s="2119" t="s">
        <v>6565</v>
      </c>
      <c r="B1551" s="2029" t="s">
        <v>6563</v>
      </c>
      <c r="C1551" s="403"/>
      <c r="D1551" s="807"/>
      <c r="E1551" s="807"/>
      <c r="F1551" s="807"/>
      <c r="G1551" s="2346"/>
      <c r="H1551" s="2346"/>
      <c r="I1551" s="2346">
        <v>6</v>
      </c>
      <c r="J1551" s="2346">
        <v>4</v>
      </c>
      <c r="K1551" s="2346">
        <v>6</v>
      </c>
      <c r="L1551" s="2346">
        <v>4</v>
      </c>
      <c r="M1551" s="2282"/>
      <c r="N1551" s="2282"/>
      <c r="O1551" s="2282"/>
      <c r="P1551" s="2282"/>
      <c r="Q1551" s="2076"/>
      <c r="R1551" s="2119" t="s">
        <v>6565</v>
      </c>
      <c r="S1551" s="2029" t="s">
        <v>6563</v>
      </c>
      <c r="T1551" s="2029"/>
      <c r="U1551" s="362"/>
      <c r="V1551" s="362"/>
      <c r="W1551" s="362"/>
      <c r="X1551" s="2346"/>
      <c r="Y1551" s="2414"/>
      <c r="Z1551" s="2414">
        <f>O1924</f>
        <v>4</v>
      </c>
      <c r="AA1551" s="2414">
        <f>O1924</f>
        <v>4</v>
      </c>
      <c r="AB1551" s="2414">
        <f>O1924</f>
        <v>4</v>
      </c>
      <c r="AC1551" s="2414">
        <f>O1924</f>
        <v>4</v>
      </c>
      <c r="AD1551" s="2346"/>
      <c r="AE1551" s="2414"/>
      <c r="AF1551" s="2414">
        <f>P1924</f>
        <v>0</v>
      </c>
      <c r="AG1551" s="2414">
        <f>P1924</f>
        <v>0</v>
      </c>
      <c r="AH1551" s="2414">
        <f>P1924</f>
        <v>0</v>
      </c>
      <c r="AI1551" s="2414">
        <f>P1924</f>
        <v>0</v>
      </c>
    </row>
    <row r="1552" spans="1:46" s="2366" customFormat="1" ht="2.25" customHeight="1">
      <c r="A1552" s="359"/>
      <c r="B1552" s="2342"/>
      <c r="C1552" s="362"/>
      <c r="D1552" s="1505"/>
      <c r="E1552" s="1505"/>
      <c r="F1552" s="1505"/>
      <c r="G1552" s="1505"/>
      <c r="H1552" s="1505"/>
      <c r="I1552" s="1505"/>
      <c r="J1552" s="1505"/>
      <c r="K1552" s="359"/>
      <c r="L1552" s="359"/>
      <c r="M1552" s="1901"/>
      <c r="N1552" s="1750"/>
      <c r="O1552" s="2293"/>
      <c r="P1552" s="1901"/>
      <c r="R1552" s="359"/>
      <c r="S1552" s="359"/>
      <c r="T1552" s="2379"/>
      <c r="U1552" s="2379"/>
      <c r="V1552" s="2379"/>
      <c r="W1552" s="2379"/>
      <c r="X1552" s="2379"/>
      <c r="Y1552" s="2379"/>
      <c r="Z1552" s="2379"/>
      <c r="AA1552" s="2379"/>
      <c r="AB1552" s="2379"/>
      <c r="AC1552" s="2379"/>
      <c r="AD1552" s="2379"/>
      <c r="AE1552" s="2379"/>
      <c r="AF1552" s="2379"/>
      <c r="AG1552" s="2379"/>
      <c r="AH1552" s="2379"/>
      <c r="AI1552" s="2379"/>
    </row>
    <row r="1553" spans="1:35" s="2366" customFormat="1" ht="12" customHeight="1">
      <c r="A1553" s="359"/>
      <c r="B1553" s="2342"/>
      <c r="C1553" s="362"/>
      <c r="D1553" s="1505" t="s">
        <v>6252</v>
      </c>
      <c r="E1553" s="1505"/>
      <c r="F1553" s="1505"/>
      <c r="G1553" s="2302">
        <f t="shared" ref="G1553:L1553" si="412">SUM(G1526:G1551)</f>
        <v>114</v>
      </c>
      <c r="H1553" s="2302">
        <f t="shared" si="412"/>
        <v>69</v>
      </c>
      <c r="I1553" s="2302">
        <f t="shared" si="412"/>
        <v>55</v>
      </c>
      <c r="J1553" s="2302">
        <f t="shared" si="412"/>
        <v>61</v>
      </c>
      <c r="K1553" s="2302">
        <f t="shared" si="412"/>
        <v>63</v>
      </c>
      <c r="L1553" s="2302">
        <f t="shared" si="412"/>
        <v>61</v>
      </c>
      <c r="M1553" s="1901"/>
      <c r="N1553" s="1750"/>
      <c r="O1553" s="2293"/>
      <c r="P1553" s="1901"/>
      <c r="R1553" s="359"/>
      <c r="S1553" s="359"/>
      <c r="T1553" s="2379"/>
      <c r="U1553" s="2379"/>
      <c r="V1553" s="2379"/>
      <c r="W1553" s="2379"/>
      <c r="X1553" s="2420">
        <f t="shared" ref="X1553:AI1553" si="413">SUM(X1526:X1551)</f>
        <v>31</v>
      </c>
      <c r="Y1553" s="2420">
        <f t="shared" si="413"/>
        <v>31</v>
      </c>
      <c r="Z1553" s="2420">
        <f t="shared" si="413"/>
        <v>45</v>
      </c>
      <c r="AA1553" s="2420">
        <f t="shared" si="413"/>
        <v>45</v>
      </c>
      <c r="AB1553" s="2420">
        <f t="shared" si="413"/>
        <v>45</v>
      </c>
      <c r="AC1553" s="2420">
        <f t="shared" si="413"/>
        <v>45</v>
      </c>
      <c r="AD1553" s="2420">
        <f t="shared" si="413"/>
        <v>22</v>
      </c>
      <c r="AE1553" s="2420">
        <f t="shared" si="413"/>
        <v>22</v>
      </c>
      <c r="AF1553" s="2420">
        <f t="shared" si="413"/>
        <v>22</v>
      </c>
      <c r="AG1553" s="2420">
        <f t="shared" si="413"/>
        <v>22</v>
      </c>
      <c r="AH1553" s="2420">
        <f t="shared" si="413"/>
        <v>22</v>
      </c>
      <c r="AI1553" s="2420">
        <f t="shared" si="413"/>
        <v>22</v>
      </c>
    </row>
    <row r="1554" spans="1:35" s="359" customFormat="1" ht="13.5" customHeight="1">
      <c r="A1554" s="2404" t="s">
        <v>691</v>
      </c>
      <c r="B1554" s="2253" t="s">
        <v>2499</v>
      </c>
      <c r="F1554" s="362"/>
      <c r="G1554" s="362"/>
      <c r="H1554" s="2029" t="s">
        <v>6881</v>
      </c>
      <c r="M1554" s="1901">
        <f>'Part VIII Scoring Criteria'!M63</f>
        <v>10</v>
      </c>
      <c r="N1554" s="2421"/>
      <c r="O1554" s="2293">
        <v>10</v>
      </c>
      <c r="P1554" s="2293">
        <f>'Part VIII Scoring Criteria'!P63</f>
        <v>10</v>
      </c>
      <c r="Q1554" s="1901" t="s">
        <v>416</v>
      </c>
      <c r="R1554" s="362"/>
    </row>
    <row r="1555" spans="1:35" s="2366" customFormat="1" ht="3.6" customHeight="1">
      <c r="A1555" s="359"/>
      <c r="B1555" s="2342"/>
      <c r="C1555" s="362"/>
      <c r="D1555" s="1505"/>
      <c r="E1555" s="1505"/>
      <c r="F1555" s="1505"/>
      <c r="G1555" s="1505"/>
      <c r="H1555" s="1505"/>
      <c r="I1555" s="1505"/>
      <c r="J1555" s="1505"/>
      <c r="K1555" s="1505"/>
      <c r="L1555" s="359"/>
      <c r="M1555" s="1901"/>
      <c r="N1555" s="1750"/>
      <c r="O1555" s="2293"/>
      <c r="P1555" s="1901"/>
      <c r="R1555" s="359"/>
      <c r="S1555" s="359"/>
    </row>
    <row r="1556" spans="1:35" s="359" customFormat="1" ht="12.75" customHeight="1">
      <c r="A1556" s="2239" t="s">
        <v>1842</v>
      </c>
      <c r="B1556" s="1505" t="s">
        <v>3810</v>
      </c>
      <c r="D1556" s="1505"/>
      <c r="E1556" s="1505"/>
      <c r="F1556" s="2243"/>
      <c r="N1556" s="2342" t="s">
        <v>1842</v>
      </c>
      <c r="P1556" s="2261">
        <f>SUM(P1557:P1559)</f>
        <v>0</v>
      </c>
      <c r="Q1556" s="362" t="s">
        <v>6882</v>
      </c>
    </row>
    <row r="1557" spans="1:35" s="2366" customFormat="1" ht="12.75" customHeight="1">
      <c r="A1557" s="2239"/>
      <c r="B1557" s="2422" t="s">
        <v>1845</v>
      </c>
      <c r="C1557" s="1505" t="s">
        <v>3813</v>
      </c>
      <c r="D1557" s="1505"/>
      <c r="E1557" s="1505"/>
      <c r="F1557" s="2243"/>
      <c r="H1557" s="2029" t="s">
        <v>3178</v>
      </c>
      <c r="J1557" s="2256"/>
      <c r="N1557" s="2423" t="s">
        <v>1845</v>
      </c>
      <c r="P1557" s="2261">
        <f>F1565</f>
        <v>0</v>
      </c>
    </row>
    <row r="1558" spans="1:35" s="2366" customFormat="1" ht="12.75" customHeight="1">
      <c r="A1558" s="2239"/>
      <c r="B1558" s="2422" t="s">
        <v>1847</v>
      </c>
      <c r="C1558" s="1505" t="s">
        <v>6883</v>
      </c>
      <c r="D1558" s="1505"/>
      <c r="E1558" s="1505"/>
      <c r="F1558" s="2243"/>
      <c r="H1558" s="2029" t="s">
        <v>3811</v>
      </c>
      <c r="J1558" s="2256"/>
      <c r="N1558" s="2423" t="s">
        <v>1847</v>
      </c>
      <c r="P1558" s="2261">
        <f>J1565</f>
        <v>0</v>
      </c>
    </row>
    <row r="1559" spans="1:35" s="2366" customFormat="1" ht="12.75" customHeight="1">
      <c r="A1559" s="2239"/>
      <c r="B1559" s="2422" t="s">
        <v>2333</v>
      </c>
      <c r="C1559" s="1505" t="s">
        <v>3812</v>
      </c>
      <c r="D1559" s="1505"/>
      <c r="E1559" s="1505"/>
      <c r="F1559" s="2243"/>
      <c r="H1559" s="2029" t="s">
        <v>3816</v>
      </c>
      <c r="J1559" s="2256"/>
      <c r="N1559" s="2423" t="s">
        <v>2333</v>
      </c>
      <c r="P1559" s="2217"/>
    </row>
    <row r="1560" spans="1:35" s="2366" customFormat="1" ht="12.75" customHeight="1">
      <c r="C1560" s="2035" t="s">
        <v>6810</v>
      </c>
      <c r="D1560" s="2035"/>
      <c r="E1560" s="2035"/>
      <c r="F1560" s="2035"/>
      <c r="G1560" s="2035"/>
      <c r="H1560" s="2035"/>
      <c r="I1560" s="2035"/>
      <c r="J1560" s="2035"/>
      <c r="K1560" s="2035"/>
      <c r="L1560" s="2035"/>
      <c r="M1560" s="2035"/>
      <c r="N1560" s="2035"/>
      <c r="O1560" s="2035"/>
      <c r="P1560" s="2035"/>
      <c r="Q1560" s="2017"/>
      <c r="R1560" s="2017"/>
    </row>
    <row r="1561" spans="1:35" s="2366" customFormat="1" ht="3" customHeight="1">
      <c r="A1561" s="2243"/>
      <c r="B1561" s="2424"/>
      <c r="C1561" s="2425"/>
      <c r="D1561" s="1889"/>
      <c r="K1561" s="2350"/>
      <c r="L1561" s="2350"/>
      <c r="M1561" s="1902"/>
      <c r="N1561" s="2423"/>
      <c r="O1561" s="2426"/>
      <c r="P1561" s="2426"/>
    </row>
    <row r="1562" spans="1:35" s="359" customFormat="1" ht="12.75" customHeight="1">
      <c r="A1562" s="2239" t="s">
        <v>1844</v>
      </c>
      <c r="B1562" s="1505" t="s">
        <v>679</v>
      </c>
      <c r="D1562" s="1505"/>
      <c r="E1562" s="1505"/>
      <c r="F1562" s="2243"/>
      <c r="H1562" s="2029" t="s">
        <v>6884</v>
      </c>
      <c r="J1562" s="2256"/>
      <c r="M1562" s="1901"/>
      <c r="N1562" s="2342" t="s">
        <v>1844</v>
      </c>
      <c r="P1562" s="2261">
        <f>O1565</f>
        <v>0</v>
      </c>
      <c r="Q1562" s="362" t="s">
        <v>6882</v>
      </c>
    </row>
    <row r="1563" spans="1:35" s="2366" customFormat="1" ht="3" customHeight="1">
      <c r="A1563" s="2243"/>
      <c r="B1563" s="2424"/>
      <c r="C1563" s="2425"/>
      <c r="D1563" s="1889"/>
      <c r="K1563" s="2350"/>
      <c r="L1563" s="2350"/>
      <c r="M1563" s="1902"/>
      <c r="N1563" s="2423"/>
      <c r="O1563" s="2426"/>
      <c r="P1563" s="2426"/>
    </row>
    <row r="1564" spans="1:35" s="359" customFormat="1" ht="12.75" customHeight="1">
      <c r="A1564" s="2427" t="s">
        <v>6775</v>
      </c>
      <c r="B1564" s="2427"/>
      <c r="C1564" s="2427"/>
      <c r="D1564" s="2427"/>
      <c r="E1564" s="2427"/>
      <c r="F1564" s="1322" t="s">
        <v>3395</v>
      </c>
      <c r="G1564" s="2292" t="s">
        <v>6776</v>
      </c>
      <c r="H1564" s="2292"/>
      <c r="I1564" s="2292"/>
      <c r="J1564" s="1322" t="s">
        <v>3395</v>
      </c>
      <c r="K1564" s="807" t="s">
        <v>6777</v>
      </c>
      <c r="L1564" s="807"/>
      <c r="M1564" s="807"/>
      <c r="N1564" s="807"/>
      <c r="O1564" s="2029" t="s">
        <v>3395</v>
      </c>
      <c r="P1564" s="2029"/>
      <c r="R1564" s="2428"/>
      <c r="S1564" s="2326"/>
    </row>
    <row r="1565" spans="1:35" s="359" customFormat="1" ht="12.75" customHeight="1">
      <c r="A1565" s="2427"/>
      <c r="B1565" s="2427"/>
      <c r="C1565" s="2427"/>
      <c r="D1565" s="2427"/>
      <c r="E1565" s="2427"/>
      <c r="F1565" s="1901">
        <f>SUM(F1566:F1577)</f>
        <v>0</v>
      </c>
      <c r="G1565" s="2292"/>
      <c r="H1565" s="2292"/>
      <c r="I1565" s="2292"/>
      <c r="J1565" s="1901">
        <f>SUM(J1566:J1577)</f>
        <v>0</v>
      </c>
      <c r="K1565" s="807"/>
      <c r="L1565" s="807"/>
      <c r="M1565" s="807"/>
      <c r="N1565" s="807"/>
      <c r="O1565" s="359">
        <f>SUM(O1566:O1577)</f>
        <v>0</v>
      </c>
      <c r="Q1565" s="2428"/>
      <c r="R1565" s="2326"/>
    </row>
    <row r="1566" spans="1:35" s="359" customFormat="1" ht="24.75" customHeight="1">
      <c r="A1566" s="2035">
        <v>1</v>
      </c>
      <c r="B1566" s="2035"/>
      <c r="C1566" s="2035"/>
      <c r="D1566" s="2035"/>
      <c r="E1566" s="2035"/>
      <c r="F1566" s="2410"/>
      <c r="G1566" s="2035">
        <v>1</v>
      </c>
      <c r="H1566" s="2035"/>
      <c r="I1566" s="2035"/>
      <c r="J1566" s="2412" t="s">
        <v>1611</v>
      </c>
      <c r="K1566" s="2035">
        <v>1</v>
      </c>
      <c r="L1566" s="2035"/>
      <c r="M1566" s="2035"/>
      <c r="N1566" s="2035"/>
      <c r="O1566" s="2331" t="s">
        <v>1611</v>
      </c>
      <c r="P1566" s="2331"/>
      <c r="Q1566" s="2017" t="s">
        <v>1181</v>
      </c>
      <c r="R1566" s="2326"/>
    </row>
    <row r="1567" spans="1:35" s="359" customFormat="1" ht="24.75" customHeight="1">
      <c r="A1567" s="2035">
        <v>2</v>
      </c>
      <c r="B1567" s="2035"/>
      <c r="C1567" s="2035"/>
      <c r="D1567" s="2035"/>
      <c r="E1567" s="2035"/>
      <c r="F1567" s="2410"/>
      <c r="G1567" s="2035">
        <v>2</v>
      </c>
      <c r="H1567" s="2035"/>
      <c r="I1567" s="2035"/>
      <c r="J1567" s="2410"/>
      <c r="K1567" s="2035">
        <v>2</v>
      </c>
      <c r="L1567" s="2035"/>
      <c r="M1567" s="2035"/>
      <c r="N1567" s="2035"/>
      <c r="O1567" s="2258"/>
      <c r="P1567" s="2258"/>
      <c r="Q1567" s="2017"/>
      <c r="R1567" s="2326"/>
    </row>
    <row r="1568" spans="1:35" s="359" customFormat="1" ht="24.75" customHeight="1">
      <c r="A1568" s="2035">
        <v>3</v>
      </c>
      <c r="B1568" s="2035"/>
      <c r="C1568" s="2035"/>
      <c r="D1568" s="2035"/>
      <c r="E1568" s="2035"/>
      <c r="F1568" s="2410"/>
      <c r="G1568" s="2035">
        <v>3</v>
      </c>
      <c r="H1568" s="2035"/>
      <c r="I1568" s="2035"/>
      <c r="J1568" s="2429" t="s">
        <v>2579</v>
      </c>
      <c r="K1568" s="2035">
        <v>3</v>
      </c>
      <c r="L1568" s="2035"/>
      <c r="M1568" s="2035"/>
      <c r="N1568" s="2035"/>
      <c r="O1568" s="2331" t="s">
        <v>2579</v>
      </c>
      <c r="P1568" s="2331"/>
      <c r="Q1568" s="2025" t="s">
        <v>6885</v>
      </c>
      <c r="R1568" s="2025"/>
      <c r="S1568" s="2292"/>
      <c r="T1568" s="2292"/>
    </row>
    <row r="1569" spans="1:20" s="359" customFormat="1" ht="24.75" customHeight="1">
      <c r="A1569" s="2035">
        <v>4</v>
      </c>
      <c r="B1569" s="2035"/>
      <c r="C1569" s="2035"/>
      <c r="D1569" s="2035"/>
      <c r="E1569" s="2035"/>
      <c r="F1569" s="2410"/>
      <c r="G1569" s="2035">
        <v>4</v>
      </c>
      <c r="H1569" s="2035"/>
      <c r="I1569" s="2035"/>
      <c r="J1569" s="2410"/>
      <c r="K1569" s="2035">
        <v>4</v>
      </c>
      <c r="L1569" s="2035"/>
      <c r="M1569" s="2035"/>
      <c r="N1569" s="2035"/>
      <c r="O1569" s="2331" t="s">
        <v>2579</v>
      </c>
      <c r="P1569" s="2331"/>
      <c r="Q1569" s="2025"/>
      <c r="R1569" s="2025"/>
      <c r="S1569" s="2292"/>
      <c r="T1569" s="2292"/>
    </row>
    <row r="1570" spans="1:20" s="359" customFormat="1" ht="24.75" customHeight="1">
      <c r="A1570" s="2035">
        <v>5</v>
      </c>
      <c r="B1570" s="2035"/>
      <c r="C1570" s="2035"/>
      <c r="D1570" s="2035"/>
      <c r="E1570" s="2035"/>
      <c r="F1570" s="2410"/>
      <c r="G1570" s="2035">
        <v>5</v>
      </c>
      <c r="H1570" s="2035"/>
      <c r="I1570" s="2035"/>
      <c r="J1570" s="2429" t="s">
        <v>3148</v>
      </c>
      <c r="K1570" s="2035">
        <v>5</v>
      </c>
      <c r="L1570" s="2035"/>
      <c r="M1570" s="2035"/>
      <c r="N1570" s="2035"/>
      <c r="O1570" s="2258"/>
      <c r="P1570" s="2258"/>
      <c r="Q1570" s="2025"/>
      <c r="R1570" s="2025"/>
      <c r="S1570" s="2292"/>
      <c r="T1570" s="2292"/>
    </row>
    <row r="1571" spans="1:20" s="359" customFormat="1" ht="24" customHeight="1">
      <c r="A1571" s="2035">
        <v>6</v>
      </c>
      <c r="B1571" s="2035"/>
      <c r="C1571" s="2035"/>
      <c r="D1571" s="2035"/>
      <c r="E1571" s="2035"/>
      <c r="F1571" s="2410"/>
      <c r="G1571" s="2035">
        <v>6</v>
      </c>
      <c r="H1571" s="2035"/>
      <c r="I1571" s="2035"/>
      <c r="J1571" s="2410"/>
      <c r="K1571" s="2035">
        <v>6</v>
      </c>
      <c r="L1571" s="2035"/>
      <c r="M1571" s="2035"/>
      <c r="N1571" s="2035"/>
      <c r="O1571" s="2258"/>
      <c r="P1571" s="2258"/>
      <c r="Q1571" s="2025"/>
      <c r="R1571" s="2025"/>
    </row>
    <row r="1572" spans="1:20" s="359" customFormat="1" ht="24.75" customHeight="1">
      <c r="A1572" s="2035">
        <v>7</v>
      </c>
      <c r="B1572" s="2035"/>
      <c r="C1572" s="2035"/>
      <c r="D1572" s="2035"/>
      <c r="E1572" s="2035"/>
      <c r="F1572" s="2410"/>
      <c r="G1572" s="2035">
        <v>7</v>
      </c>
      <c r="H1572" s="2035"/>
      <c r="I1572" s="2035"/>
      <c r="J1572" s="2429" t="s">
        <v>3149</v>
      </c>
      <c r="K1572" s="2035">
        <v>7</v>
      </c>
      <c r="L1572" s="2035"/>
      <c r="M1572" s="2035"/>
      <c r="N1572" s="2035"/>
      <c r="O1572" s="2258"/>
      <c r="P1572" s="2258"/>
      <c r="Q1572" s="2326"/>
      <c r="R1572" s="2326"/>
    </row>
    <row r="1573" spans="1:20" s="359" customFormat="1" ht="24.75" customHeight="1">
      <c r="A1573" s="2035">
        <v>8</v>
      </c>
      <c r="B1573" s="2035"/>
      <c r="C1573" s="2035"/>
      <c r="D1573" s="2035"/>
      <c r="E1573" s="2035"/>
      <c r="F1573" s="2410"/>
      <c r="G1573" s="2035">
        <v>8</v>
      </c>
      <c r="H1573" s="2035"/>
      <c r="I1573" s="2035"/>
      <c r="J1573" s="2410"/>
      <c r="K1573" s="2035">
        <v>8</v>
      </c>
      <c r="L1573" s="2035"/>
      <c r="M1573" s="2035"/>
      <c r="N1573" s="2035"/>
      <c r="O1573" s="2258"/>
      <c r="P1573" s="2258"/>
      <c r="Q1573" s="2326"/>
      <c r="R1573" s="2326"/>
    </row>
    <row r="1574" spans="1:20" s="359" customFormat="1" ht="24.75" customHeight="1">
      <c r="A1574" s="2035">
        <v>9</v>
      </c>
      <c r="B1574" s="2035"/>
      <c r="C1574" s="2035"/>
      <c r="D1574" s="2035"/>
      <c r="E1574" s="2035"/>
      <c r="F1574" s="2410"/>
      <c r="G1574" s="2035">
        <v>9</v>
      </c>
      <c r="H1574" s="2035"/>
      <c r="I1574" s="2035"/>
      <c r="J1574" s="2429" t="s">
        <v>3150</v>
      </c>
      <c r="K1574" s="2035">
        <v>9</v>
      </c>
      <c r="L1574" s="2035"/>
      <c r="M1574" s="2035"/>
      <c r="N1574" s="2035"/>
      <c r="O1574" s="2258"/>
      <c r="P1574" s="2258"/>
      <c r="Q1574" s="2326"/>
      <c r="R1574" s="2326"/>
    </row>
    <row r="1575" spans="1:20" s="359" customFormat="1" ht="24.75" customHeight="1">
      <c r="A1575" s="2035">
        <v>10</v>
      </c>
      <c r="B1575" s="2035"/>
      <c r="C1575" s="2035"/>
      <c r="D1575" s="2035"/>
      <c r="E1575" s="2035"/>
      <c r="F1575" s="2410"/>
      <c r="G1575" s="2035">
        <v>10</v>
      </c>
      <c r="H1575" s="2035"/>
      <c r="I1575" s="2035"/>
      <c r="J1575" s="2410"/>
      <c r="K1575" s="2035">
        <v>10</v>
      </c>
      <c r="L1575" s="2035"/>
      <c r="M1575" s="2035"/>
      <c r="N1575" s="2035"/>
      <c r="O1575" s="2258"/>
      <c r="P1575" s="2258"/>
      <c r="Q1575" s="2326"/>
    </row>
    <row r="1576" spans="1:20" s="359" customFormat="1" ht="24.75" customHeight="1">
      <c r="A1576" s="2035">
        <v>11</v>
      </c>
      <c r="B1576" s="2035"/>
      <c r="C1576" s="2035"/>
      <c r="D1576" s="2035"/>
      <c r="E1576" s="2035"/>
      <c r="F1576" s="2410"/>
      <c r="G1576" s="2035">
        <v>11</v>
      </c>
      <c r="H1576" s="2035"/>
      <c r="I1576" s="2035"/>
      <c r="J1576" s="2429" t="s">
        <v>3151</v>
      </c>
      <c r="K1576" s="2035">
        <v>11</v>
      </c>
      <c r="L1576" s="2035"/>
      <c r="M1576" s="2035"/>
      <c r="N1576" s="2035"/>
      <c r="O1576" s="2258"/>
      <c r="P1576" s="2258"/>
      <c r="Q1576" s="2326"/>
      <c r="R1576" s="2326"/>
    </row>
    <row r="1577" spans="1:20" s="359" customFormat="1" ht="24.75" customHeight="1">
      <c r="A1577" s="2035">
        <v>12</v>
      </c>
      <c r="B1577" s="2035"/>
      <c r="C1577" s="2035"/>
      <c r="D1577" s="2035"/>
      <c r="E1577" s="2035"/>
      <c r="F1577" s="2410"/>
      <c r="G1577" s="2035">
        <v>12</v>
      </c>
      <c r="H1577" s="2035"/>
      <c r="I1577" s="2035"/>
      <c r="J1577" s="2410"/>
      <c r="K1577" s="2035">
        <v>12</v>
      </c>
      <c r="L1577" s="2035"/>
      <c r="M1577" s="2035"/>
      <c r="N1577" s="2035"/>
      <c r="O1577" s="2258"/>
      <c r="P1577" s="2258"/>
    </row>
    <row r="1578" spans="1:20" s="2366" customFormat="1" ht="3" customHeight="1">
      <c r="D1578" s="362"/>
      <c r="E1578" s="362"/>
      <c r="F1578" s="1901"/>
      <c r="G1578" s="1901"/>
      <c r="H1578" s="1901"/>
      <c r="I1578" s="1901"/>
      <c r="J1578" s="1875"/>
      <c r="K1578" s="1875"/>
      <c r="L1578" s="1875"/>
      <c r="M1578" s="2243"/>
      <c r="N1578" s="1901"/>
      <c r="O1578" s="1750"/>
      <c r="P1578" s="2293"/>
    </row>
    <row r="1579" spans="1:20" s="2379" customFormat="1" ht="13.5" customHeight="1">
      <c r="A1579" s="2404" t="s">
        <v>1667</v>
      </c>
      <c r="B1579" s="2253" t="s">
        <v>3152</v>
      </c>
      <c r="E1579" s="362"/>
      <c r="G1579" s="362"/>
      <c r="I1579" s="2029" t="s">
        <v>3931</v>
      </c>
      <c r="J1579" s="2415" t="str">
        <f>IF(OR($M$34="9% Credit Competitive Round only", $M$34="9% Credit &amp; HOME"),"9%",IF(OR($M$34="4% Credit/TE Bond", $M$34="4% Credit/TE Bond &amp; HOME", $M$34="4% Credit/TE Bond &amp; HOME NOFA", $M$34="4% Credit &amp; NHTF", $M$34="4% Credit &amp; NHTF &amp; HOME"),"4%",""))</f>
        <v/>
      </c>
      <c r="K1579" s="1322" t="s">
        <v>363</v>
      </c>
      <c r="L1579" s="1322">
        <f>$M$54</f>
        <v>0</v>
      </c>
      <c r="M1579" s="1901">
        <f>'Part VIII Scoring Criteria'!M88</f>
        <v>0</v>
      </c>
      <c r="N1579" s="1901"/>
      <c r="O1579" s="2293">
        <f>'Part VIII Scoring Criteria'!O88</f>
        <v>0</v>
      </c>
      <c r="P1579" s="2293">
        <f>'Part VIII Scoring Criteria'!P88</f>
        <v>0</v>
      </c>
      <c r="Q1579" s="1901" t="s">
        <v>416</v>
      </c>
      <c r="S1579" s="403"/>
    </row>
    <row r="1580" spans="1:20" s="2366" customFormat="1" ht="2.25" customHeight="1">
      <c r="A1580" s="2430"/>
      <c r="B1580" s="2254"/>
      <c r="E1580" s="362"/>
      <c r="F1580" s="2366" t="s">
        <v>3823</v>
      </c>
      <c r="G1580" s="807"/>
      <c r="H1580" s="362"/>
      <c r="I1580" s="2256"/>
      <c r="K1580" s="2431"/>
      <c r="L1580" s="2432"/>
      <c r="M1580" s="1901"/>
      <c r="N1580" s="1901"/>
      <c r="O1580" s="2293"/>
      <c r="P1580" s="2293"/>
      <c r="Q1580" s="1901"/>
      <c r="R1580" s="2433"/>
    </row>
    <row r="1581" spans="1:20" s="2366" customFormat="1" ht="13.5" customHeight="1">
      <c r="A1581" s="2239" t="s">
        <v>1842</v>
      </c>
      <c r="B1581" s="1884" t="s">
        <v>6886</v>
      </c>
      <c r="E1581" s="362"/>
      <c r="G1581" s="807"/>
      <c r="H1581" s="807" t="s">
        <v>6657</v>
      </c>
      <c r="I1581" s="2434" t="str">
        <f>'Part V-Revenues &amp; Expenses'!$O$53</f>
        <v>Income Averaging</v>
      </c>
      <c r="M1581" s="1901"/>
      <c r="N1581" s="1901"/>
      <c r="P1581" s="2119" t="str">
        <f>IF(AND(O1579&gt;0,NOT($M$54="New Supply")), "Ineligible to score in this section, not New Supply!","")</f>
        <v/>
      </c>
      <c r="Q1581" s="1901"/>
      <c r="R1581" s="2433"/>
    </row>
    <row r="1582" spans="1:20" s="2379" customFormat="1" ht="9" customHeight="1">
      <c r="A1582" s="2239"/>
      <c r="B1582" s="1505" t="s">
        <v>3817</v>
      </c>
      <c r="C1582" s="2218"/>
      <c r="D1582" s="2218"/>
      <c r="E1582" s="2218"/>
      <c r="F1582" s="2218"/>
      <c r="G1582" s="2218"/>
      <c r="H1582" s="2218"/>
      <c r="I1582" s="2218"/>
      <c r="J1582" s="2218"/>
      <c r="K1582" s="2218"/>
      <c r="L1582" s="2218"/>
      <c r="M1582" s="1901"/>
      <c r="N1582" s="1901"/>
      <c r="Q1582" s="1901"/>
      <c r="R1582" s="2433"/>
    </row>
    <row r="1583" spans="1:20" s="2379" customFormat="1" ht="13.5" customHeight="1">
      <c r="B1583" s="2218"/>
      <c r="C1583" s="2218"/>
      <c r="D1583" s="2218"/>
      <c r="E1583" s="2218"/>
      <c r="F1583" s="2218"/>
      <c r="G1583" s="2218"/>
      <c r="H1583" s="2218"/>
      <c r="I1583" s="2218"/>
      <c r="J1583" s="2218"/>
      <c r="K1583" s="2218"/>
      <c r="L1583" s="2218"/>
      <c r="M1583" s="1902">
        <v>2</v>
      </c>
      <c r="N1583" s="2423" t="s">
        <v>1842</v>
      </c>
      <c r="O1583" s="2426">
        <f>'Part VIII Scoring Criteria'!O92</f>
        <v>0</v>
      </c>
      <c r="P1583" s="2426">
        <f>'Part VIII Scoring Criteria'!P92</f>
        <v>0</v>
      </c>
    </row>
    <row r="1584" spans="1:20" s="2379" customFormat="1" ht="13.5" customHeight="1">
      <c r="A1584" s="2239"/>
      <c r="B1584" s="2435" t="s">
        <v>1845</v>
      </c>
      <c r="C1584" s="2436" t="s">
        <v>3818</v>
      </c>
      <c r="D1584" s="362"/>
      <c r="H1584" s="362" t="s">
        <v>3819</v>
      </c>
      <c r="I1584" s="2029"/>
      <c r="J1584" s="2437">
        <f>'Part VIII Scoring Criteria'!J93</f>
        <v>54.916666666666664</v>
      </c>
      <c r="L1584" s="2427" t="str">
        <f>IF(AND(O1584&gt;0,O1585&gt;0), "CHOOSE EITHER A OR B, NOT BOTH!", "")</f>
        <v/>
      </c>
      <c r="M1584" s="1902">
        <v>2</v>
      </c>
      <c r="N1584" s="2424" t="s">
        <v>1845</v>
      </c>
      <c r="O1584" s="2438">
        <f>'Part VIII Scoring Criteria'!O93</f>
        <v>0</v>
      </c>
      <c r="P1584" s="2293"/>
      <c r="Q1584" s="2377" t="str">
        <f>IF(OR($O1584=$M1584,$O1584=0,$O1584=""),"","*CHECK!*")</f>
        <v/>
      </c>
      <c r="R1584" s="2030" t="s">
        <v>4064</v>
      </c>
    </row>
    <row r="1585" spans="1:18" s="2379" customFormat="1" ht="13.5" customHeight="1">
      <c r="A1585" s="2342" t="s">
        <v>2987</v>
      </c>
      <c r="B1585" s="2435" t="s">
        <v>1847</v>
      </c>
      <c r="C1585" s="2436" t="s">
        <v>3820</v>
      </c>
      <c r="D1585" s="362"/>
      <c r="I1585" s="2029"/>
      <c r="K1585" s="362"/>
      <c r="L1585" s="2427"/>
      <c r="M1585" s="1902">
        <v>2</v>
      </c>
      <c r="N1585" s="2424" t="s">
        <v>1847</v>
      </c>
      <c r="O1585" s="2438">
        <f>'Part VIII Scoring Criteria'!O94</f>
        <v>0</v>
      </c>
      <c r="P1585" s="2293"/>
      <c r="Q1585" s="2377" t="str">
        <f>IF(OR($O1585=$M1585,$O1585=0,$O1585=""),"","*CHECK!*")</f>
        <v/>
      </c>
      <c r="R1585" s="2030" t="s">
        <v>4064</v>
      </c>
    </row>
    <row r="1586" spans="1:18" s="2366" customFormat="1" ht="6.75" customHeight="1">
      <c r="A1586" s="2243"/>
      <c r="B1586" s="2424"/>
      <c r="C1586" s="2425"/>
      <c r="D1586" s="1889"/>
      <c r="K1586" s="2350"/>
      <c r="L1586" s="2350"/>
      <c r="M1586" s="1902"/>
      <c r="N1586" s="2423"/>
      <c r="O1586" s="2426"/>
      <c r="P1586" s="2426"/>
    </row>
    <row r="1587" spans="1:18" s="2366" customFormat="1" ht="13.5" customHeight="1">
      <c r="A1587" s="2239" t="s">
        <v>1844</v>
      </c>
      <c r="B1587" s="1884" t="s">
        <v>6887</v>
      </c>
      <c r="E1587" s="807"/>
      <c r="H1587" s="2029" t="s">
        <v>3821</v>
      </c>
      <c r="I1587" s="2029"/>
      <c r="J1587" s="2163" t="s">
        <v>3822</v>
      </c>
      <c r="M1587" s="1902">
        <v>3</v>
      </c>
      <c r="N1587" s="2336" t="s">
        <v>1844</v>
      </c>
      <c r="O1587" s="2426">
        <f>'Part VIII Scoring Criteria'!O96</f>
        <v>3</v>
      </c>
      <c r="P1587" s="2426">
        <f>'Part VIII Scoring Criteria'!P96</f>
        <v>0</v>
      </c>
    </row>
    <row r="1588" spans="1:18" s="2366" customFormat="1" ht="13.5" customHeight="1">
      <c r="A1588" s="2439"/>
      <c r="B1588" s="2435" t="s">
        <v>1845</v>
      </c>
      <c r="C1588" s="2440">
        <v>0.3</v>
      </c>
      <c r="D1588" s="2074" t="s">
        <v>3180</v>
      </c>
      <c r="E1588" s="807"/>
      <c r="F1588" s="1873"/>
      <c r="H1588" s="2441">
        <f>'Part VIII Scoring Criteria'!H97</f>
        <v>75</v>
      </c>
      <c r="I1588" s="2442"/>
      <c r="J1588" s="2443">
        <f>'Part V-Revenues &amp; Expenses'!P1556</f>
        <v>0</v>
      </c>
      <c r="K1588" s="2350">
        <f>IF(OR('Part V-Revenues &amp; Expenses'!$P$65="", 'Part V-Revenues &amp; Expenses'!$P$65=0),0,H1588/'Part V-Revenues &amp; Expenses'!$P$65)</f>
        <v>0.625</v>
      </c>
      <c r="L1588" s="2350">
        <f>IF(OR('Part V-Revenues &amp; Expenses'!$P$65="", 'Part V-Revenues &amp; Expenses'!$P$65=0),0,I1588/'Part V-Revenues &amp; Expenses'!$P$65)</f>
        <v>0</v>
      </c>
      <c r="M1588" s="1902"/>
      <c r="N1588" s="2423" t="s">
        <v>1845</v>
      </c>
      <c r="O1588" s="2426" t="str">
        <f>IF(AND(K1588 &gt;= $C$97,O1589="Yes"),"Yes","No")</f>
        <v>Yes</v>
      </c>
      <c r="P1588" s="2426" t="str">
        <f>IF(AND(L1588 &gt;= $C$97,P1589="Yes"),"Yes","No")</f>
        <v>No</v>
      </c>
    </row>
    <row r="1589" spans="1:18" s="2366" customFormat="1" ht="13.5" customHeight="1">
      <c r="A1589" s="2243"/>
      <c r="B1589" s="2435" t="s">
        <v>1847</v>
      </c>
      <c r="C1589" s="1882" t="s">
        <v>3329</v>
      </c>
      <c r="E1589" s="2249"/>
      <c r="F1589" s="1873"/>
      <c r="I1589" s="2399"/>
      <c r="J1589" s="2399"/>
      <c r="K1589" s="2399"/>
      <c r="L1589" s="2399"/>
      <c r="M1589" s="2399"/>
      <c r="N1589" s="2423" t="s">
        <v>1847</v>
      </c>
      <c r="O1589" s="2344" t="str">
        <f>'Part VIII Scoring Criteria'!O98</f>
        <v>Yes</v>
      </c>
      <c r="P1589" s="2243"/>
    </row>
    <row r="1590" spans="1:18" s="2366" customFormat="1" ht="10.5" customHeight="1">
      <c r="A1590" s="359"/>
      <c r="B1590" s="2256" t="s">
        <v>1730</v>
      </c>
      <c r="D1590" s="2328"/>
      <c r="E1590" s="2330"/>
      <c r="F1590" s="2330"/>
      <c r="G1590" s="2330"/>
      <c r="H1590" s="2330"/>
      <c r="I1590" s="2330"/>
      <c r="J1590" s="2330"/>
      <c r="K1590" s="2330"/>
      <c r="L1590" s="2330"/>
      <c r="M1590" s="2330"/>
      <c r="N1590" s="2410"/>
      <c r="O1590" s="2410"/>
      <c r="P1590" s="1901"/>
    </row>
    <row r="1591" spans="1:18" s="2366" customFormat="1" ht="15">
      <c r="A1591" s="2331"/>
      <c r="B1591" s="2331"/>
      <c r="C1591" s="2331"/>
      <c r="D1591" s="2331"/>
      <c r="E1591" s="2331"/>
      <c r="F1591" s="2331"/>
      <c r="G1591" s="2331"/>
      <c r="H1591" s="2331"/>
      <c r="I1591" s="2331"/>
      <c r="J1591" s="2331"/>
      <c r="K1591" s="2331"/>
      <c r="L1591" s="2331"/>
      <c r="M1591" s="2331"/>
      <c r="N1591" s="2331"/>
      <c r="O1591" s="2331"/>
      <c r="P1591" s="2331"/>
      <c r="Q1591" s="2017"/>
    </row>
    <row r="1592" spans="1:18" ht="7.5" customHeight="1">
      <c r="N1592" s="1750"/>
      <c r="O1592" s="1750"/>
      <c r="P1592" s="1750"/>
    </row>
    <row r="1593" spans="1:18" s="2366" customFormat="1" ht="13.5" customHeight="1">
      <c r="A1593" s="2404" t="s">
        <v>1669</v>
      </c>
      <c r="B1593" s="2253" t="s">
        <v>3372</v>
      </c>
      <c r="D1593" s="2444"/>
      <c r="K1593" s="1322" t="s">
        <v>363</v>
      </c>
      <c r="L1593" s="1322" t="str">
        <f>M1545</f>
        <v>Preservation</v>
      </c>
      <c r="M1593" s="1901">
        <f>'Part VIII Scoring Criteria'!M102</f>
        <v>0</v>
      </c>
      <c r="N1593" s="2342"/>
      <c r="O1593" s="2293">
        <f>'Part VIII Scoring Criteria'!O102</f>
        <v>0</v>
      </c>
      <c r="P1593" s="2293">
        <f>'Part VIII Scoring Criteria'!P102</f>
        <v>0</v>
      </c>
      <c r="Q1593" s="1901" t="s">
        <v>416</v>
      </c>
    </row>
    <row r="1594" spans="1:18" s="2366" customFormat="1" ht="15">
      <c r="A1594" s="359"/>
      <c r="B1594" s="2161" t="s">
        <v>3256</v>
      </c>
      <c r="D1594" s="362"/>
      <c r="E1594" s="362"/>
      <c r="F1594" s="1901"/>
      <c r="G1594" s="1901"/>
      <c r="H1594" s="2039"/>
      <c r="I1594" s="2039"/>
      <c r="J1594" s="2039"/>
      <c r="K1594" s="2039"/>
      <c r="M1594" s="2243"/>
      <c r="N1594" s="1901"/>
      <c r="O1594" s="1750"/>
      <c r="P1594" s="2342" t="str">
        <f>IF(AND(O1593&gt;0,NOT($M$54="New Supply")), "Ineligible to score in this section, not New Supply!","")</f>
        <v/>
      </c>
    </row>
    <row r="1595" spans="1:18" s="2379" customFormat="1" ht="12.75" customHeight="1">
      <c r="A1595" s="2239"/>
      <c r="B1595" s="362" t="s">
        <v>3289</v>
      </c>
      <c r="D1595" s="359"/>
      <c r="N1595" s="2342"/>
      <c r="O1595" s="2235" t="str">
        <f>'Part VIII Scoring Criteria'!O104</f>
        <v>N/a</v>
      </c>
      <c r="P1595" s="1902"/>
    </row>
    <row r="1596" spans="1:18" s="2379" customFormat="1" ht="12.75" customHeight="1">
      <c r="A1596" s="2239" t="s">
        <v>1842</v>
      </c>
      <c r="B1596" s="1505" t="s">
        <v>1737</v>
      </c>
      <c r="C1596" s="359"/>
      <c r="D1596" s="359"/>
      <c r="F1596" s="1821"/>
      <c r="H1596" s="2119" t="s">
        <v>2470</v>
      </c>
      <c r="I1596" s="2039" t="s">
        <v>6888</v>
      </c>
      <c r="J1596" s="2039"/>
      <c r="K1596" s="2039"/>
      <c r="L1596" s="2039"/>
      <c r="M1596" s="1901">
        <f>'Part VIII Scoring Criteria'!M105</f>
        <v>0</v>
      </c>
      <c r="N1596" s="2424" t="s">
        <v>1842</v>
      </c>
      <c r="O1596" s="2445">
        <f>'Part VIII Scoring Criteria'!O105</f>
        <v>0</v>
      </c>
      <c r="P1596" s="2446"/>
      <c r="Q1596" s="2377"/>
      <c r="R1596" s="2030" t="s">
        <v>4064</v>
      </c>
    </row>
    <row r="1597" spans="1:18" s="2379" customFormat="1" ht="12.75" customHeight="1">
      <c r="A1597" s="2239" t="s">
        <v>1844</v>
      </c>
      <c r="B1597" s="1505" t="s">
        <v>3283</v>
      </c>
      <c r="D1597" s="2447"/>
      <c r="F1597" s="2111"/>
      <c r="H1597" s="2119" t="s">
        <v>3342</v>
      </c>
      <c r="I1597" s="2039"/>
      <c r="J1597" s="2039"/>
      <c r="K1597" s="2039"/>
      <c r="L1597" s="2039"/>
      <c r="M1597" s="2243" t="s">
        <v>1165</v>
      </c>
      <c r="N1597" s="2342" t="s">
        <v>1844</v>
      </c>
      <c r="O1597" s="2445">
        <f>'Part VIII Scoring Criteria'!O106</f>
        <v>0</v>
      </c>
      <c r="P1597" s="2446"/>
      <c r="R1597" s="2030" t="s">
        <v>4064</v>
      </c>
    </row>
    <row r="1598" spans="1:18" s="2366" customFormat="1" ht="12.75" customHeight="1">
      <c r="A1598" s="359"/>
      <c r="B1598" s="2256" t="s">
        <v>3244</v>
      </c>
      <c r="C1598" s="359"/>
      <c r="D1598" s="1505"/>
      <c r="E1598" s="1505"/>
      <c r="F1598" s="1505"/>
      <c r="G1598" s="1505"/>
      <c r="H1598" s="362"/>
      <c r="I1598" s="2039"/>
      <c r="J1598" s="2039"/>
      <c r="K1598" s="2039"/>
      <c r="L1598" s="2039"/>
      <c r="M1598" s="1901"/>
      <c r="N1598" s="1750"/>
      <c r="O1598" s="2293"/>
      <c r="P1598" s="1750"/>
    </row>
    <row r="1599" spans="1:18" s="2366" customFormat="1" ht="112.5">
      <c r="A1599" s="2327" t="str">
        <f>'Part VIII Scoring Criteria'!A108</f>
        <v>The applicant is not claiming points in this section as it is a 4% RAD Preservation.</v>
      </c>
      <c r="B1599" s="2327"/>
      <c r="C1599" s="2327"/>
      <c r="D1599" s="2327"/>
      <c r="E1599" s="2327"/>
      <c r="F1599" s="2327"/>
      <c r="G1599" s="2327"/>
      <c r="H1599" s="2327"/>
      <c r="I1599" s="2327"/>
      <c r="J1599" s="2327"/>
      <c r="K1599" s="2327"/>
      <c r="L1599" s="2327"/>
      <c r="M1599" s="2327"/>
      <c r="N1599" s="2327"/>
      <c r="O1599" s="2327"/>
      <c r="P1599" s="2327"/>
      <c r="Q1599" s="2017" t="s">
        <v>1181</v>
      </c>
      <c r="R1599" s="2017"/>
    </row>
    <row r="1600" spans="1:18" s="2366" customFormat="1" ht="11.45" customHeight="1">
      <c r="A1600" s="359"/>
      <c r="B1600" s="2256" t="s">
        <v>1730</v>
      </c>
      <c r="C1600" s="359"/>
      <c r="D1600" s="2328"/>
      <c r="E1600" s="2330"/>
      <c r="F1600" s="2330"/>
      <c r="G1600" s="2330"/>
      <c r="H1600" s="2330"/>
      <c r="I1600" s="2330"/>
      <c r="J1600" s="2330"/>
      <c r="K1600" s="2330"/>
      <c r="L1600" s="2330"/>
      <c r="M1600" s="2330"/>
      <c r="N1600" s="2410"/>
      <c r="O1600" s="2410"/>
      <c r="P1600" s="1901"/>
    </row>
    <row r="1601" spans="1:21" s="2366" customFormat="1" ht="15">
      <c r="A1601" s="2331"/>
      <c r="B1601" s="2331"/>
      <c r="C1601" s="2331"/>
      <c r="D1601" s="2331"/>
      <c r="E1601" s="2331"/>
      <c r="F1601" s="2331"/>
      <c r="G1601" s="2331"/>
      <c r="H1601" s="2331"/>
      <c r="I1601" s="2331"/>
      <c r="J1601" s="2331"/>
      <c r="K1601" s="2331"/>
      <c r="L1601" s="2331"/>
      <c r="M1601" s="2331"/>
      <c r="N1601" s="2331"/>
      <c r="O1601" s="2331"/>
      <c r="P1601" s="2331"/>
      <c r="Q1601" s="2017"/>
      <c r="R1601" s="2017"/>
    </row>
    <row r="1602" spans="1:21" ht="7.5" customHeight="1">
      <c r="M1602" s="359"/>
      <c r="N1602" s="1901"/>
      <c r="O1602" s="1901"/>
      <c r="P1602" s="1901"/>
    </row>
    <row r="1603" spans="1:21" s="2366" customFormat="1" ht="13.5" customHeight="1">
      <c r="A1603" s="2404" t="s">
        <v>496</v>
      </c>
      <c r="B1603" s="2253" t="s">
        <v>2415</v>
      </c>
      <c r="D1603" s="2444"/>
      <c r="H1603" s="2448" t="s">
        <v>6151</v>
      </c>
      <c r="I1603" s="2161" t="s">
        <v>6147</v>
      </c>
      <c r="J1603" s="1322" t="str">
        <f>M1550</f>
        <v>N/A-4%</v>
      </c>
      <c r="K1603" s="1322" t="s">
        <v>363</v>
      </c>
      <c r="L1603" s="1322" t="str">
        <f>M1545</f>
        <v>Preservation</v>
      </c>
      <c r="M1603" s="1901">
        <f>'Part VIII Scoring Criteria'!M112</f>
        <v>0</v>
      </c>
      <c r="N1603" s="2342"/>
      <c r="O1603" s="2402">
        <f>'Part VIII Scoring Criteria'!O112</f>
        <v>0</v>
      </c>
      <c r="P1603" s="2402">
        <f>'Part VIII Scoring Criteria'!P112</f>
        <v>0</v>
      </c>
      <c r="Q1603" s="1901" t="s">
        <v>416</v>
      </c>
      <c r="R1603" s="2449"/>
      <c r="S1603" s="2449"/>
      <c r="T1603" s="2449"/>
      <c r="U1603" s="2449"/>
    </row>
    <row r="1604" spans="1:21" s="2366" customFormat="1" ht="17.25" customHeight="1">
      <c r="A1604" s="2404"/>
      <c r="B1604" s="1505" t="s">
        <v>3330</v>
      </c>
      <c r="D1604" s="2444"/>
      <c r="H1604" s="1505"/>
      <c r="L1604" s="1322" t="str">
        <f>IF(AND(O1603&gt;0,NOT($M$54="New Supply")), "Ineligible to score in this section, not New Supply!","")</f>
        <v/>
      </c>
      <c r="M1604" s="1901"/>
      <c r="N1604" s="2342"/>
      <c r="O1604" s="2450" t="s">
        <v>3153</v>
      </c>
      <c r="P1604" s="2450" t="s">
        <v>3154</v>
      </c>
      <c r="Q1604" s="1901"/>
      <c r="R1604" s="2449"/>
      <c r="S1604" s="2449"/>
      <c r="T1604" s="2449"/>
      <c r="U1604" s="2449"/>
    </row>
    <row r="1605" spans="1:21" s="2366" customFormat="1" ht="11.25" customHeight="1">
      <c r="A1605" s="2404"/>
      <c r="B1605" s="2451" t="s">
        <v>1845</v>
      </c>
      <c r="C1605" s="362" t="s">
        <v>3824</v>
      </c>
      <c r="D1605" s="2447"/>
      <c r="E1605" s="2379"/>
      <c r="F1605" s="2379"/>
      <c r="G1605" s="2379"/>
      <c r="H1605" s="2256"/>
      <c r="I1605" s="2256"/>
      <c r="M1605" s="1901"/>
      <c r="N1605" s="2342"/>
      <c r="O1605" s="2344" t="str">
        <f>'Part VIII Scoring Criteria'!O114</f>
        <v>N/a</v>
      </c>
      <c r="P1605" s="2243"/>
      <c r="Q1605" s="1901"/>
      <c r="R1605" s="2449"/>
      <c r="S1605" s="2449"/>
      <c r="T1605" s="2449"/>
      <c r="U1605" s="2449"/>
    </row>
    <row r="1606" spans="1:21" s="2366" customFormat="1" ht="11.25" customHeight="1">
      <c r="A1606" s="2404"/>
      <c r="B1606" s="2451" t="s">
        <v>1847</v>
      </c>
      <c r="C1606" s="362" t="s">
        <v>3825</v>
      </c>
      <c r="D1606" s="2447"/>
      <c r="E1606" s="2379"/>
      <c r="F1606" s="2379"/>
      <c r="G1606" s="2379"/>
      <c r="H1606" s="2256"/>
      <c r="I1606" s="2256"/>
      <c r="J1606" s="1505"/>
      <c r="K1606" s="1505"/>
      <c r="L1606" s="2379"/>
      <c r="M1606" s="2379"/>
      <c r="N1606" s="2342"/>
      <c r="O1606" s="2344" t="str">
        <f>'Part VIII Scoring Criteria'!O115</f>
        <v>N/a</v>
      </c>
      <c r="P1606" s="2243"/>
      <c r="Q1606" s="1901"/>
      <c r="R1606" s="2449"/>
      <c r="S1606" s="2449"/>
      <c r="T1606" s="2449"/>
      <c r="U1606" s="2449"/>
    </row>
    <row r="1607" spans="1:21" s="2366" customFormat="1" ht="11.25" customHeight="1">
      <c r="A1607" s="2404"/>
      <c r="B1607" s="2451" t="s">
        <v>2333</v>
      </c>
      <c r="C1607" s="362" t="s">
        <v>6153</v>
      </c>
      <c r="D1607" s="2447"/>
      <c r="E1607" s="2379"/>
      <c r="F1607" s="2379"/>
      <c r="G1607" s="2379"/>
      <c r="H1607" s="2256"/>
      <c r="I1607" s="2256"/>
      <c r="J1607" s="1505"/>
      <c r="K1607" s="1505"/>
      <c r="L1607" s="2379"/>
      <c r="M1607" s="2379"/>
      <c r="N1607" s="2342"/>
      <c r="O1607" s="2344" t="str">
        <f>'Part VIII Scoring Criteria'!O116</f>
        <v>N/a</v>
      </c>
      <c r="P1607" s="2243"/>
      <c r="Q1607" s="1901"/>
      <c r="R1607" s="2449"/>
      <c r="S1607" s="2449"/>
      <c r="T1607" s="2449"/>
      <c r="U1607" s="2449"/>
    </row>
    <row r="1608" spans="1:21" s="2366" customFormat="1" ht="11.25" customHeight="1">
      <c r="A1608" s="2404"/>
      <c r="B1608" s="2451" t="s">
        <v>1151</v>
      </c>
      <c r="C1608" s="362" t="s">
        <v>6889</v>
      </c>
      <c r="D1608" s="2447"/>
      <c r="E1608" s="2379"/>
      <c r="F1608" s="2379"/>
      <c r="G1608" s="2379"/>
      <c r="H1608" s="2256"/>
      <c r="I1608" s="2256"/>
      <c r="J1608" s="1505"/>
      <c r="K1608" s="1505"/>
      <c r="L1608" s="2379"/>
      <c r="M1608" s="2379"/>
      <c r="N1608" s="2342"/>
      <c r="O1608" s="2344" t="str">
        <f>'Part VIII Scoring Criteria'!O117</f>
        <v>N/a</v>
      </c>
      <c r="P1608" s="2243"/>
      <c r="Q1608" s="1901"/>
      <c r="R1608" s="2449"/>
      <c r="S1608" s="2449"/>
      <c r="T1608" s="2449"/>
      <c r="U1608" s="2449"/>
    </row>
    <row r="1609" spans="1:21" s="2366" customFormat="1" ht="11.25" customHeight="1">
      <c r="A1609" s="2404"/>
      <c r="B1609" s="2451">
        <v>5</v>
      </c>
      <c r="C1609" s="362" t="s">
        <v>6578</v>
      </c>
      <c r="D1609" s="2447"/>
      <c r="E1609" s="2379"/>
      <c r="F1609" s="2379"/>
      <c r="G1609" s="2379"/>
      <c r="H1609" s="2256"/>
      <c r="I1609" s="2256"/>
      <c r="J1609" s="1505"/>
      <c r="K1609" s="1505"/>
      <c r="L1609" s="2379"/>
      <c r="M1609" s="2379"/>
      <c r="N1609" s="2342"/>
      <c r="O1609" s="2344" t="str">
        <f>'Part VIII Scoring Criteria'!O118</f>
        <v>N/a</v>
      </c>
      <c r="P1609" s="2243"/>
      <c r="Q1609" s="1901"/>
      <c r="R1609" s="2449"/>
      <c r="S1609" s="2449"/>
      <c r="T1609" s="2449"/>
      <c r="U1609" s="2449"/>
    </row>
    <row r="1610" spans="1:21" s="2366" customFormat="1" ht="3" customHeight="1">
      <c r="A1610" s="2404"/>
      <c r="C1610" s="362"/>
      <c r="D1610" s="2447"/>
      <c r="E1610" s="2379"/>
      <c r="F1610" s="2379"/>
      <c r="G1610" s="2379"/>
      <c r="H1610" s="2256"/>
      <c r="I1610" s="2256"/>
      <c r="J1610" s="1505"/>
      <c r="K1610" s="1505"/>
      <c r="L1610" s="2379"/>
      <c r="M1610" s="2379"/>
      <c r="N1610" s="2342"/>
      <c r="O1610" s="2342"/>
      <c r="P1610" s="2342"/>
      <c r="Q1610" s="1901"/>
      <c r="R1610" s="2449"/>
      <c r="S1610" s="2449"/>
      <c r="T1610" s="2449"/>
      <c r="U1610" s="2449"/>
    </row>
    <row r="1611" spans="1:21" s="2366" customFormat="1" ht="11.25" customHeight="1">
      <c r="A1611" s="2404"/>
      <c r="B1611" s="2452" t="s">
        <v>6581</v>
      </c>
      <c r="C1611" s="362"/>
      <c r="D1611" s="2447"/>
      <c r="E1611" s="2379"/>
      <c r="F1611" s="2379"/>
      <c r="G1611" s="2379"/>
      <c r="H1611" s="2256"/>
      <c r="I1611" s="2256"/>
      <c r="J1611" s="1505"/>
      <c r="K1611" s="1505"/>
      <c r="L1611" s="2379"/>
      <c r="M1611" s="2379"/>
      <c r="N1611" s="2342"/>
      <c r="O1611" s="2342"/>
      <c r="P1611" s="2342"/>
      <c r="Q1611" s="1901"/>
      <c r="R1611" s="2449"/>
      <c r="S1611" s="2449"/>
      <c r="T1611" s="2449"/>
      <c r="U1611" s="2449"/>
    </row>
    <row r="1612" spans="1:21" s="2366" customFormat="1" ht="1.5" customHeight="1">
      <c r="A1612" s="2404"/>
      <c r="B1612" s="2253"/>
      <c r="D1612" s="2444"/>
      <c r="H1612" s="2256"/>
      <c r="I1612" s="2256"/>
      <c r="J1612" s="1505"/>
      <c r="K1612" s="1505"/>
      <c r="M1612" s="1901"/>
      <c r="N1612" s="2342"/>
      <c r="O1612" s="2293"/>
      <c r="P1612" s="2293"/>
      <c r="Q1612" s="1901"/>
      <c r="R1612" s="2449"/>
      <c r="S1612" s="2449"/>
      <c r="T1612" s="2449"/>
      <c r="U1612" s="2449"/>
    </row>
    <row r="1613" spans="1:21" s="2366" customFormat="1" ht="12.75" customHeight="1">
      <c r="A1613" s="2404"/>
      <c r="B1613" s="1505" t="s">
        <v>3331</v>
      </c>
      <c r="D1613" s="2444"/>
      <c r="F1613" s="1505" t="s">
        <v>3219</v>
      </c>
      <c r="G1613" s="1505"/>
      <c r="H1613" s="1505"/>
      <c r="I1613" s="1505"/>
      <c r="J1613" s="1505" t="s">
        <v>3220</v>
      </c>
      <c r="K1613" s="1505"/>
      <c r="L1613" s="1505"/>
      <c r="M1613" s="1505"/>
      <c r="N1613" s="2342"/>
      <c r="O1613" s="2164" t="s">
        <v>6890</v>
      </c>
      <c r="P1613" s="2164"/>
      <c r="Q1613" s="1901"/>
      <c r="R1613" s="2449"/>
      <c r="S1613" s="2449"/>
      <c r="T1613" s="2449"/>
      <c r="U1613" s="2449"/>
    </row>
    <row r="1614" spans="1:21" s="2366" customFormat="1" ht="12" customHeight="1">
      <c r="B1614" s="2452"/>
      <c r="C1614" s="2029" t="s">
        <v>6778</v>
      </c>
      <c r="E1614" s="2046"/>
      <c r="F1614" s="2026">
        <f>'Part VIII Scoring Criteria'!F123</f>
        <v>0</v>
      </c>
      <c r="G1614" s="2026"/>
      <c r="H1614" s="1821"/>
      <c r="I1614" s="1821"/>
      <c r="J1614" s="2026">
        <f>'Part VIII Scoring Criteria'!J123</f>
        <v>0</v>
      </c>
      <c r="K1614" s="2026"/>
      <c r="L1614" s="1821"/>
      <c r="M1614" s="1821"/>
      <c r="N1614" s="2342"/>
      <c r="Q1614" s="1901"/>
      <c r="R1614" s="2449"/>
      <c r="S1614" s="2449"/>
      <c r="T1614" s="2449"/>
      <c r="U1614" s="2449"/>
    </row>
    <row r="1615" spans="1:21" s="2366" customFormat="1" ht="12" customHeight="1">
      <c r="A1615" s="2452"/>
      <c r="B1615" s="2452"/>
      <c r="C1615" s="2452"/>
      <c r="D1615" s="403"/>
      <c r="E1615" s="2119" t="s">
        <v>6154</v>
      </c>
      <c r="F1615" s="2026">
        <f>'Part VIII Scoring Criteria'!F124</f>
        <v>0</v>
      </c>
      <c r="G1615" s="2026"/>
      <c r="H1615" s="1821"/>
      <c r="I1615" s="1821"/>
      <c r="J1615" s="2026">
        <f>'Part VIII Scoring Criteria'!J124</f>
        <v>0</v>
      </c>
      <c r="K1615" s="2026"/>
      <c r="L1615" s="1821"/>
      <c r="M1615" s="1821"/>
      <c r="N1615" s="2342"/>
      <c r="O1615" s="2453">
        <f>'Part VIII Scoring Criteria'!O124</f>
        <v>0</v>
      </c>
      <c r="P1615" s="2454"/>
      <c r="Q1615" s="1901"/>
      <c r="R1615" s="2449"/>
      <c r="S1615" s="2449"/>
      <c r="T1615" s="2449"/>
      <c r="U1615" s="2449"/>
    </row>
    <row r="1616" spans="1:21" s="2366" customFormat="1" ht="12" customHeight="1">
      <c r="A1616" s="2455" t="s">
        <v>6687</v>
      </c>
      <c r="B1616" s="2455"/>
      <c r="C1616" s="2029" t="s">
        <v>6779</v>
      </c>
      <c r="E1616" s="2046"/>
      <c r="F1616" s="2026">
        <f>'Part VIII Scoring Criteria'!F125</f>
        <v>0</v>
      </c>
      <c r="G1616" s="2026"/>
      <c r="H1616" s="1821"/>
      <c r="I1616" s="1821"/>
      <c r="J1616" s="2026">
        <f>'Part VIII Scoring Criteria'!J125</f>
        <v>0</v>
      </c>
      <c r="K1616" s="2026"/>
      <c r="L1616" s="1821"/>
      <c r="M1616" s="1821"/>
      <c r="N1616" s="2342"/>
      <c r="O1616" s="2342"/>
      <c r="P1616" s="2342"/>
      <c r="Q1616" s="1901"/>
      <c r="R1616" s="2449"/>
      <c r="S1616" s="2449"/>
      <c r="T1616" s="2449"/>
      <c r="U1616" s="2449"/>
    </row>
    <row r="1617" spans="1:21" s="2366" customFormat="1" ht="12" customHeight="1">
      <c r="A1617" s="2455"/>
      <c r="B1617" s="2455"/>
      <c r="C1617" s="403"/>
      <c r="D1617" s="403"/>
      <c r="E1617" s="2119" t="s">
        <v>3370</v>
      </c>
      <c r="F1617" s="2026">
        <f>'Part VIII Scoring Criteria'!F126</f>
        <v>0</v>
      </c>
      <c r="G1617" s="2026"/>
      <c r="H1617" s="1821"/>
      <c r="I1617" s="1821"/>
      <c r="J1617" s="2026">
        <f>'Part VIII Scoring Criteria'!J126</f>
        <v>0</v>
      </c>
      <c r="K1617" s="2026"/>
      <c r="L1617" s="1821"/>
      <c r="M1617" s="1821"/>
      <c r="N1617" s="2342"/>
      <c r="O1617" s="2453">
        <f>'Part VIII Scoring Criteria'!O126</f>
        <v>0</v>
      </c>
      <c r="P1617" s="2454"/>
      <c r="Q1617" s="1901"/>
      <c r="R1617" s="2449"/>
      <c r="S1617" s="2449"/>
      <c r="T1617" s="2449"/>
      <c r="U1617" s="2449"/>
    </row>
    <row r="1618" spans="1:21" s="2366" customFormat="1" ht="9" customHeight="1">
      <c r="A1618" s="2404"/>
      <c r="B1618" s="2253"/>
      <c r="D1618" s="2444"/>
      <c r="H1618" s="2256"/>
      <c r="I1618" s="2256"/>
      <c r="J1618" s="1505"/>
      <c r="K1618" s="1505"/>
      <c r="M1618" s="1901"/>
      <c r="N1618" s="2342"/>
      <c r="O1618" s="2293"/>
      <c r="P1618" s="2293"/>
      <c r="Q1618" s="1901"/>
      <c r="R1618" s="2449"/>
      <c r="S1618" s="2449"/>
      <c r="T1618" s="2449"/>
      <c r="U1618" s="2449"/>
    </row>
    <row r="1619" spans="1:21" s="2366" customFormat="1" ht="12.6" customHeight="1">
      <c r="A1619" s="2267" t="s">
        <v>6891</v>
      </c>
      <c r="B1619" s="2253"/>
      <c r="D1619" s="2444"/>
      <c r="I1619" s="359" t="str">
        <f>IF(AND(O1621&gt;0,O1628&gt;0),"Pick A or B, not both!","")</f>
        <v/>
      </c>
      <c r="J1619" s="359"/>
      <c r="K1619" s="359" t="str">
        <f>IF(AND(P1621&gt;0,P1628&gt;0),"Pick A or B, not both!","")</f>
        <v/>
      </c>
      <c r="L1619" s="359"/>
      <c r="M1619" s="1901"/>
      <c r="N1619" s="1901"/>
      <c r="O1619" s="1901"/>
      <c r="P1619" s="1901"/>
      <c r="Q1619" s="1901"/>
      <c r="R1619" s="2449"/>
      <c r="S1619" s="2449"/>
      <c r="T1619" s="2449"/>
      <c r="U1619" s="2449"/>
    </row>
    <row r="1620" spans="1:21" s="2366" customFormat="1" ht="2.25" customHeight="1">
      <c r="A1620" s="2456"/>
      <c r="B1620" s="2253"/>
      <c r="D1620" s="2444"/>
      <c r="F1620" s="2268"/>
      <c r="M1620" s="1901"/>
      <c r="N1620" s="1901"/>
      <c r="O1620" s="1901"/>
      <c r="P1620" s="1901"/>
      <c r="Q1620" s="1901"/>
      <c r="R1620" s="2449"/>
      <c r="S1620" s="2449"/>
      <c r="T1620" s="2449"/>
      <c r="U1620" s="2449"/>
    </row>
    <row r="1621" spans="1:21" s="2366" customFormat="1" ht="12.6" customHeight="1">
      <c r="A1621" s="2345" t="s">
        <v>1842</v>
      </c>
      <c r="B1621" s="1505" t="s">
        <v>3241</v>
      </c>
      <c r="D1621" s="2444"/>
      <c r="F1621" s="2256" t="s">
        <v>6892</v>
      </c>
      <c r="M1621" s="1901">
        <v>6</v>
      </c>
      <c r="N1621" s="2423" t="s">
        <v>1842</v>
      </c>
      <c r="O1621" s="2402">
        <f>'Part VIII Scoring Criteria'!O130</f>
        <v>0</v>
      </c>
      <c r="P1621" s="2402">
        <f>'Part VIII Scoring Criteria'!P130</f>
        <v>0</v>
      </c>
      <c r="Q1621" s="1901"/>
    </row>
    <row r="1622" spans="1:21" s="2366" customFormat="1" ht="12.6" customHeight="1">
      <c r="A1622" s="2345"/>
      <c r="B1622" s="362" t="s">
        <v>6155</v>
      </c>
      <c r="D1622" s="2444"/>
      <c r="F1622" s="2256"/>
      <c r="M1622" s="1901"/>
      <c r="N1622" s="2423"/>
      <c r="O1622" s="2344">
        <f>'Part VIII Scoring Criteria'!O131</f>
        <v>0</v>
      </c>
      <c r="P1622" s="2243"/>
      <c r="Q1622" s="1901"/>
    </row>
    <row r="1623" spans="1:21" s="2457" customFormat="1" ht="15">
      <c r="B1623" s="2458" t="s">
        <v>1845</v>
      </c>
      <c r="C1623" s="2074" t="s">
        <v>6893</v>
      </c>
      <c r="D1623" s="2035"/>
      <c r="E1623" s="2035"/>
      <c r="F1623" s="2035"/>
      <c r="G1623" s="2035"/>
      <c r="H1623" s="2035"/>
      <c r="I1623" s="2035"/>
      <c r="J1623" s="2035"/>
      <c r="K1623" s="2035"/>
      <c r="L1623" s="2035"/>
      <c r="M1623" s="1886">
        <v>6</v>
      </c>
      <c r="N1623" s="2458" t="s">
        <v>1845</v>
      </c>
      <c r="O1623" s="2459">
        <f>'Part VIII Scoring Criteria'!O132</f>
        <v>0</v>
      </c>
      <c r="P1623" s="2460"/>
      <c r="Q1623" s="2377"/>
      <c r="R1623" s="2030" t="s">
        <v>4064</v>
      </c>
    </row>
    <row r="1624" spans="1:21" s="2457" customFormat="1" ht="12" customHeight="1">
      <c r="A1624" s="2243" t="s">
        <v>1276</v>
      </c>
      <c r="B1624" s="2458" t="s">
        <v>1847</v>
      </c>
      <c r="C1624" s="2029" t="s">
        <v>6894</v>
      </c>
      <c r="D1624" s="2039"/>
      <c r="E1624" s="2039"/>
      <c r="F1624" s="2039"/>
      <c r="G1624" s="2035"/>
      <c r="J1624" s="2039" t="s">
        <v>6895</v>
      </c>
      <c r="K1624" s="2039"/>
      <c r="L1624" s="2039"/>
      <c r="M1624" s="1902">
        <v>5</v>
      </c>
      <c r="N1624" s="2451" t="s">
        <v>1847</v>
      </c>
      <c r="O1624" s="2461">
        <f>'Part VIII Scoring Criteria'!O133</f>
        <v>0</v>
      </c>
      <c r="P1624" s="2402"/>
      <c r="Q1624" s="2119" t="s">
        <v>6682</v>
      </c>
      <c r="R1624" s="1322" t="s">
        <v>6272</v>
      </c>
      <c r="S1624" s="1322" t="s">
        <v>6152</v>
      </c>
    </row>
    <row r="1625" spans="1:21" s="2457" customFormat="1" ht="12" customHeight="1">
      <c r="B1625" s="2458"/>
      <c r="C1625" s="2029"/>
      <c r="D1625" s="2039"/>
      <c r="E1625" s="2039"/>
      <c r="F1625" s="2039"/>
      <c r="G1625" s="2035"/>
      <c r="H1625" s="2039" t="s">
        <v>6896</v>
      </c>
      <c r="I1625" s="2039"/>
      <c r="J1625" s="2039"/>
      <c r="K1625" s="2039"/>
      <c r="L1625" s="2039"/>
      <c r="M1625" s="362" t="str">
        <f>IF(AND(O1624&gt;0,O1623&gt;0),"Pick A1 or A2!","")</f>
        <v/>
      </c>
      <c r="N1625" s="362"/>
      <c r="O1625" s="362"/>
      <c r="P1625" s="362"/>
      <c r="Q1625" s="2462"/>
      <c r="R1625" s="2243">
        <v>0.25</v>
      </c>
      <c r="S1625" s="2243">
        <v>5</v>
      </c>
    </row>
    <row r="1626" spans="1:21" s="2457" customFormat="1" ht="12" customHeight="1">
      <c r="B1626" s="2458"/>
      <c r="C1626" s="2029"/>
      <c r="D1626" s="2039"/>
      <c r="E1626" s="2039"/>
      <c r="F1626" s="2039"/>
      <c r="G1626" s="2035"/>
      <c r="H1626" s="2463">
        <f>'Part VIII Scoring Criteria'!H135</f>
        <v>0</v>
      </c>
      <c r="I1626" s="2464"/>
      <c r="J1626" s="2039"/>
      <c r="K1626" s="2039"/>
      <c r="L1626" s="2039"/>
      <c r="Q1626" s="2462"/>
      <c r="R1626" s="2243">
        <v>0.5</v>
      </c>
      <c r="S1626" s="2243">
        <v>4.5</v>
      </c>
    </row>
    <row r="1627" spans="1:21" s="2457" customFormat="1" ht="12" customHeight="1">
      <c r="B1627" s="2458"/>
      <c r="C1627" s="2029"/>
      <c r="D1627" s="2039"/>
      <c r="E1627" s="2039"/>
      <c r="F1627" s="2039"/>
      <c r="G1627" s="2035"/>
      <c r="J1627" s="2039"/>
      <c r="K1627" s="2039"/>
      <c r="L1627" s="2039"/>
      <c r="M1627" s="2379"/>
      <c r="N1627" s="2379"/>
      <c r="O1627" s="2379"/>
      <c r="P1627" s="2379"/>
      <c r="Q1627" s="2465"/>
      <c r="R1627" s="2243">
        <v>1</v>
      </c>
      <c r="S1627" s="2243">
        <v>4</v>
      </c>
    </row>
    <row r="1628" spans="1:21" s="2457" customFormat="1" ht="12" customHeight="1">
      <c r="A1628" s="2345" t="s">
        <v>1844</v>
      </c>
      <c r="B1628" s="1887" t="s">
        <v>3242</v>
      </c>
      <c r="C1628" s="1887"/>
      <c r="D1628" s="1887"/>
      <c r="F1628" s="2328" t="s">
        <v>6897</v>
      </c>
      <c r="J1628" s="2070" t="str">
        <f>'Part VIII Scoring Criteria'!J137</f>
        <v>&lt;&lt; Enter transit agency/service name here &gt;&gt;</v>
      </c>
      <c r="K1628" s="2070"/>
      <c r="L1628" s="2466" t="s">
        <v>3240</v>
      </c>
      <c r="M1628" s="1902">
        <v>3</v>
      </c>
      <c r="N1628" s="2342" t="s">
        <v>1844</v>
      </c>
      <c r="O1628" s="2293">
        <f>'Part VIII Scoring Criteria'!O137</f>
        <v>0</v>
      </c>
      <c r="P1628" s="2293">
        <f>'Part VIII Scoring Criteria'!P137</f>
        <v>0</v>
      </c>
      <c r="Q1628" s="2119" t="s">
        <v>6683</v>
      </c>
      <c r="R1628" s="2243">
        <v>0.25</v>
      </c>
      <c r="S1628" s="2243">
        <v>3</v>
      </c>
    </row>
    <row r="1629" spans="1:21" s="2366" customFormat="1" ht="12" customHeight="1">
      <c r="A1629" s="2404"/>
      <c r="B1629" s="2467" t="s">
        <v>1845</v>
      </c>
      <c r="C1629" s="2029" t="s">
        <v>6898</v>
      </c>
      <c r="D1629" s="2039"/>
      <c r="E1629" s="2039"/>
      <c r="F1629" s="2039"/>
      <c r="G1629" s="2035"/>
      <c r="H1629" s="2039" t="s">
        <v>6899</v>
      </c>
      <c r="I1629" s="2039"/>
      <c r="J1629" s="2182" t="s">
        <v>6696</v>
      </c>
      <c r="K1629" s="2182"/>
      <c r="L1629" s="2182"/>
      <c r="M1629" s="1902">
        <v>3</v>
      </c>
      <c r="N1629" s="2451" t="s">
        <v>1845</v>
      </c>
      <c r="O1629" s="2468">
        <f>'Part VIII Scoring Criteria'!O138</f>
        <v>0</v>
      </c>
      <c r="P1629" s="2149"/>
      <c r="Q1629" s="2462" t="str">
        <f>IF(OR($O1631=$M1631,$O1631=0,$O1631=""),"","*CHECK!*")</f>
        <v/>
      </c>
      <c r="R1629" s="2243">
        <v>0.5</v>
      </c>
      <c r="S1629" s="2243">
        <v>2</v>
      </c>
      <c r="U1629" s="2457"/>
    </row>
    <row r="1630" spans="1:21" s="2366" customFormat="1" ht="12" customHeight="1">
      <c r="A1630" s="2404"/>
      <c r="B1630" s="2243"/>
      <c r="C1630" s="2029"/>
      <c r="D1630" s="2039"/>
      <c r="E1630" s="2039"/>
      <c r="F1630" s="2039"/>
      <c r="G1630" s="2379"/>
      <c r="H1630" s="2463">
        <f>'Part VIII Scoring Criteria'!H139</f>
        <v>0</v>
      </c>
      <c r="I1630" s="2464"/>
      <c r="J1630" s="2070" t="str">
        <f>'Part VIII Scoring Criteria'!J139</f>
        <v>&lt;&lt; Enter specific URL/webpage(s) showing established schedule from transit agency website here &gt;&gt;</v>
      </c>
      <c r="K1630" s="2070"/>
      <c r="L1630" s="2070"/>
      <c r="M1630" s="2379"/>
      <c r="O1630" s="2468">
        <f>'Part VIII Scoring Criteria'!O139</f>
        <v>0</v>
      </c>
      <c r="P1630" s="2149"/>
      <c r="Q1630" s="1901"/>
      <c r="R1630" s="2243">
        <v>1</v>
      </c>
      <c r="S1630" s="2243">
        <v>1</v>
      </c>
      <c r="U1630" s="2457"/>
    </row>
    <row r="1631" spans="1:21" s="2366" customFormat="1" ht="11.25" customHeight="1">
      <c r="A1631" s="2243" t="s">
        <v>1276</v>
      </c>
      <c r="B1631" s="2467" t="s">
        <v>1847</v>
      </c>
      <c r="C1631" s="2029" t="s">
        <v>6900</v>
      </c>
      <c r="D1631" s="2039"/>
      <c r="E1631" s="2039"/>
      <c r="F1631" s="2039"/>
      <c r="G1631" s="2039"/>
      <c r="H1631" s="2039"/>
      <c r="I1631" s="2035"/>
      <c r="J1631" s="2070"/>
      <c r="K1631" s="2070"/>
      <c r="L1631" s="2070"/>
      <c r="M1631" s="1902">
        <v>1</v>
      </c>
      <c r="N1631" s="2451" t="s">
        <v>1847</v>
      </c>
      <c r="O1631" s="2468">
        <f>'Part VIII Scoring Criteria'!O140</f>
        <v>0</v>
      </c>
      <c r="P1631" s="2149"/>
      <c r="U1631" s="2457"/>
    </row>
    <row r="1632" spans="1:21" s="2366" customFormat="1" ht="11.25" customHeight="1">
      <c r="B1632" s="2469"/>
      <c r="C1632" s="2029"/>
      <c r="D1632" s="2039"/>
      <c r="E1632" s="2039"/>
      <c r="F1632" s="2039"/>
      <c r="G1632" s="2039"/>
      <c r="H1632" s="2039"/>
      <c r="I1632" s="2035"/>
      <c r="J1632" s="2070"/>
      <c r="K1632" s="2070"/>
      <c r="L1632" s="2070"/>
      <c r="O1632" s="2468">
        <f>'Part VIII Scoring Criteria'!O141</f>
        <v>0</v>
      </c>
      <c r="P1632" s="2149"/>
      <c r="T1632" s="2457"/>
      <c r="U1632" s="2457"/>
    </row>
    <row r="1633" spans="1:19" s="2457" customFormat="1" ht="12" customHeight="1">
      <c r="A1633" s="2337" t="s">
        <v>1276</v>
      </c>
      <c r="B1633" s="2467" t="s">
        <v>2333</v>
      </c>
      <c r="C1633" s="2029" t="s">
        <v>6901</v>
      </c>
      <c r="D1633" s="2039"/>
      <c r="E1633" s="2039"/>
      <c r="F1633" s="2039"/>
      <c r="G1633" s="2039"/>
      <c r="H1633" s="2039"/>
      <c r="I1633" s="2039"/>
      <c r="J1633" s="2070" t="str">
        <f>'Part VIII Scoring Criteria'!J142</f>
        <v>&lt;&lt; Enter specific URL/webpage(s) showing established routes from transit agency website (if different from schedule webpage) here &gt;&gt;</v>
      </c>
      <c r="K1633" s="2070"/>
      <c r="L1633" s="2070"/>
      <c r="M1633" s="1886">
        <v>2</v>
      </c>
      <c r="N1633" s="2458" t="s">
        <v>2333</v>
      </c>
      <c r="O1633" s="2470">
        <f>'Part VIII Scoring Criteria'!O142</f>
        <v>0</v>
      </c>
      <c r="P1633" s="2471"/>
      <c r="Q1633" s="2462"/>
      <c r="R1633" s="2030"/>
    </row>
    <row r="1634" spans="1:19" s="2366" customFormat="1" ht="15">
      <c r="C1634" s="2039"/>
      <c r="D1634" s="2039"/>
      <c r="E1634" s="2039"/>
      <c r="F1634" s="2039"/>
      <c r="G1634" s="2039"/>
      <c r="H1634" s="2039"/>
      <c r="I1634" s="2039"/>
      <c r="J1634" s="2070"/>
      <c r="K1634" s="2070"/>
      <c r="L1634" s="2070"/>
      <c r="O1634" s="2470">
        <f>'Part VIII Scoring Criteria'!O143</f>
        <v>0</v>
      </c>
      <c r="P1634" s="2471"/>
    </row>
    <row r="1635" spans="1:19" s="2366" customFormat="1" ht="12.6" customHeight="1">
      <c r="A1635" s="362" t="s">
        <v>6902</v>
      </c>
      <c r="B1635" s="1505"/>
      <c r="E1635" s="2444"/>
      <c r="K1635" s="1505"/>
      <c r="M1635" s="1901"/>
      <c r="N1635" s="1901"/>
      <c r="O1635" s="1901"/>
      <c r="P1635" s="1901"/>
      <c r="Q1635" s="2433"/>
      <c r="R1635" s="2433"/>
    </row>
    <row r="1636" spans="1:19" s="2366" customFormat="1" ht="11.25" customHeight="1">
      <c r="A1636" s="359"/>
      <c r="B1636" s="2256" t="s">
        <v>3244</v>
      </c>
      <c r="C1636" s="359"/>
      <c r="D1636" s="1505"/>
      <c r="E1636" s="1505"/>
      <c r="F1636" s="1505"/>
      <c r="G1636" s="1505"/>
      <c r="H1636" s="362"/>
      <c r="K1636" s="1505"/>
      <c r="M1636" s="1901"/>
      <c r="N1636" s="1750"/>
      <c r="O1636" s="2293"/>
      <c r="P1636" s="1750"/>
    </row>
    <row r="1637" spans="1:19" s="2366" customFormat="1" ht="112.5">
      <c r="A1637" s="2327" t="str">
        <f>'Part VIII Scoring Criteria'!A146</f>
        <v>The applicant is not claiming points in this section as it is a 4% RAD Preservation.</v>
      </c>
      <c r="B1637" s="2327"/>
      <c r="C1637" s="2327"/>
      <c r="D1637" s="2327"/>
      <c r="E1637" s="2327"/>
      <c r="F1637" s="2327"/>
      <c r="G1637" s="2327"/>
      <c r="H1637" s="2327"/>
      <c r="I1637" s="2327"/>
      <c r="J1637" s="2327"/>
      <c r="K1637" s="2327"/>
      <c r="L1637" s="2327"/>
      <c r="M1637" s="2327"/>
      <c r="N1637" s="2327"/>
      <c r="O1637" s="2327"/>
      <c r="P1637" s="2327"/>
      <c r="Q1637" s="2017" t="s">
        <v>1181</v>
      </c>
      <c r="R1637" s="2017"/>
    </row>
    <row r="1638" spans="1:19" s="2379" customFormat="1" ht="11.45" customHeight="1">
      <c r="A1638" s="359"/>
      <c r="B1638" s="2256" t="s">
        <v>1730</v>
      </c>
      <c r="C1638" s="359"/>
      <c r="D1638" s="2256"/>
      <c r="E1638" s="2252"/>
      <c r="F1638" s="2252"/>
      <c r="G1638" s="2252"/>
      <c r="H1638" s="2252"/>
      <c r="I1638" s="2252"/>
      <c r="J1638" s="2252"/>
      <c r="K1638" s="2252"/>
      <c r="L1638" s="2252"/>
      <c r="M1638" s="2252"/>
      <c r="N1638" s="2224"/>
      <c r="O1638" s="2224"/>
      <c r="P1638" s="1901"/>
      <c r="Q1638" s="2366"/>
    </row>
    <row r="1639" spans="1:19" s="2366" customFormat="1" ht="11.25" customHeight="1">
      <c r="A1639" s="2331"/>
      <c r="B1639" s="2331"/>
      <c r="C1639" s="2331"/>
      <c r="D1639" s="2331"/>
      <c r="E1639" s="2331"/>
      <c r="F1639" s="2331"/>
      <c r="G1639" s="2331"/>
      <c r="H1639" s="2331"/>
      <c r="I1639" s="2331"/>
      <c r="J1639" s="2331"/>
      <c r="K1639" s="2331"/>
      <c r="L1639" s="2331"/>
      <c r="M1639" s="2331"/>
      <c r="N1639" s="2331"/>
      <c r="O1639" s="2331"/>
      <c r="P1639" s="2331"/>
      <c r="Q1639" s="2017"/>
    </row>
    <row r="1640" spans="1:19" ht="3" customHeight="1">
      <c r="N1640" s="1750"/>
      <c r="O1640" s="1750"/>
      <c r="P1640" s="1750"/>
      <c r="R1640" s="2366"/>
    </row>
    <row r="1641" spans="1:19" s="2366" customFormat="1" ht="3" customHeight="1">
      <c r="A1641" s="359"/>
      <c r="C1641" s="2330"/>
      <c r="D1641" s="2330"/>
      <c r="E1641" s="2330"/>
      <c r="F1641" s="2330"/>
      <c r="G1641" s="2330"/>
      <c r="H1641" s="2330"/>
      <c r="I1641" s="2330"/>
      <c r="J1641" s="2330"/>
      <c r="K1641" s="2330"/>
      <c r="L1641" s="2330"/>
      <c r="M1641" s="2330"/>
      <c r="N1641" s="2410"/>
      <c r="O1641" s="2410"/>
      <c r="P1641" s="1901"/>
    </row>
    <row r="1642" spans="1:19" s="2366" customFormat="1" ht="13.5" customHeight="1">
      <c r="A1642" s="2404" t="s">
        <v>720</v>
      </c>
      <c r="B1642" s="2253" t="s">
        <v>6156</v>
      </c>
      <c r="C1642" s="2330"/>
      <c r="D1642" s="2330"/>
      <c r="E1642" s="2330"/>
      <c r="G1642" s="1322" t="s">
        <v>3826</v>
      </c>
      <c r="H1642" s="2161" t="str">
        <f>'Part VII-Threshold Criteria'!$J$35</f>
        <v>Family</v>
      </c>
      <c r="M1642" s="1901">
        <f>'Part VIII Scoring Criteria'!M151</f>
        <v>0</v>
      </c>
      <c r="N1642" s="2410"/>
      <c r="O1642" s="2210">
        <f>'Part VIII Scoring Criteria'!O151</f>
        <v>0</v>
      </c>
      <c r="P1642" s="1901">
        <f>'Part VIII Scoring Criteria'!P151</f>
        <v>0</v>
      </c>
      <c r="Q1642" s="2377" t="str">
        <f>IF(OR($O1642&lt;=$M1642,$O1642=0,$O1642=""),"","*CHECK!*")</f>
        <v/>
      </c>
      <c r="R1642" s="2206" t="s">
        <v>416</v>
      </c>
      <c r="S1642" s="2030" t="s">
        <v>4064</v>
      </c>
    </row>
    <row r="1643" spans="1:19" ht="18.75" customHeight="1">
      <c r="C1643" s="2046" t="s">
        <v>6903</v>
      </c>
      <c r="F1643" s="2046"/>
      <c r="G1643" s="2046"/>
      <c r="H1643" s="2046"/>
      <c r="I1643" s="2472"/>
      <c r="J1643" s="2218"/>
      <c r="K1643" s="1656"/>
      <c r="M1643" s="2366"/>
      <c r="P1643" s="2473" t="str">
        <f>IF(AND(O1642&gt;0,NOT($M$54="New Supply")), "Ineligible to score in this section, not New Supply!","")</f>
        <v/>
      </c>
    </row>
    <row r="1644" spans="1:19" ht="11.25" customHeight="1">
      <c r="C1644" s="2046" t="s">
        <v>6723</v>
      </c>
      <c r="F1644" s="2046"/>
      <c r="G1644" s="2046"/>
      <c r="H1644" s="2046"/>
      <c r="I1644" s="2472"/>
      <c r="J1644" s="2292" t="s">
        <v>6637</v>
      </c>
      <c r="K1644" s="2292"/>
      <c r="L1644" s="2292"/>
      <c r="M1644" s="2292"/>
    </row>
    <row r="1645" spans="1:19" ht="12.75" customHeight="1">
      <c r="B1645" s="2029"/>
      <c r="C1645" s="2029"/>
      <c r="D1645" s="2029"/>
      <c r="F1645" s="1656" t="s">
        <v>6780</v>
      </c>
      <c r="G1645" s="1656"/>
      <c r="H1645" s="1656" t="s">
        <v>6781</v>
      </c>
      <c r="I1645" s="1656"/>
      <c r="J1645" s="1656" t="s">
        <v>6639</v>
      </c>
      <c r="K1645" s="1656"/>
      <c r="L1645" s="1656" t="s">
        <v>6640</v>
      </c>
      <c r="M1645" s="1656"/>
      <c r="N1645" s="807"/>
      <c r="O1645" s="2331"/>
      <c r="P1645" s="1750"/>
    </row>
    <row r="1646" spans="1:19">
      <c r="B1646" s="2029"/>
      <c r="C1646" s="2029"/>
      <c r="D1646" s="2029"/>
      <c r="F1646" s="1656"/>
      <c r="G1646" s="1656"/>
      <c r="H1646" s="1656"/>
      <c r="I1646" s="1656"/>
      <c r="J1646" s="1656"/>
      <c r="K1646" s="1656"/>
      <c r="L1646" s="1656"/>
      <c r="M1646" s="1656"/>
      <c r="N1646" s="807"/>
      <c r="O1646" s="2039"/>
      <c r="P1646" s="1750"/>
    </row>
    <row r="1647" spans="1:19" ht="12" customHeight="1">
      <c r="B1647" s="1505" t="s">
        <v>6641</v>
      </c>
      <c r="C1647" s="2252"/>
      <c r="D1647" s="2366"/>
      <c r="F1647" s="1656"/>
      <c r="G1647" s="1656"/>
      <c r="H1647" s="1656"/>
      <c r="I1647" s="1656"/>
      <c r="J1647" s="1656"/>
      <c r="K1647" s="1656"/>
      <c r="L1647" s="1656"/>
      <c r="M1647" s="1656"/>
      <c r="N1647" s="807"/>
      <c r="O1647" s="2039"/>
      <c r="P1647" s="1750"/>
    </row>
    <row r="1648" spans="1:19">
      <c r="B1648" s="2182">
        <f>'Part VIII Scoring Criteria'!B157</f>
        <v>0</v>
      </c>
      <c r="C1648" s="2182"/>
      <c r="D1648" s="2182"/>
      <c r="E1648" s="2182"/>
      <c r="F1648" s="2182">
        <f>'Part VIII Scoring Criteria'!F157</f>
        <v>0</v>
      </c>
      <c r="G1648" s="2182"/>
      <c r="H1648" s="2182">
        <f>'Part VIII Scoring Criteria'!H157</f>
        <v>0</v>
      </c>
      <c r="I1648" s="2182"/>
      <c r="J1648" s="2211">
        <f>'Part VIII Scoring Criteria'!J157</f>
        <v>0</v>
      </c>
      <c r="K1648" s="2211"/>
      <c r="L1648" s="2211">
        <f>'Part VIII Scoring Criteria'!L157</f>
        <v>0</v>
      </c>
      <c r="M1648" s="2211"/>
      <c r="N1648" s="362"/>
      <c r="O1648" s="362"/>
      <c r="P1648" s="1750"/>
    </row>
    <row r="1649" spans="1:21">
      <c r="B1649" s="2182">
        <f>'Part VIII Scoring Criteria'!B158</f>
        <v>0</v>
      </c>
      <c r="C1649" s="2182"/>
      <c r="D1649" s="2182"/>
      <c r="E1649" s="2182"/>
      <c r="F1649" s="2182">
        <f>'Part VIII Scoring Criteria'!F158</f>
        <v>0</v>
      </c>
      <c r="G1649" s="2182"/>
      <c r="H1649" s="2182">
        <f>'Part VIII Scoring Criteria'!H158</f>
        <v>0</v>
      </c>
      <c r="I1649" s="2182"/>
      <c r="J1649" s="2211">
        <f>'Part VIII Scoring Criteria'!J158</f>
        <v>0</v>
      </c>
      <c r="K1649" s="2211"/>
      <c r="L1649" s="2211">
        <f>'Part VIII Scoring Criteria'!L158</f>
        <v>0</v>
      </c>
      <c r="M1649" s="2211"/>
      <c r="N1649" s="362"/>
      <c r="O1649" s="362"/>
      <c r="P1649" s="1750"/>
    </row>
    <row r="1650" spans="1:21">
      <c r="B1650" s="2182">
        <f>'Part VIII Scoring Criteria'!B159</f>
        <v>0</v>
      </c>
      <c r="C1650" s="2182"/>
      <c r="D1650" s="2182"/>
      <c r="E1650" s="2182"/>
      <c r="F1650" s="2182">
        <f>'Part VIII Scoring Criteria'!F159</f>
        <v>0</v>
      </c>
      <c r="G1650" s="2182"/>
      <c r="H1650" s="2182">
        <f>'Part VIII Scoring Criteria'!H159</f>
        <v>0</v>
      </c>
      <c r="I1650" s="2182"/>
      <c r="J1650" s="2211">
        <f>'Part VIII Scoring Criteria'!J159</f>
        <v>0</v>
      </c>
      <c r="K1650" s="2211"/>
      <c r="L1650" s="2211">
        <f>'Part VIII Scoring Criteria'!L159</f>
        <v>0</v>
      </c>
      <c r="M1650" s="2211"/>
      <c r="N1650" s="362"/>
      <c r="O1650" s="362"/>
      <c r="P1650" s="1750"/>
    </row>
    <row r="1651" spans="1:21">
      <c r="B1651" s="2182">
        <f>'Part VIII Scoring Criteria'!B160</f>
        <v>0</v>
      </c>
      <c r="C1651" s="2182"/>
      <c r="D1651" s="2182"/>
      <c r="E1651" s="2182"/>
      <c r="F1651" s="2182">
        <f>'Part VIII Scoring Criteria'!F160</f>
        <v>0</v>
      </c>
      <c r="G1651" s="2182"/>
      <c r="H1651" s="2182">
        <f>'Part VIII Scoring Criteria'!H160</f>
        <v>0</v>
      </c>
      <c r="I1651" s="2182"/>
      <c r="J1651" s="2211">
        <f>'Part VIII Scoring Criteria'!J160</f>
        <v>0</v>
      </c>
      <c r="K1651" s="2211"/>
      <c r="L1651" s="2211">
        <f>'Part VIII Scoring Criteria'!L160</f>
        <v>0</v>
      </c>
      <c r="M1651" s="2211"/>
      <c r="N1651" s="362"/>
      <c r="O1651" s="362"/>
      <c r="P1651" s="1750"/>
    </row>
    <row r="1652" spans="1:21">
      <c r="B1652" s="2182">
        <f>'Part VIII Scoring Criteria'!B161</f>
        <v>0</v>
      </c>
      <c r="C1652" s="2182"/>
      <c r="D1652" s="2182"/>
      <c r="E1652" s="2182"/>
      <c r="F1652" s="2182">
        <f>'Part VIII Scoring Criteria'!F161</f>
        <v>0</v>
      </c>
      <c r="G1652" s="2182"/>
      <c r="H1652" s="2182">
        <f>'Part VIII Scoring Criteria'!H161</f>
        <v>0</v>
      </c>
      <c r="I1652" s="2182"/>
      <c r="J1652" s="2211">
        <f>'Part VIII Scoring Criteria'!J161</f>
        <v>0</v>
      </c>
      <c r="K1652" s="2211"/>
      <c r="L1652" s="2211">
        <f>'Part VIII Scoring Criteria'!L161</f>
        <v>0</v>
      </c>
      <c r="M1652" s="2211"/>
      <c r="N1652" s="362"/>
      <c r="O1652" s="362"/>
      <c r="P1652" s="1750"/>
    </row>
    <row r="1653" spans="1:21">
      <c r="B1653" s="2182">
        <f>'Part VIII Scoring Criteria'!B162</f>
        <v>0</v>
      </c>
      <c r="C1653" s="2182"/>
      <c r="D1653" s="2182"/>
      <c r="E1653" s="2182"/>
      <c r="F1653" s="2182">
        <f>'Part VIII Scoring Criteria'!F162</f>
        <v>0</v>
      </c>
      <c r="G1653" s="2182"/>
      <c r="H1653" s="2182">
        <f>'Part VIII Scoring Criteria'!H162</f>
        <v>0</v>
      </c>
      <c r="I1653" s="2182"/>
      <c r="J1653" s="2211">
        <f>'Part VIII Scoring Criteria'!J162</f>
        <v>0</v>
      </c>
      <c r="K1653" s="2211"/>
      <c r="L1653" s="2211">
        <f>'Part VIII Scoring Criteria'!L162</f>
        <v>0</v>
      </c>
      <c r="M1653" s="2211"/>
      <c r="N1653" s="362"/>
      <c r="O1653" s="362"/>
      <c r="P1653" s="1750"/>
    </row>
    <row r="1654" spans="1:21" s="2366" customFormat="1" ht="10.5" customHeight="1">
      <c r="A1654" s="359"/>
      <c r="B1654" s="2256" t="s">
        <v>3244</v>
      </c>
      <c r="C1654" s="359"/>
      <c r="D1654" s="1505"/>
      <c r="E1654" s="1505"/>
      <c r="F1654" s="1505"/>
      <c r="G1654" s="1505"/>
      <c r="H1654" s="362"/>
      <c r="I1654" s="362"/>
      <c r="J1654" s="362"/>
      <c r="K1654" s="362"/>
      <c r="M1654" s="1901"/>
      <c r="N1654" s="1750"/>
      <c r="O1654" s="2293"/>
      <c r="P1654" s="1750"/>
    </row>
    <row r="1655" spans="1:21" s="2366" customFormat="1" ht="112.5">
      <c r="A1655" s="2327" t="str">
        <f>'Part VIII Scoring Criteria'!A164</f>
        <v>The applicant is not claiming points in this section as it is a 4% RAD Preservation.</v>
      </c>
      <c r="B1655" s="2327"/>
      <c r="C1655" s="2327"/>
      <c r="D1655" s="2327"/>
      <c r="E1655" s="2327"/>
      <c r="F1655" s="2327"/>
      <c r="G1655" s="2327"/>
      <c r="H1655" s="2327"/>
      <c r="I1655" s="2327"/>
      <c r="J1655" s="2327"/>
      <c r="K1655" s="2327"/>
      <c r="L1655" s="2327"/>
      <c r="M1655" s="2327"/>
      <c r="N1655" s="2327"/>
      <c r="O1655" s="2327"/>
      <c r="P1655" s="2327"/>
      <c r="Q1655" s="2017" t="s">
        <v>1181</v>
      </c>
    </row>
    <row r="1656" spans="1:21" s="2366" customFormat="1" ht="10.5" customHeight="1">
      <c r="A1656" s="359"/>
      <c r="B1656" s="2328" t="s">
        <v>1730</v>
      </c>
      <c r="C1656" s="359"/>
      <c r="D1656" s="2328"/>
      <c r="E1656" s="2330"/>
      <c r="F1656" s="2330"/>
      <c r="G1656" s="2330"/>
      <c r="H1656" s="2330"/>
      <c r="I1656" s="2330"/>
      <c r="J1656" s="2330"/>
      <c r="K1656" s="2330"/>
      <c r="L1656" s="2330"/>
      <c r="M1656" s="2330"/>
      <c r="N1656" s="2410"/>
      <c r="O1656" s="2410"/>
      <c r="P1656" s="1901"/>
    </row>
    <row r="1657" spans="1:21" s="2366" customFormat="1" ht="11.25" customHeight="1">
      <c r="A1657" s="2331"/>
      <c r="B1657" s="2331"/>
      <c r="C1657" s="2331"/>
      <c r="D1657" s="2331"/>
      <c r="E1657" s="2331"/>
      <c r="F1657" s="2331"/>
      <c r="G1657" s="2331"/>
      <c r="H1657" s="2331"/>
      <c r="I1657" s="2331"/>
      <c r="J1657" s="2331"/>
      <c r="K1657" s="2331"/>
      <c r="L1657" s="2331"/>
      <c r="M1657" s="2331"/>
      <c r="N1657" s="2331"/>
      <c r="O1657" s="2331"/>
      <c r="P1657" s="2331"/>
      <c r="Q1657" s="2017"/>
      <c r="U1657" s="2474"/>
    </row>
    <row r="1658" spans="1:21" s="2366" customFormat="1" ht="3" customHeight="1">
      <c r="A1658" s="359"/>
      <c r="C1658" s="2330"/>
      <c r="D1658" s="2330"/>
      <c r="E1658" s="2330"/>
      <c r="F1658" s="2330"/>
      <c r="G1658" s="2330"/>
      <c r="H1658" s="2330"/>
      <c r="I1658" s="2330"/>
      <c r="J1658" s="2330"/>
      <c r="K1658" s="2330"/>
      <c r="L1658" s="2330"/>
      <c r="M1658" s="2330"/>
      <c r="N1658" s="2410"/>
      <c r="O1658" s="2410"/>
      <c r="P1658" s="1901"/>
    </row>
    <row r="1659" spans="1:21" s="2379" customFormat="1" ht="13.5" customHeight="1">
      <c r="A1659" s="2404" t="s">
        <v>280</v>
      </c>
      <c r="B1659" s="2253" t="s">
        <v>3344</v>
      </c>
      <c r="D1659" s="2256"/>
      <c r="E1659" s="2256"/>
      <c r="L1659" s="2475" t="str">
        <f>IF(AND(O1659&gt;0,O1661="",O1674=""),"Indicate subtotal score(s) in A or B below!","")</f>
        <v/>
      </c>
      <c r="M1659" s="1901">
        <f>'Part VIII Scoring Criteria'!M168</f>
        <v>0</v>
      </c>
      <c r="N1659" s="1901"/>
      <c r="O1659" s="2426">
        <f>'Part VIII Scoring Criteria'!O168</f>
        <v>0</v>
      </c>
      <c r="P1659" s="2426">
        <f>'Part VIII Scoring Criteria'!P168</f>
        <v>0</v>
      </c>
      <c r="Q1659" s="1901" t="s">
        <v>416</v>
      </c>
      <c r="R1659" s="2161" t="str">
        <f>IF(AND(O1659&gt;0,NOT($M$54="New Supply")), "Ineligible to score in this section, not New Supply!","")</f>
        <v/>
      </c>
      <c r="S1659" s="2018"/>
      <c r="T1659" s="2018"/>
      <c r="U1659" s="2018"/>
    </row>
    <row r="1660" spans="1:21" s="2366" customFormat="1" ht="2.25" customHeight="1">
      <c r="A1660" s="1901"/>
      <c r="C1660" s="1505"/>
      <c r="D1660" s="1505"/>
      <c r="E1660" s="2029"/>
      <c r="F1660" s="1505"/>
      <c r="G1660" s="1505"/>
      <c r="H1660" s="1505"/>
      <c r="I1660" s="1505"/>
      <c r="J1660" s="1505"/>
      <c r="K1660" s="1505"/>
      <c r="L1660" s="1505"/>
      <c r="M1660" s="1505"/>
      <c r="N1660" s="1505"/>
      <c r="O1660" s="1505"/>
      <c r="P1660" s="1505"/>
      <c r="R1660" s="2018"/>
      <c r="S1660" s="2018"/>
      <c r="T1660" s="2018"/>
      <c r="U1660" s="2018"/>
    </row>
    <row r="1661" spans="1:21" s="2366" customFormat="1" ht="12" customHeight="1">
      <c r="A1661" s="2239" t="s">
        <v>1842</v>
      </c>
      <c r="B1661" s="1505" t="s">
        <v>6185</v>
      </c>
      <c r="C1661" s="1505"/>
      <c r="D1661" s="1505"/>
      <c r="E1661" s="1505"/>
      <c r="F1661" s="1505"/>
      <c r="G1661" s="1505"/>
      <c r="H1661" s="1505"/>
      <c r="I1661" s="1505"/>
      <c r="J1661" s="1505"/>
      <c r="K1661" s="1505"/>
      <c r="L1661" s="2475"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1902">
        <v>5</v>
      </c>
      <c r="N1661" s="2342" t="s">
        <v>1842</v>
      </c>
      <c r="O1661" s="2426">
        <f>'Part VIII Scoring Criteria'!O170</f>
        <v>0</v>
      </c>
      <c r="P1661" s="2426">
        <f>'Part VIII Scoring Criteria'!P170</f>
        <v>0</v>
      </c>
      <c r="Q1661" s="2377" t="str">
        <f>IF(OR($O1661&lt;=$M1661,$O1661=""),"","*CHECK!*")</f>
        <v/>
      </c>
      <c r="R1661" s="2030"/>
      <c r="S1661" s="2018"/>
      <c r="T1661" s="2018"/>
      <c r="U1661" s="2018"/>
    </row>
    <row r="1662" spans="1:21" s="2366" customFormat="1" ht="12.75" customHeight="1">
      <c r="A1662" s="1901"/>
      <c r="B1662" s="2476" t="s">
        <v>1845</v>
      </c>
      <c r="C1662" s="362" t="s">
        <v>6782</v>
      </c>
      <c r="D1662" s="1505"/>
      <c r="E1662" s="1505"/>
      <c r="F1662" s="1505"/>
      <c r="G1662" s="1505"/>
      <c r="H1662" s="1505"/>
      <c r="I1662" s="1505"/>
      <c r="J1662" s="1505"/>
      <c r="K1662" s="1505"/>
      <c r="L1662" s="1505"/>
      <c r="M1662" s="1902">
        <v>2</v>
      </c>
      <c r="N1662" s="2336" t="s">
        <v>1615</v>
      </c>
      <c r="O1662" s="2477">
        <f>'Part VIII Scoring Criteria'!O171</f>
        <v>0</v>
      </c>
      <c r="P1662" s="2426"/>
      <c r="Q1662" s="2377" t="str">
        <f>IF(OR($O1662=$M1662,$O1662=0,$O1662=""),"","*CHECK!*")</f>
        <v/>
      </c>
      <c r="R1662" s="2030" t="s">
        <v>4064</v>
      </c>
      <c r="S1662" s="2018"/>
      <c r="T1662" s="2018"/>
      <c r="U1662" s="2018"/>
    </row>
    <row r="1663" spans="1:21" s="2265" customFormat="1" ht="12" customHeight="1">
      <c r="B1663" s="2336" t="s">
        <v>2241</v>
      </c>
      <c r="C1663" s="1889" t="s">
        <v>6688</v>
      </c>
      <c r="D1663" s="1889"/>
      <c r="E1663" s="2331"/>
      <c r="F1663" s="2331"/>
      <c r="G1663" s="2331"/>
      <c r="H1663" s="2331"/>
      <c r="I1663" s="2331"/>
      <c r="J1663" s="2331"/>
      <c r="K1663" s="2331"/>
      <c r="L1663" s="2336"/>
      <c r="M1663" s="807" t="s">
        <v>6096</v>
      </c>
      <c r="N1663" s="807"/>
      <c r="O1663" s="807"/>
      <c r="P1663" s="807"/>
      <c r="S1663" s="2018"/>
      <c r="T1663" s="2018"/>
      <c r="U1663" s="2018"/>
    </row>
    <row r="1664" spans="1:21" s="2366" customFormat="1" ht="12.75" customHeight="1">
      <c r="A1664" s="1750"/>
      <c r="B1664" s="2342"/>
      <c r="C1664" s="1889"/>
      <c r="D1664" s="1889"/>
      <c r="E1664" s="2331"/>
      <c r="F1664" s="2331"/>
      <c r="G1664" s="2331"/>
      <c r="H1664" s="2331"/>
      <c r="I1664" s="2331"/>
      <c r="J1664" s="2331"/>
      <c r="K1664" s="2331"/>
      <c r="L1664" s="2336" t="s">
        <v>2241</v>
      </c>
      <c r="M1664" s="2182" t="str">
        <f>'Part VIII Scoring Criteria'!M173</f>
        <v>&lt;Enter page nbr(s) from Plan&gt;</v>
      </c>
      <c r="N1664" s="2182"/>
      <c r="O1664" s="2182"/>
      <c r="P1664" s="2182"/>
      <c r="S1664" s="2018"/>
      <c r="T1664" s="2018"/>
      <c r="U1664" s="2018"/>
    </row>
    <row r="1665" spans="1:22" s="359" customFormat="1" ht="12.75" customHeight="1">
      <c r="B1665" s="2342" t="s">
        <v>2242</v>
      </c>
      <c r="C1665" s="362" t="s">
        <v>3962</v>
      </c>
      <c r="D1665" s="362"/>
      <c r="E1665" s="362"/>
      <c r="F1665" s="362"/>
      <c r="G1665" s="362"/>
      <c r="H1665" s="362"/>
      <c r="L1665" s="2342" t="s">
        <v>2242</v>
      </c>
      <c r="M1665" s="2182" t="str">
        <f>'Part VIII Scoring Criteria'!M174</f>
        <v>&lt;Enter page nbr(s) from Plan&gt;</v>
      </c>
      <c r="N1665" s="2182"/>
      <c r="O1665" s="2182"/>
      <c r="P1665" s="2182"/>
      <c r="S1665" s="2018"/>
      <c r="T1665" s="2018"/>
      <c r="U1665" s="2018"/>
    </row>
    <row r="1666" spans="1:22" s="359" customFormat="1" ht="12.75" customHeight="1">
      <c r="B1666" s="2342" t="s">
        <v>2243</v>
      </c>
      <c r="C1666" s="362" t="s">
        <v>6183</v>
      </c>
      <c r="D1666" s="362"/>
      <c r="E1666" s="362"/>
      <c r="F1666" s="362"/>
      <c r="G1666" s="362"/>
      <c r="H1666" s="362"/>
      <c r="L1666" s="2342" t="s">
        <v>2243</v>
      </c>
      <c r="M1666" s="2182" t="str">
        <f>'Part VIII Scoring Criteria'!M175</f>
        <v>&lt;Enter page nbr(s) from Plan&gt;</v>
      </c>
      <c r="N1666" s="2182"/>
      <c r="O1666" s="2182"/>
      <c r="P1666" s="2182"/>
      <c r="Q1666" s="1322">
        <f>IF(K1666="Yes",1,0)</f>
        <v>0</v>
      </c>
      <c r="S1666" s="2018"/>
      <c r="T1666" s="2018"/>
      <c r="U1666" s="2018"/>
      <c r="V1666" s="1322" t="e">
        <f>IF(#REF!="Yes",1,0)</f>
        <v>#REF!</v>
      </c>
    </row>
    <row r="1667" spans="1:22" s="359" customFormat="1" ht="12.75" customHeight="1">
      <c r="A1667" s="2342"/>
      <c r="B1667" s="2342" t="s">
        <v>2244</v>
      </c>
      <c r="C1667" s="362" t="s">
        <v>6184</v>
      </c>
      <c r="D1667" s="362"/>
      <c r="E1667" s="362"/>
      <c r="F1667" s="362"/>
      <c r="G1667" s="362"/>
      <c r="L1667" s="2342" t="s">
        <v>2244</v>
      </c>
      <c r="M1667" s="2182" t="str">
        <f>'Part VIII Scoring Criteria'!M176</f>
        <v>&lt;Enter page nbr(s) from Plan&gt;</v>
      </c>
      <c r="N1667" s="2182"/>
      <c r="O1667" s="2182"/>
      <c r="P1667" s="2182"/>
      <c r="Q1667" s="1322">
        <f>IF(K1667="Yes",1,0)</f>
        <v>0</v>
      </c>
      <c r="S1667" s="2018"/>
      <c r="T1667" s="2018"/>
      <c r="U1667" s="2018"/>
      <c r="V1667" s="1322" t="e">
        <f>IF(#REF!="Yes",1,0)</f>
        <v>#REF!</v>
      </c>
    </row>
    <row r="1668" spans="1:22" s="2366" customFormat="1" ht="4.5" customHeight="1">
      <c r="A1668" s="1750"/>
      <c r="C1668" s="1889"/>
      <c r="D1668" s="1889"/>
      <c r="E1668" s="1889"/>
      <c r="F1668" s="1889"/>
      <c r="G1668" s="1889"/>
      <c r="H1668" s="1889"/>
      <c r="I1668" s="1889"/>
      <c r="K1668" s="2478"/>
      <c r="L1668" s="2478"/>
      <c r="R1668" s="2018"/>
      <c r="S1668" s="2018"/>
      <c r="T1668" s="2018"/>
      <c r="U1668" s="2018"/>
    </row>
    <row r="1669" spans="1:22" s="2366" customFormat="1" ht="9.75" customHeight="1">
      <c r="A1669" s="1750"/>
      <c r="B1669" s="2451" t="s">
        <v>1847</v>
      </c>
      <c r="C1669" s="1875" t="s">
        <v>6260</v>
      </c>
      <c r="D1669" s="1889"/>
      <c r="E1669" s="1889"/>
      <c r="F1669" s="1889"/>
      <c r="G1669" s="1889"/>
      <c r="H1669" s="1889"/>
      <c r="I1669" s="1889"/>
      <c r="K1669" s="2478"/>
      <c r="L1669" s="2478"/>
      <c r="R1669" s="2018"/>
      <c r="S1669" s="2018"/>
      <c r="T1669" s="2018"/>
      <c r="U1669" s="2018"/>
    </row>
    <row r="1670" spans="1:22" ht="12.75" customHeight="1">
      <c r="A1670" s="2342"/>
      <c r="B1670" s="2336" t="s">
        <v>2241</v>
      </c>
      <c r="C1670" s="1889" t="s">
        <v>6783</v>
      </c>
      <c r="D1670" s="1889"/>
      <c r="E1670" s="2331"/>
      <c r="F1670" s="2331"/>
      <c r="G1670" s="2331"/>
      <c r="H1670" s="2331"/>
      <c r="I1670" s="2331"/>
      <c r="J1670" s="2331"/>
      <c r="K1670" s="2331"/>
      <c r="L1670" s="2331"/>
      <c r="M1670" s="1886">
        <v>1</v>
      </c>
      <c r="N1670" s="2336" t="s">
        <v>4082</v>
      </c>
      <c r="O1670" s="2477">
        <f>'Part VIII Scoring Criteria'!O179</f>
        <v>0</v>
      </c>
      <c r="P1670" s="2426"/>
      <c r="Q1670" s="2377" t="str">
        <f>IF(OR($O1670=$M1670,$O1670=0,$O1670=""),"","*CHECK!*")</f>
        <v/>
      </c>
      <c r="R1670" s="2030" t="s">
        <v>4064</v>
      </c>
    </row>
    <row r="1671" spans="1:22">
      <c r="A1671" s="2342"/>
      <c r="B1671" s="2336" t="s">
        <v>2242</v>
      </c>
      <c r="C1671" s="1889" t="s">
        <v>6784</v>
      </c>
      <c r="D1671" s="1889"/>
      <c r="E1671" s="2331"/>
      <c r="F1671" s="2331"/>
      <c r="G1671" s="2331"/>
      <c r="H1671" s="2331"/>
      <c r="I1671" s="2331"/>
      <c r="J1671" s="2331"/>
      <c r="K1671" s="2331"/>
      <c r="L1671" s="2331"/>
      <c r="M1671" s="1886">
        <v>1</v>
      </c>
      <c r="N1671" s="2336" t="s">
        <v>6269</v>
      </c>
      <c r="O1671" s="2479">
        <f>'Part VIII Scoring Criteria'!O180</f>
        <v>0</v>
      </c>
      <c r="P1671" s="2480"/>
      <c r="Q1671" s="2377" t="str">
        <f>IF(OR($O1671=$M1671,$O1671=0,$O1671=""),"","*CHECK!*")</f>
        <v/>
      </c>
      <c r="R1671" s="2030" t="s">
        <v>4064</v>
      </c>
    </row>
    <row r="1672" spans="1:22" ht="12" customHeight="1">
      <c r="A1672" s="2342"/>
      <c r="B1672" s="2362" t="s">
        <v>2243</v>
      </c>
      <c r="C1672" s="807" t="s">
        <v>6785</v>
      </c>
      <c r="D1672" s="1889"/>
      <c r="E1672" s="1889"/>
      <c r="F1672" s="1889"/>
      <c r="G1672" s="1889"/>
      <c r="H1672" s="1889"/>
      <c r="I1672" s="1889"/>
      <c r="J1672" s="1889"/>
      <c r="K1672" s="1889"/>
      <c r="L1672" s="1889"/>
      <c r="M1672" s="1902">
        <v>1</v>
      </c>
      <c r="N1672" s="2342" t="s">
        <v>6270</v>
      </c>
      <c r="O1672" s="2477">
        <f>'Part VIII Scoring Criteria'!O181</f>
        <v>0</v>
      </c>
      <c r="P1672" s="2426"/>
      <c r="Q1672" s="2377" t="str">
        <f>IF(OR($O1672=$M1672,$O1672=0,$O1672=""),"","*CHECK!*")</f>
        <v/>
      </c>
      <c r="R1672" s="2030" t="s">
        <v>4064</v>
      </c>
    </row>
    <row r="1673" spans="1:22" ht="4.5" customHeight="1">
      <c r="A1673" s="2342"/>
      <c r="B1673" s="1873"/>
      <c r="C1673" s="1889"/>
      <c r="D1673" s="1889"/>
      <c r="E1673" s="1889"/>
      <c r="F1673" s="1889"/>
      <c r="G1673" s="1889"/>
      <c r="H1673" s="1889"/>
      <c r="M1673" s="362"/>
    </row>
    <row r="1674" spans="1:22" ht="12.75" customHeight="1">
      <c r="A1674" s="2239" t="s">
        <v>1844</v>
      </c>
      <c r="B1674" s="1505" t="s">
        <v>3827</v>
      </c>
      <c r="D1674" s="359"/>
      <c r="F1674" s="2481"/>
      <c r="K1674" s="2287"/>
      <c r="L1674" s="2433" t="str">
        <f>IF(OR($O1674=$M1674,$O1674=0,$O1674=1,$O1674=""),"","* * Check Score! * *")</f>
        <v/>
      </c>
      <c r="M1674" s="1902">
        <v>2</v>
      </c>
      <c r="N1674" s="2342" t="s">
        <v>1844</v>
      </c>
      <c r="O1674" s="2438">
        <f>'Part VIII Scoring Criteria'!O183</f>
        <v>0</v>
      </c>
      <c r="P1674" s="2293"/>
      <c r="Q1674" s="2462" t="str">
        <f>IF(OR($O1674=$M1674,$O1674=0,$O1674=""),"","*CHECK!*")</f>
        <v/>
      </c>
      <c r="R1674" s="2030" t="s">
        <v>4064</v>
      </c>
    </row>
    <row r="1675" spans="1:22" s="2379" customFormat="1" ht="10.5" customHeight="1">
      <c r="A1675" s="359"/>
      <c r="B1675" s="2256" t="s">
        <v>3244</v>
      </c>
      <c r="C1675" s="359"/>
      <c r="D1675" s="1505"/>
      <c r="E1675" s="1505"/>
      <c r="F1675" s="1505"/>
      <c r="G1675" s="1505"/>
      <c r="H1675" s="362"/>
      <c r="I1675" s="362"/>
      <c r="J1675" s="362"/>
      <c r="K1675" s="362"/>
      <c r="M1675" s="1901"/>
      <c r="N1675" s="1901"/>
      <c r="O1675" s="2293"/>
      <c r="P1675" s="1901"/>
    </row>
    <row r="1676" spans="1:22" s="2366" customFormat="1" ht="112.5">
      <c r="A1676" s="2327" t="str">
        <f>'Part VIII Scoring Criteria'!A185</f>
        <v>The applicant is not claiming points in this section as it is a 4% RAD Preservation.</v>
      </c>
      <c r="B1676" s="2327"/>
      <c r="C1676" s="2327"/>
      <c r="D1676" s="2327"/>
      <c r="E1676" s="2327"/>
      <c r="F1676" s="2327"/>
      <c r="G1676" s="2327"/>
      <c r="H1676" s="2327"/>
      <c r="I1676" s="2327"/>
      <c r="J1676" s="2327"/>
      <c r="K1676" s="2327"/>
      <c r="L1676" s="2327"/>
      <c r="M1676" s="2327"/>
      <c r="N1676" s="2327"/>
      <c r="O1676" s="2327"/>
      <c r="P1676" s="2327"/>
      <c r="Q1676" s="2017" t="s">
        <v>1181</v>
      </c>
    </row>
    <row r="1677" spans="1:22" s="2379" customFormat="1" ht="11.45" customHeight="1">
      <c r="A1677" s="359"/>
      <c r="B1677" s="2256" t="s">
        <v>1730</v>
      </c>
      <c r="C1677" s="359"/>
      <c r="D1677" s="2256"/>
      <c r="E1677" s="2252"/>
      <c r="F1677" s="2252"/>
      <c r="G1677" s="2252"/>
      <c r="H1677" s="2252"/>
      <c r="I1677" s="2252"/>
      <c r="J1677" s="2252"/>
      <c r="K1677" s="2252"/>
      <c r="L1677" s="2252"/>
      <c r="M1677" s="2252"/>
      <c r="N1677" s="2224"/>
      <c r="O1677" s="2224"/>
      <c r="P1677" s="1901"/>
      <c r="Q1677" s="2366"/>
    </row>
    <row r="1678" spans="1:22" s="2366" customFormat="1" ht="11.25" customHeight="1">
      <c r="A1678" s="2331"/>
      <c r="B1678" s="2331"/>
      <c r="C1678" s="2331"/>
      <c r="D1678" s="2331"/>
      <c r="E1678" s="2331"/>
      <c r="F1678" s="2331"/>
      <c r="G1678" s="2331"/>
      <c r="H1678" s="2331"/>
      <c r="I1678" s="2331"/>
      <c r="J1678" s="2331"/>
      <c r="K1678" s="2331"/>
      <c r="L1678" s="2331"/>
      <c r="M1678" s="2331"/>
      <c r="N1678" s="2331"/>
      <c r="O1678" s="2331"/>
      <c r="P1678" s="2331"/>
      <c r="Q1678" s="2017"/>
    </row>
    <row r="1679" spans="1:22" s="2366" customFormat="1" ht="3" customHeight="1">
      <c r="A1679" s="359"/>
      <c r="C1679" s="2330"/>
      <c r="D1679" s="2330"/>
      <c r="E1679" s="2330"/>
      <c r="F1679" s="2330"/>
      <c r="G1679" s="2330"/>
      <c r="H1679" s="2330"/>
      <c r="I1679" s="2330"/>
      <c r="J1679" s="2330"/>
      <c r="K1679" s="2330"/>
      <c r="L1679" s="2330"/>
      <c r="M1679" s="2330"/>
      <c r="N1679" s="2410"/>
      <c r="O1679" s="2410"/>
      <c r="P1679" s="1901"/>
    </row>
    <row r="1680" spans="1:22" s="2366" customFormat="1" ht="13.5" customHeight="1">
      <c r="A1680" s="2404" t="s">
        <v>401</v>
      </c>
      <c r="B1680" s="2253" t="s">
        <v>3345</v>
      </c>
      <c r="C1680" s="2330"/>
      <c r="D1680" s="2330"/>
      <c r="E1680" s="2330"/>
      <c r="F1680" s="2330"/>
      <c r="G1680" s="2330"/>
      <c r="H1680" s="2330"/>
      <c r="I1680" s="2330"/>
      <c r="J1680" s="2330"/>
      <c r="K1680" s="2330"/>
      <c r="L1680" s="2330"/>
      <c r="M1680" s="1901">
        <f>'Part VIII Scoring Criteria'!M189</f>
        <v>0</v>
      </c>
      <c r="N1680" s="2410"/>
      <c r="O1680" s="2410"/>
      <c r="P1680" s="2293">
        <f>'Part VIII Scoring Criteria'!P189</f>
        <v>0</v>
      </c>
      <c r="Q1680" s="1901" t="s">
        <v>416</v>
      </c>
      <c r="R1680" s="2030" t="s">
        <v>2461</v>
      </c>
    </row>
    <row r="1681" spans="1:24" s="2366" customFormat="1" ht="13.5" customHeight="1">
      <c r="A1681" s="2404"/>
      <c r="B1681" s="1505" t="s">
        <v>3677</v>
      </c>
      <c r="C1681" s="2330"/>
      <c r="D1681" s="2330"/>
      <c r="E1681" s="2330"/>
      <c r="F1681" s="2330"/>
      <c r="G1681" s="2330"/>
      <c r="H1681" s="2330"/>
      <c r="L1681" s="2482" t="str">
        <f>IF(OR(O$232&gt;0,O$204&gt;0),"Applicant is ineligible for points in this section!  Points claimed in Stable Communities or Community Designations.","")</f>
        <v/>
      </c>
      <c r="M1681" s="1901"/>
      <c r="N1681" s="2410"/>
      <c r="O1681" s="2344" t="str">
        <f>'Part VIII Scoring Criteria'!O190</f>
        <v>No</v>
      </c>
      <c r="P1681" s="2243"/>
      <c r="Q1681" s="1901"/>
      <c r="R1681" s="2449"/>
      <c r="S1681" s="2449"/>
      <c r="T1681" s="2449"/>
      <c r="U1681" s="2449"/>
    </row>
    <row r="1682" spans="1:24" s="2366" customFormat="1" ht="13.5" customHeight="1">
      <c r="A1682" s="2404"/>
      <c r="B1682" s="2255" t="s">
        <v>6261</v>
      </c>
      <c r="C1682" s="2330"/>
      <c r="D1682" s="2330"/>
      <c r="E1682" s="2330"/>
      <c r="F1682" s="2330"/>
      <c r="G1682" s="2330"/>
      <c r="H1682" s="2330"/>
      <c r="L1682" s="2483"/>
      <c r="M1682" s="1901"/>
      <c r="N1682" s="1901"/>
      <c r="O1682" s="1901"/>
      <c r="P1682" s="1901"/>
      <c r="Q1682" s="1901"/>
      <c r="R1682" s="2449"/>
      <c r="S1682" s="2449"/>
      <c r="T1682" s="2449"/>
      <c r="U1682" s="2449"/>
    </row>
    <row r="1683" spans="1:24" ht="11.45" customHeight="1">
      <c r="A1683" s="2239" t="s">
        <v>698</v>
      </c>
      <c r="B1683" s="1505" t="s">
        <v>6786</v>
      </c>
      <c r="D1683" s="359"/>
      <c r="G1683" s="1873"/>
      <c r="O1683" s="2243"/>
      <c r="P1683" s="2243"/>
      <c r="Q1683" s="2161"/>
    </row>
    <row r="1684" spans="1:24" s="2484" customFormat="1" ht="12.75" customHeight="1">
      <c r="B1684" s="2458" t="s">
        <v>1845</v>
      </c>
      <c r="C1684" s="1889" t="s">
        <v>6216</v>
      </c>
      <c r="D1684" s="2331"/>
      <c r="E1684" s="2331"/>
      <c r="F1684" s="2331"/>
      <c r="G1684" s="2331"/>
      <c r="H1684" s="2331"/>
      <c r="I1684" s="2331"/>
      <c r="J1684" s="2331"/>
      <c r="K1684" s="2331"/>
      <c r="L1684" s="2331"/>
      <c r="M1684" s="2345" t="s">
        <v>698</v>
      </c>
      <c r="N1684" s="2423" t="s">
        <v>1845</v>
      </c>
      <c r="O1684" s="2355" t="str">
        <f>'Part VIII Scoring Criteria'!O193</f>
        <v>N/a</v>
      </c>
      <c r="P1684" s="2337"/>
      <c r="Q1684" s="2485"/>
      <c r="V1684" s="2486"/>
      <c r="W1684" s="2486"/>
    </row>
    <row r="1685" spans="1:24" s="359" customFormat="1" ht="12.75" customHeight="1">
      <c r="A1685" s="2342"/>
      <c r="B1685" s="2458" t="s">
        <v>1847</v>
      </c>
      <c r="C1685" s="1875" t="s">
        <v>6217</v>
      </c>
      <c r="D1685" s="2292"/>
      <c r="E1685" s="2292"/>
      <c r="F1685" s="2292"/>
      <c r="G1685" s="2292"/>
      <c r="H1685" s="2292"/>
      <c r="I1685" s="2292"/>
      <c r="J1685" s="2292"/>
      <c r="K1685" s="2292"/>
      <c r="L1685" s="2292"/>
      <c r="M1685" s="2292"/>
      <c r="N1685" s="2423" t="s">
        <v>1847</v>
      </c>
      <c r="O1685" s="2344" t="str">
        <f>'Part VIII Scoring Criteria'!O194</f>
        <v>N/a</v>
      </c>
      <c r="P1685" s="2243"/>
      <c r="Q1685" s="2206"/>
      <c r="V1685" s="2487"/>
      <c r="W1685" s="2487"/>
    </row>
    <row r="1686" spans="1:24" s="359" customFormat="1" ht="18.75">
      <c r="A1686" s="2342"/>
      <c r="B1686" s="2458" t="s">
        <v>2333</v>
      </c>
      <c r="C1686" s="1889" t="s">
        <v>6220</v>
      </c>
      <c r="D1686" s="2331"/>
      <c r="E1686" s="2331"/>
      <c r="F1686" s="2331"/>
      <c r="G1686" s="2331"/>
      <c r="H1686" s="2331"/>
      <c r="I1686" s="2331"/>
      <c r="J1686" s="2331"/>
      <c r="K1686" s="2331"/>
      <c r="L1686" s="2331"/>
      <c r="M1686" s="2331"/>
      <c r="N1686" s="2423" t="s">
        <v>2333</v>
      </c>
      <c r="O1686" s="2355" t="str">
        <f>'Part VIII Scoring Criteria'!O195</f>
        <v>N/a</v>
      </c>
      <c r="P1686" s="2337"/>
      <c r="Q1686" s="2206"/>
      <c r="V1686" s="2487"/>
      <c r="W1686" s="2487"/>
    </row>
    <row r="1687" spans="1:24" ht="11.45" customHeight="1">
      <c r="A1687" s="2239" t="s">
        <v>1963</v>
      </c>
      <c r="B1687" s="1505" t="s">
        <v>6218</v>
      </c>
      <c r="D1687" s="359"/>
      <c r="G1687" s="1873"/>
      <c r="O1687" s="2243"/>
      <c r="P1687" s="2243"/>
      <c r="Q1687" s="2161"/>
    </row>
    <row r="1688" spans="1:24" s="2484" customFormat="1" ht="12.75" customHeight="1">
      <c r="B1688" s="2458" t="s">
        <v>1845</v>
      </c>
      <c r="C1688" s="1889" t="s">
        <v>6787</v>
      </c>
      <c r="D1688" s="2331"/>
      <c r="E1688" s="2331"/>
      <c r="F1688" s="2331"/>
      <c r="G1688" s="2331"/>
      <c r="H1688" s="2331"/>
      <c r="I1688" s="2331"/>
      <c r="J1688" s="2331"/>
      <c r="K1688" s="2331"/>
      <c r="L1688" s="2331"/>
      <c r="M1688" s="2345" t="s">
        <v>1963</v>
      </c>
      <c r="N1688" s="2423" t="s">
        <v>1845</v>
      </c>
      <c r="O1688" s="2355" t="str">
        <f>'Part VIII Scoring Criteria'!O197</f>
        <v>N/a</v>
      </c>
      <c r="P1688" s="2337"/>
      <c r="Q1688" s="2485"/>
      <c r="V1688" s="2486"/>
      <c r="W1688" s="2486"/>
    </row>
    <row r="1689" spans="1:24" s="359" customFormat="1" ht="12.75" customHeight="1">
      <c r="A1689" s="2342"/>
      <c r="B1689" s="2458" t="s">
        <v>1847</v>
      </c>
      <c r="C1689" s="1889" t="s">
        <v>6788</v>
      </c>
      <c r="D1689" s="2331"/>
      <c r="E1689" s="2331"/>
      <c r="F1689" s="2331"/>
      <c r="G1689" s="2331"/>
      <c r="H1689" s="2331"/>
      <c r="I1689" s="2331"/>
      <c r="J1689" s="2331"/>
      <c r="K1689" s="2331"/>
      <c r="L1689" s="2331"/>
      <c r="M1689" s="2292"/>
      <c r="N1689" s="2423" t="s">
        <v>1847</v>
      </c>
      <c r="O1689" s="2355" t="str">
        <f>'Part VIII Scoring Criteria'!O198</f>
        <v>N/a</v>
      </c>
      <c r="P1689" s="2337"/>
      <c r="Q1689" s="2206"/>
      <c r="V1689" s="2487"/>
      <c r="W1689" s="2487"/>
    </row>
    <row r="1690" spans="1:24" s="2366" customFormat="1" ht="12" customHeight="1">
      <c r="A1690" s="359"/>
      <c r="B1690" s="2256" t="s">
        <v>3244</v>
      </c>
      <c r="C1690" s="359"/>
      <c r="D1690" s="1505"/>
      <c r="E1690" s="1505"/>
      <c r="F1690" s="1505"/>
      <c r="G1690" s="1505"/>
      <c r="H1690" s="362"/>
      <c r="I1690" s="362"/>
      <c r="M1690" s="1901"/>
      <c r="N1690" s="1750"/>
      <c r="O1690" s="2293"/>
      <c r="P1690" s="1750"/>
    </row>
    <row r="1691" spans="1:24" s="2366" customFormat="1" ht="89.25">
      <c r="A1691" s="2070" t="str">
        <f>'Part VIII Scoring Criteria'!A200</f>
        <v>The applicant is not claiming points in this section as it is a 4% RAD Preservation.</v>
      </c>
      <c r="B1691" s="2070"/>
      <c r="C1691" s="2070"/>
      <c r="D1691" s="2070"/>
      <c r="E1691" s="2070"/>
      <c r="F1691" s="2070"/>
      <c r="G1691" s="2070"/>
      <c r="H1691" s="2070"/>
      <c r="I1691" s="2070"/>
      <c r="J1691" s="2070"/>
      <c r="K1691" s="2070"/>
      <c r="L1691" s="2070"/>
      <c r="M1691" s="2070"/>
      <c r="N1691" s="2070"/>
      <c r="O1691" s="2070"/>
      <c r="P1691" s="2070"/>
      <c r="Q1691" s="2017" t="s">
        <v>1181</v>
      </c>
    </row>
    <row r="1692" spans="1:24" s="2366" customFormat="1" ht="10.5" customHeight="1">
      <c r="A1692" s="359"/>
      <c r="B1692" s="2328" t="s">
        <v>1730</v>
      </c>
      <c r="C1692" s="359"/>
      <c r="D1692" s="2328"/>
      <c r="E1692" s="2330"/>
      <c r="F1692" s="2330"/>
      <c r="G1692" s="2330"/>
      <c r="H1692" s="2330"/>
      <c r="I1692" s="2330"/>
      <c r="J1692" s="2330"/>
      <c r="K1692" s="2330"/>
      <c r="L1692" s="2330"/>
      <c r="M1692" s="2330"/>
      <c r="N1692" s="2410"/>
      <c r="O1692" s="2410"/>
      <c r="P1692" s="1901"/>
    </row>
    <row r="1693" spans="1:24" s="2366" customFormat="1" ht="22.15" customHeight="1">
      <c r="A1693" s="2035"/>
      <c r="B1693" s="2035"/>
      <c r="C1693" s="2035"/>
      <c r="D1693" s="2035"/>
      <c r="E1693" s="2035"/>
      <c r="F1693" s="2035"/>
      <c r="G1693" s="2035"/>
      <c r="H1693" s="2035"/>
      <c r="I1693" s="2035"/>
      <c r="J1693" s="2035"/>
      <c r="K1693" s="2035"/>
      <c r="L1693" s="2035"/>
      <c r="M1693" s="2035"/>
      <c r="N1693" s="2035"/>
      <c r="O1693" s="2035"/>
      <c r="P1693" s="2035"/>
      <c r="Q1693" s="2017"/>
    </row>
    <row r="1694" spans="1:24" ht="6.75" customHeight="1">
      <c r="N1694" s="1750"/>
      <c r="O1694" s="1750"/>
      <c r="P1694" s="1750"/>
      <c r="V1694" s="2366"/>
      <c r="W1694" s="2366"/>
      <c r="X1694" s="2366"/>
    </row>
    <row r="1695" spans="1:24" s="2379" customFormat="1" ht="13.5" customHeight="1">
      <c r="A1695" s="2404" t="s">
        <v>342</v>
      </c>
      <c r="B1695" s="2253" t="s">
        <v>2500</v>
      </c>
      <c r="D1695" s="2256"/>
      <c r="E1695" s="2256"/>
      <c r="L1695" s="2342" t="str">
        <f>IF(AND(O1695&gt;0,NOT($M$54="New Supply")), "Ineligible to score in this section, not New Supply!","")</f>
        <v/>
      </c>
      <c r="M1695" s="1901">
        <f>'Part VIII Scoring Criteria'!M204</f>
        <v>0</v>
      </c>
      <c r="N1695" s="1901"/>
      <c r="O1695" s="2293">
        <f>'Part VIII Scoring Criteria'!O204</f>
        <v>0</v>
      </c>
      <c r="P1695" s="2293">
        <f>'Part VIII Scoring Criteria'!P204</f>
        <v>0</v>
      </c>
      <c r="Q1695" s="1901" t="s">
        <v>416</v>
      </c>
      <c r="R1695" s="2030"/>
      <c r="S1695" s="2488"/>
      <c r="T1695" s="2488"/>
      <c r="U1695" s="2488"/>
      <c r="V1695" s="2366"/>
      <c r="W1695" s="2366"/>
      <c r="X1695" s="2366"/>
    </row>
    <row r="1696" spans="1:24" s="2379" customFormat="1" ht="3" customHeight="1">
      <c r="A1696" s="2404"/>
      <c r="B1696" s="2253"/>
      <c r="D1696" s="2256"/>
      <c r="E1696" s="2256"/>
      <c r="G1696" s="2029"/>
      <c r="M1696" s="2243"/>
      <c r="Q1696" s="1901"/>
      <c r="S1696" s="2488"/>
      <c r="T1696" s="2488"/>
      <c r="U1696" s="2488"/>
      <c r="V1696" s="2366"/>
      <c r="W1696" s="2366"/>
      <c r="X1696" s="2366"/>
    </row>
    <row r="1697" spans="1:27" s="2379" customFormat="1" ht="12.75" customHeight="1">
      <c r="A1697" s="2489" t="s">
        <v>1842</v>
      </c>
      <c r="B1697" s="1505" t="s">
        <v>3828</v>
      </c>
      <c r="D1697" s="2256"/>
      <c r="E1697" s="2256"/>
      <c r="K1697" s="2490"/>
      <c r="M1697" s="1902">
        <v>5</v>
      </c>
      <c r="N1697" s="2342" t="s">
        <v>1842</v>
      </c>
      <c r="O1697" s="2438">
        <f>'Part VIII Scoring Criteria'!O206</f>
        <v>0</v>
      </c>
      <c r="P1697" s="2293"/>
      <c r="Q1697" s="2377" t="str">
        <f>IF(O1697&lt;=M1697,"","*CHECK!*")</f>
        <v/>
      </c>
      <c r="R1697" s="2030" t="s">
        <v>4064</v>
      </c>
      <c r="S1697" s="2488"/>
      <c r="T1697" s="2488"/>
      <c r="U1697" s="2488"/>
    </row>
    <row r="1698" spans="1:27" ht="12.75" customHeight="1">
      <c r="B1698" s="2489"/>
      <c r="C1698" s="362" t="s">
        <v>6263</v>
      </c>
      <c r="D1698" s="2379"/>
      <c r="E1698" s="2256"/>
      <c r="F1698" s="2256"/>
      <c r="G1698" s="2379"/>
      <c r="H1698" s="2379"/>
      <c r="I1698" s="2379"/>
      <c r="J1698" s="2281" t="str">
        <f>'Part VIII Scoring Criteria'!J207</f>
        <v>&lt;&lt; Select &gt;&gt;</v>
      </c>
      <c r="K1698" s="2281"/>
      <c r="L1698" s="2271"/>
      <c r="M1698" s="2271"/>
      <c r="N1698" s="1901"/>
      <c r="O1698" s="1750"/>
      <c r="P1698" s="1750"/>
      <c r="R1698" s="1901"/>
      <c r="S1698" s="2379"/>
    </row>
    <row r="1699" spans="1:27" ht="12.75" customHeight="1">
      <c r="C1699" s="2491" t="s">
        <v>6264</v>
      </c>
      <c r="D1699" s="807"/>
      <c r="J1699" s="2492">
        <f>'Part VIII Scoring Criteria'!J208</f>
        <v>0</v>
      </c>
      <c r="K1699" s="2182"/>
      <c r="L1699" s="2182"/>
      <c r="M1699" s="2182"/>
      <c r="N1699" s="1901"/>
      <c r="O1699" s="1901"/>
      <c r="P1699" s="1901"/>
      <c r="R1699" s="2379"/>
      <c r="S1699" s="2488"/>
    </row>
    <row r="1700" spans="1:27" ht="6" customHeight="1">
      <c r="A1700" s="360"/>
      <c r="B1700" s="2491"/>
      <c r="C1700" s="807"/>
      <c r="M1700" s="1901"/>
      <c r="N1700" s="1883"/>
      <c r="O1700" s="1901"/>
      <c r="P1700" s="1901"/>
      <c r="S1700" s="2488"/>
      <c r="T1700" s="2488"/>
      <c r="U1700" s="2488"/>
    </row>
    <row r="1701" spans="1:27" s="359" customFormat="1" ht="12.75" customHeight="1">
      <c r="A1701" s="1902" t="s">
        <v>1844</v>
      </c>
      <c r="B1701" s="2435" t="s">
        <v>6222</v>
      </c>
      <c r="C1701" s="362"/>
      <c r="K1701" s="2342"/>
      <c r="L1701" s="2342"/>
      <c r="M1701" s="1902">
        <v>5</v>
      </c>
      <c r="N1701" s="2342" t="s">
        <v>1844</v>
      </c>
      <c r="O1701" s="2438">
        <f>'Part VIII Scoring Criteria'!O210</f>
        <v>0</v>
      </c>
      <c r="P1701" s="2293"/>
      <c r="Q1701" s="2377" t="str">
        <f>IF(O1701&lt;=M1701,"","*CHECK!*")</f>
        <v/>
      </c>
      <c r="R1701" s="2030" t="s">
        <v>4064</v>
      </c>
      <c r="S1701" s="2488"/>
      <c r="T1701" s="2488"/>
      <c r="U1701" s="2488"/>
    </row>
    <row r="1702" spans="1:27">
      <c r="C1702" s="2493" t="s">
        <v>6228</v>
      </c>
      <c r="E1702" s="2493" t="s">
        <v>6227</v>
      </c>
      <c r="F1702" s="2493"/>
      <c r="G1702" s="2493"/>
      <c r="H1702" s="2493"/>
      <c r="I1702" s="808" t="s">
        <v>6254</v>
      </c>
      <c r="J1702" s="2493" t="s">
        <v>6227</v>
      </c>
      <c r="K1702" s="2493"/>
      <c r="L1702" s="2493"/>
      <c r="M1702" s="2493"/>
    </row>
    <row r="1703" spans="1:27" ht="13.5" customHeight="1">
      <c r="B1703" s="360"/>
      <c r="C1703" s="362" t="s">
        <v>6225</v>
      </c>
      <c r="E1703" s="2494">
        <f>'Part VIII Scoring Criteria'!E212</f>
        <v>0</v>
      </c>
      <c r="F1703" s="2494"/>
      <c r="G1703" s="2494"/>
      <c r="H1703" s="2494"/>
      <c r="I1703" s="2495" t="s">
        <v>907</v>
      </c>
      <c r="J1703" s="2275"/>
      <c r="K1703" s="2275"/>
      <c r="L1703" s="2275"/>
      <c r="M1703" s="2275"/>
      <c r="O1703" s="1750"/>
      <c r="P1703" s="1750"/>
      <c r="Q1703" s="1750"/>
      <c r="R1703" s="1750"/>
      <c r="S1703" s="1750"/>
      <c r="T1703" s="1750"/>
      <c r="U1703" s="1750"/>
      <c r="V1703" s="1750"/>
      <c r="W1703" s="1750"/>
      <c r="X1703" s="1750"/>
      <c r="Y1703" s="1750"/>
      <c r="Z1703" s="1750"/>
      <c r="AA1703" s="2496"/>
    </row>
    <row r="1704" spans="1:27" ht="13.5" customHeight="1">
      <c r="C1704" s="362" t="s">
        <v>6226</v>
      </c>
      <c r="E1704" s="2494">
        <f>'Part VIII Scoring Criteria'!E213</f>
        <v>0</v>
      </c>
      <c r="F1704" s="2494"/>
      <c r="G1704" s="2494"/>
      <c r="H1704" s="2494"/>
      <c r="I1704" s="2497">
        <f>'Part VIII Scoring Criteria'!I213</f>
        <v>0</v>
      </c>
      <c r="J1704" s="2275"/>
      <c r="K1704" s="2275"/>
      <c r="L1704" s="2275"/>
      <c r="M1704" s="2275"/>
      <c r="N1704" s="2377" t="str">
        <f>IF(P1701&lt;=N1701,"","*CHECK!*")</f>
        <v/>
      </c>
      <c r="O1704" s="1750"/>
      <c r="P1704" s="1750"/>
      <c r="Q1704" s="1750"/>
      <c r="R1704" s="1750"/>
      <c r="S1704" s="1750"/>
      <c r="T1704" s="1750"/>
      <c r="U1704" s="1750"/>
      <c r="V1704" s="1750"/>
      <c r="W1704" s="1750"/>
      <c r="X1704" s="1750"/>
      <c r="Y1704" s="1750"/>
      <c r="Z1704" s="1750"/>
      <c r="AA1704" s="2496"/>
    </row>
    <row r="1705" spans="1:27" ht="13.5" customHeight="1">
      <c r="B1705" s="360"/>
      <c r="C1705" s="362" t="s">
        <v>6223</v>
      </c>
      <c r="E1705" s="2494">
        <f>'Part VIII Scoring Criteria'!E214</f>
        <v>0</v>
      </c>
      <c r="F1705" s="2494"/>
      <c r="G1705" s="2494"/>
      <c r="H1705" s="2494"/>
      <c r="I1705" s="2497">
        <f>'Part VIII Scoring Criteria'!I214</f>
        <v>0</v>
      </c>
      <c r="J1705" s="2275"/>
      <c r="K1705" s="2275"/>
      <c r="L1705" s="2275"/>
      <c r="M1705" s="2275"/>
      <c r="O1705" s="1750"/>
      <c r="P1705" s="1750"/>
      <c r="Q1705" s="1750"/>
      <c r="R1705" s="1750"/>
      <c r="S1705" s="1750"/>
      <c r="T1705" s="1750"/>
      <c r="U1705" s="1750"/>
      <c r="V1705" s="1750"/>
      <c r="W1705" s="1750"/>
      <c r="X1705" s="1750"/>
      <c r="Y1705" s="1750"/>
      <c r="Z1705" s="1750"/>
      <c r="AA1705" s="2496"/>
    </row>
    <row r="1706" spans="1:27" ht="13.5" customHeight="1">
      <c r="B1706" s="807"/>
      <c r="C1706" s="362" t="s">
        <v>6224</v>
      </c>
      <c r="E1706" s="2498">
        <f>'Part VIII Scoring Criteria'!E215</f>
        <v>0</v>
      </c>
      <c r="F1706" s="2498"/>
      <c r="G1706" s="2498"/>
      <c r="H1706" s="2498"/>
      <c r="I1706" s="2499">
        <f>'Part VIII Scoring Criteria'!I215</f>
        <v>0</v>
      </c>
      <c r="J1706" s="2500"/>
      <c r="K1706" s="2500"/>
      <c r="L1706" s="2500"/>
      <c r="M1706" s="2500"/>
      <c r="N1706" s="807"/>
      <c r="O1706" s="1750"/>
      <c r="P1706" s="1750"/>
      <c r="Q1706" s="1750"/>
      <c r="R1706" s="1750"/>
      <c r="S1706" s="1750"/>
      <c r="T1706" s="1750"/>
      <c r="U1706" s="1750"/>
      <c r="V1706" s="1750"/>
      <c r="W1706" s="1750"/>
      <c r="X1706" s="1750"/>
      <c r="Y1706" s="1750"/>
      <c r="Z1706" s="1750"/>
      <c r="AA1706" s="2496"/>
    </row>
    <row r="1707" spans="1:27" ht="6" customHeight="1">
      <c r="B1707" s="807"/>
      <c r="C1707" s="2491"/>
      <c r="D1707" s="807"/>
      <c r="N1707" s="1901"/>
      <c r="O1707" s="1883"/>
      <c r="P1707" s="1901"/>
      <c r="Q1707" s="1901"/>
      <c r="R1707" s="1901"/>
      <c r="S1707" s="1901"/>
      <c r="T1707" s="1901"/>
      <c r="U1707" s="1901"/>
      <c r="V1707" s="1901"/>
      <c r="W1707" s="1901"/>
      <c r="X1707" s="1901"/>
      <c r="Y1707" s="1901"/>
      <c r="Z1707" s="1901"/>
    </row>
    <row r="1708" spans="1:27" ht="3" customHeight="1">
      <c r="A1708" s="360"/>
      <c r="B1708" s="2491"/>
      <c r="C1708" s="807"/>
      <c r="M1708" s="1901"/>
      <c r="N1708" s="1883"/>
      <c r="O1708" s="1901"/>
      <c r="P1708" s="1901"/>
      <c r="S1708" s="2501"/>
      <c r="T1708" s="2501"/>
      <c r="U1708" s="2501"/>
      <c r="V1708" s="2501"/>
      <c r="W1708" s="2501"/>
    </row>
    <row r="1709" spans="1:27" s="2366" customFormat="1" ht="10.5" customHeight="1">
      <c r="A1709" s="359"/>
      <c r="B1709" s="2256" t="s">
        <v>3244</v>
      </c>
      <c r="C1709" s="359"/>
      <c r="D1709" s="1505"/>
      <c r="E1709" s="1505"/>
      <c r="F1709" s="1505"/>
      <c r="G1709" s="1505"/>
      <c r="H1709" s="362"/>
      <c r="I1709" s="362"/>
      <c r="J1709" s="362"/>
      <c r="K1709" s="362"/>
      <c r="M1709" s="1901"/>
      <c r="N1709" s="1750"/>
      <c r="O1709" s="2293"/>
      <c r="P1709" s="1750"/>
    </row>
    <row r="1710" spans="1:27" s="2366" customFormat="1" ht="112.5">
      <c r="A1710" s="2327" t="str">
        <f>'Part VIII Scoring Criteria'!A219</f>
        <v>The applicant is not claiming points in this section as it is a 4% RAD Preservation.</v>
      </c>
      <c r="B1710" s="2327"/>
      <c r="C1710" s="2327"/>
      <c r="D1710" s="2327"/>
      <c r="E1710" s="2327"/>
      <c r="F1710" s="2327"/>
      <c r="G1710" s="2327"/>
      <c r="H1710" s="2327"/>
      <c r="I1710" s="2327"/>
      <c r="J1710" s="2327"/>
      <c r="K1710" s="2327"/>
      <c r="L1710" s="2327"/>
      <c r="M1710" s="2327"/>
      <c r="N1710" s="2327"/>
      <c r="O1710" s="2327"/>
      <c r="P1710" s="2327"/>
      <c r="Q1710" s="2017" t="s">
        <v>1181</v>
      </c>
    </row>
    <row r="1711" spans="1:27" ht="2.25" customHeight="1">
      <c r="A1711" s="360"/>
      <c r="B1711" s="2491"/>
      <c r="C1711" s="807"/>
      <c r="M1711" s="1901"/>
      <c r="N1711" s="1883"/>
      <c r="O1711" s="1901"/>
      <c r="P1711" s="1901"/>
    </row>
    <row r="1712" spans="1:27" s="2366" customFormat="1" ht="10.5" customHeight="1">
      <c r="A1712" s="359"/>
      <c r="B1712" s="2328" t="s">
        <v>1730</v>
      </c>
      <c r="C1712" s="359"/>
      <c r="D1712" s="2328"/>
      <c r="E1712" s="2330"/>
      <c r="F1712" s="2330"/>
      <c r="G1712" s="2330"/>
      <c r="H1712" s="2330"/>
      <c r="I1712" s="2330"/>
      <c r="J1712" s="2330"/>
      <c r="K1712" s="2330"/>
      <c r="L1712" s="2330"/>
      <c r="M1712" s="2330"/>
      <c r="N1712" s="2410"/>
      <c r="O1712" s="2410"/>
      <c r="P1712" s="1901"/>
    </row>
    <row r="1713" spans="1:24" s="2366" customFormat="1" ht="11.25" customHeight="1">
      <c r="A1713" s="2035"/>
      <c r="B1713" s="2035"/>
      <c r="C1713" s="2035"/>
      <c r="D1713" s="2035"/>
      <c r="E1713" s="2035"/>
      <c r="F1713" s="2035"/>
      <c r="G1713" s="2035"/>
      <c r="H1713" s="2035"/>
      <c r="I1713" s="2035"/>
      <c r="J1713" s="2035"/>
      <c r="K1713" s="2035"/>
      <c r="L1713" s="2035"/>
      <c r="M1713" s="2035"/>
      <c r="N1713" s="2035"/>
      <c r="O1713" s="2035"/>
      <c r="P1713" s="2035"/>
      <c r="Q1713" s="2017"/>
    </row>
    <row r="1714" spans="1:24" s="2366" customFormat="1" ht="5.25" customHeight="1">
      <c r="A1714" s="359"/>
      <c r="D1714" s="362"/>
      <c r="E1714" s="362"/>
      <c r="F1714" s="1901"/>
      <c r="G1714" s="1901"/>
      <c r="H1714" s="1901"/>
      <c r="I1714" s="1901"/>
      <c r="J1714" s="1875"/>
      <c r="K1714" s="1875"/>
      <c r="L1714" s="1875"/>
      <c r="M1714" s="2243"/>
      <c r="N1714" s="1901"/>
      <c r="O1714" s="1750"/>
      <c r="P1714" s="2293"/>
    </row>
    <row r="1715" spans="1:24" ht="13.5" customHeight="1">
      <c r="A1715" s="2404" t="s">
        <v>343</v>
      </c>
      <c r="B1715" s="2502" t="s">
        <v>4040</v>
      </c>
      <c r="C1715" s="807"/>
      <c r="G1715" s="2161" t="s">
        <v>6257</v>
      </c>
      <c r="H1715" s="1322" t="str">
        <f>IF(OR($M$34="9% Credit Competitive Round only", $M$34="9% Credit &amp; HOME"),"9%",IF(OR($M$34="4% Credit/TE Bond", $M$34="4% Credit/TE Bond &amp; HOME", $M$34="4% Credit/TE Bond &amp; HOME NOFA", $M$34="4% Credit &amp; NHTF", $M$34="4% Credit &amp; NHTF &amp; HOME"),"4%",""))</f>
        <v/>
      </c>
      <c r="J1715" s="2161" t="s">
        <v>363</v>
      </c>
      <c r="K1715" s="2029" t="str">
        <f>M1545</f>
        <v>Preservation</v>
      </c>
      <c r="L1715" s="2029"/>
      <c r="M1715" s="1901">
        <f>'Part VIII Scoring Criteria'!M224</f>
        <v>0</v>
      </c>
      <c r="N1715" s="1883"/>
      <c r="O1715" s="2293">
        <f>'Part VIII Scoring Criteria'!O224</f>
        <v>0</v>
      </c>
      <c r="P1715" s="2293">
        <f>'Part VIII Scoring Criteria'!P224</f>
        <v>0</v>
      </c>
      <c r="Q1715" s="1901" t="s">
        <v>416</v>
      </c>
      <c r="R1715" s="2161" t="str">
        <f>IF(AND(O1715&gt;0,NOT($M$54="New Supply")), "Ineligible to score in this section, not New Supply!","")</f>
        <v/>
      </c>
    </row>
    <row r="1716" spans="1:24" s="2366" customFormat="1" ht="12" customHeight="1">
      <c r="A1716" s="359"/>
      <c r="B1716" s="2503" t="s">
        <v>6258</v>
      </c>
      <c r="D1716" s="362"/>
      <c r="E1716" s="362"/>
      <c r="F1716" s="1901"/>
      <c r="G1716" s="2243" t="s">
        <v>3156</v>
      </c>
      <c r="H1716" s="2350">
        <f>IF('Part V-Revenues &amp; Expenses'!$P$67=0,0,'Part V-Revenues &amp; Expenses'!$P$64/'Part V-Revenues &amp; Expenses'!$P$67)</f>
        <v>0</v>
      </c>
      <c r="J1716" s="1873" t="s">
        <v>3965</v>
      </c>
      <c r="K1716" s="2351" t="str">
        <f>'Part V-Revenues &amp; Expenses'!$O$53</f>
        <v>Income Averaging</v>
      </c>
      <c r="L1716" s="2351"/>
      <c r="M1716" s="2243"/>
      <c r="N1716" s="1901"/>
      <c r="O1716" s="1750"/>
      <c r="P1716" s="2293"/>
    </row>
    <row r="1717" spans="1:24" ht="12" customHeight="1">
      <c r="A1717" s="1902" t="s">
        <v>1842</v>
      </c>
      <c r="B1717" s="807" t="s">
        <v>3963</v>
      </c>
      <c r="C1717" s="807"/>
      <c r="E1717" s="403" t="s">
        <v>3964</v>
      </c>
      <c r="M1717" s="1902">
        <v>1</v>
      </c>
      <c r="N1717" s="2342" t="s">
        <v>1842</v>
      </c>
      <c r="O1717" s="2438">
        <f>'Part VIII Scoring Criteria'!O226</f>
        <v>0</v>
      </c>
      <c r="P1717" s="2293"/>
      <c r="Q1717" s="2462" t="str">
        <f>IF(OR($O1717=$M1717,$O1717=0,$O1717=""),"","*CHECK!*")</f>
        <v/>
      </c>
      <c r="R1717" s="2030" t="s">
        <v>4064</v>
      </c>
    </row>
    <row r="1718" spans="1:24" ht="12" customHeight="1">
      <c r="A1718" s="1902" t="s">
        <v>1844</v>
      </c>
      <c r="B1718" s="807" t="s">
        <v>3818</v>
      </c>
      <c r="C1718" s="807"/>
      <c r="E1718" s="403" t="s">
        <v>4045</v>
      </c>
      <c r="M1718" s="1883">
        <v>1</v>
      </c>
      <c r="N1718" s="2342" t="s">
        <v>1844</v>
      </c>
      <c r="O1718" s="2438">
        <f>'Part VIII Scoring Criteria'!O227</f>
        <v>0</v>
      </c>
      <c r="P1718" s="2293"/>
      <c r="Q1718" s="2462" t="str">
        <f>IF(OR($O1718=$M1718,$O1718=0,$O1718=""),"","*CHECK!*")</f>
        <v/>
      </c>
      <c r="R1718" s="2030" t="s">
        <v>4064</v>
      </c>
    </row>
    <row r="1719" spans="1:24" ht="2.25" customHeight="1">
      <c r="A1719" s="360"/>
      <c r="B1719" s="2491"/>
      <c r="C1719" s="807"/>
      <c r="M1719" s="1901"/>
      <c r="N1719" s="1883"/>
      <c r="O1719" s="1901"/>
      <c r="P1719" s="1901"/>
    </row>
    <row r="1720" spans="1:24" s="2366" customFormat="1" ht="11.25" customHeight="1">
      <c r="A1720" s="359"/>
      <c r="B1720" s="2328" t="s">
        <v>1730</v>
      </c>
      <c r="C1720" s="359"/>
      <c r="D1720" s="2328"/>
      <c r="E1720" s="2330"/>
      <c r="F1720" s="2330"/>
      <c r="G1720" s="2330"/>
      <c r="H1720" s="2330"/>
      <c r="I1720" s="2330"/>
      <c r="J1720" s="2330"/>
      <c r="K1720" s="2330"/>
      <c r="L1720" s="2330"/>
      <c r="M1720" s="2330"/>
      <c r="N1720" s="2410"/>
      <c r="O1720" s="2410"/>
      <c r="P1720" s="1901"/>
    </row>
    <row r="1721" spans="1:24" s="2366" customFormat="1" ht="11.25" customHeight="1">
      <c r="A1721" s="2035"/>
      <c r="B1721" s="2035"/>
      <c r="C1721" s="2035"/>
      <c r="D1721" s="2035"/>
      <c r="E1721" s="2035"/>
      <c r="F1721" s="2035"/>
      <c r="G1721" s="2035"/>
      <c r="H1721" s="2035"/>
      <c r="I1721" s="2035"/>
      <c r="J1721" s="2035"/>
      <c r="K1721" s="2035"/>
      <c r="L1721" s="2035"/>
      <c r="M1721" s="2035"/>
      <c r="N1721" s="2035"/>
      <c r="O1721" s="2035"/>
      <c r="P1721" s="2035"/>
      <c r="Q1721" s="2017"/>
    </row>
    <row r="1722" spans="1:24" s="2366" customFormat="1" ht="5.25" customHeight="1">
      <c r="A1722" s="359"/>
      <c r="D1722" s="362"/>
      <c r="E1722" s="362"/>
      <c r="F1722" s="1901"/>
      <c r="G1722" s="1901"/>
      <c r="H1722" s="1901"/>
      <c r="I1722" s="1901"/>
      <c r="J1722" s="1875"/>
      <c r="K1722" s="1875"/>
      <c r="L1722" s="1875"/>
      <c r="M1722" s="2243"/>
      <c r="N1722" s="1901"/>
      <c r="O1722" s="1750"/>
      <c r="P1722" s="2293"/>
    </row>
    <row r="1723" spans="1:24" s="2379" customFormat="1" ht="13.5" customHeight="1">
      <c r="A1723" s="2404" t="s">
        <v>344</v>
      </c>
      <c r="B1723" s="2253" t="s">
        <v>3346</v>
      </c>
      <c r="D1723" s="2256"/>
      <c r="E1723" s="2256"/>
      <c r="G1723" s="2503"/>
      <c r="H1723" s="2029"/>
      <c r="I1723" s="2029"/>
      <c r="J1723" s="2029"/>
      <c r="K1723" s="2029"/>
      <c r="L1723" s="2342" t="str">
        <f>IF(AND(O1723&gt;0,NOT($M$54="New Supply")), "Ineligible to score in this section, not New Supply!","")</f>
        <v/>
      </c>
      <c r="M1723" s="1901">
        <f>'Part VIII Scoring Criteria'!M232</f>
        <v>0</v>
      </c>
      <c r="N1723" s="1901"/>
      <c r="O1723" s="2293">
        <f>'Part VIII Scoring Criteria'!O232</f>
        <v>0</v>
      </c>
      <c r="P1723" s="2293">
        <f>'Part VIII Scoring Criteria'!P232</f>
        <v>0</v>
      </c>
      <c r="Q1723" s="1901" t="s">
        <v>416</v>
      </c>
      <c r="R1723" s="2488"/>
      <c r="S1723" s="2488"/>
      <c r="T1723" s="2488"/>
      <c r="U1723" s="2488"/>
      <c r="V1723" s="2488"/>
    </row>
    <row r="1724" spans="1:24" s="2379" customFormat="1" ht="3" customHeight="1">
      <c r="A1724" s="2404"/>
      <c r="B1724" s="2253"/>
      <c r="D1724" s="2256"/>
      <c r="E1724" s="2256"/>
      <c r="G1724" s="2029"/>
      <c r="M1724" s="2243"/>
      <c r="Q1724" s="1901"/>
      <c r="R1724" s="2488"/>
      <c r="S1724" s="2488"/>
      <c r="T1724" s="2488"/>
      <c r="U1724" s="2488"/>
      <c r="V1724" s="2488"/>
      <c r="W1724" s="2366"/>
      <c r="X1724" s="2366"/>
    </row>
    <row r="1725" spans="1:24" ht="11.25" customHeight="1">
      <c r="A1725" s="1902" t="s">
        <v>1842</v>
      </c>
      <c r="B1725" s="2339" t="s">
        <v>3266</v>
      </c>
      <c r="D1725" s="2339"/>
      <c r="E1725" s="2339"/>
      <c r="F1725" s="2339"/>
      <c r="G1725" s="2339"/>
      <c r="H1725" s="2339"/>
      <c r="L1725" s="2339"/>
      <c r="M1725" s="2225" t="str">
        <f>IF(AND(O1725="Yes",O1726="Yes"),"Only one category can be selected!","")</f>
        <v/>
      </c>
      <c r="N1725" s="2342" t="s">
        <v>1842</v>
      </c>
      <c r="O1725" s="2344" t="str">
        <f>'Part VIII Scoring Criteria'!O234</f>
        <v>N/a</v>
      </c>
      <c r="P1725" s="2243"/>
      <c r="Q1725" s="808"/>
      <c r="R1725" s="2488"/>
      <c r="S1725" s="2488"/>
      <c r="T1725" s="2488"/>
      <c r="U1725" s="2488"/>
      <c r="V1725" s="2488"/>
    </row>
    <row r="1726" spans="1:24" ht="11.25" customHeight="1">
      <c r="A1726" s="1902" t="s">
        <v>1844</v>
      </c>
      <c r="B1726" s="2339" t="s">
        <v>3267</v>
      </c>
      <c r="D1726" s="2339"/>
      <c r="L1726" s="2339"/>
      <c r="M1726" s="2225"/>
      <c r="N1726" s="2342" t="s">
        <v>1844</v>
      </c>
      <c r="O1726" s="2344" t="str">
        <f>'Part VIII Scoring Criteria'!O235</f>
        <v>N/a</v>
      </c>
      <c r="P1726" s="2243"/>
      <c r="Q1726" s="808"/>
      <c r="R1726" s="2488"/>
      <c r="S1726" s="2488"/>
      <c r="T1726" s="2488"/>
      <c r="U1726" s="2488"/>
      <c r="V1726" s="2488"/>
    </row>
    <row r="1727" spans="1:24" s="2366" customFormat="1" ht="10.5" customHeight="1">
      <c r="A1727" s="359"/>
      <c r="B1727" s="2256" t="s">
        <v>3244</v>
      </c>
      <c r="C1727" s="359"/>
      <c r="D1727" s="1505"/>
      <c r="E1727" s="1505"/>
      <c r="F1727" s="1505"/>
      <c r="G1727" s="1505"/>
      <c r="H1727" s="362"/>
      <c r="I1727" s="362"/>
      <c r="J1727" s="362"/>
      <c r="K1727" s="362"/>
      <c r="M1727" s="1901"/>
      <c r="N1727" s="1750"/>
      <c r="O1727" s="2293"/>
      <c r="P1727" s="1750"/>
      <c r="R1727" s="2488"/>
      <c r="S1727" s="2488"/>
      <c r="T1727" s="2488"/>
      <c r="U1727" s="2488"/>
      <c r="V1727" s="2488"/>
    </row>
    <row r="1728" spans="1:24" s="2366" customFormat="1" ht="112.5">
      <c r="A1728" s="2327" t="str">
        <f>'Part VIII Scoring Criteria'!A237</f>
        <v>The applicant is not claiming points in this section as it is a 4% RAD Preservation.</v>
      </c>
      <c r="B1728" s="2327"/>
      <c r="C1728" s="2327"/>
      <c r="D1728" s="2327"/>
      <c r="E1728" s="2327"/>
      <c r="F1728" s="2327"/>
      <c r="G1728" s="2327"/>
      <c r="H1728" s="2327"/>
      <c r="I1728" s="2327"/>
      <c r="J1728" s="2327"/>
      <c r="K1728" s="2327"/>
      <c r="L1728" s="2327"/>
      <c r="M1728" s="2327"/>
      <c r="N1728" s="2327"/>
      <c r="O1728" s="2327"/>
      <c r="P1728" s="2327"/>
      <c r="Q1728" s="2017" t="s">
        <v>1181</v>
      </c>
    </row>
    <row r="1729" spans="1:27" s="2366" customFormat="1" ht="10.5" customHeight="1">
      <c r="A1729" s="359"/>
      <c r="B1729" s="2328" t="s">
        <v>1730</v>
      </c>
      <c r="C1729" s="359"/>
      <c r="D1729" s="2328"/>
      <c r="E1729" s="2330"/>
      <c r="F1729" s="2330"/>
      <c r="G1729" s="2330"/>
      <c r="H1729" s="2330"/>
      <c r="I1729" s="2330"/>
      <c r="J1729" s="2330"/>
      <c r="K1729" s="2330"/>
      <c r="L1729" s="2330"/>
      <c r="M1729" s="2330"/>
      <c r="N1729" s="2410"/>
      <c r="O1729" s="2410"/>
      <c r="P1729" s="1901"/>
    </row>
    <row r="1730" spans="1:27" s="2366" customFormat="1" ht="11.25" customHeight="1">
      <c r="A1730" s="2035"/>
      <c r="B1730" s="2035"/>
      <c r="C1730" s="2035"/>
      <c r="D1730" s="2035"/>
      <c r="E1730" s="2035"/>
      <c r="F1730" s="2035"/>
      <c r="G1730" s="2035"/>
      <c r="H1730" s="2035"/>
      <c r="I1730" s="2035"/>
      <c r="J1730" s="2035"/>
      <c r="K1730" s="2035"/>
      <c r="L1730" s="2035"/>
      <c r="M1730" s="2035"/>
      <c r="N1730" s="2035"/>
      <c r="O1730" s="2035"/>
      <c r="P1730" s="2035"/>
      <c r="Q1730" s="2017"/>
    </row>
    <row r="1731" spans="1:27" s="2366" customFormat="1" ht="5.25" customHeight="1">
      <c r="A1731" s="359"/>
      <c r="D1731" s="362"/>
      <c r="E1731" s="362"/>
      <c r="F1731" s="1901"/>
      <c r="G1731" s="1901"/>
      <c r="H1731" s="1901"/>
      <c r="I1731" s="1901"/>
      <c r="J1731" s="1875"/>
      <c r="K1731" s="1875"/>
      <c r="L1731" s="1875"/>
      <c r="M1731" s="2243"/>
      <c r="N1731" s="1901"/>
      <c r="O1731" s="1750"/>
      <c r="P1731" s="2293"/>
    </row>
    <row r="1732" spans="1:27" s="2366" customFormat="1" ht="13.5" customHeight="1">
      <c r="A1732" s="2404" t="s">
        <v>1605</v>
      </c>
      <c r="B1732" s="2253" t="s">
        <v>4042</v>
      </c>
      <c r="D1732" s="2444"/>
      <c r="E1732" s="1875" t="str">
        <f>IF(AND(O1732&gt;0,NOT($M$54="New Supply")), "Ineligible to score in this section, not New Supply!","")</f>
        <v/>
      </c>
      <c r="F1732" s="2444"/>
      <c r="G1732" s="2444"/>
      <c r="H1732" s="2444"/>
      <c r="I1732" s="2444"/>
      <c r="J1732" s="2444"/>
      <c r="K1732" s="2444"/>
      <c r="L1732" s="2308" t="str">
        <f>IF(AND(O1732&gt;0, NOT(O1733="Yes")), "These points are only available to Phased Developments!", "")</f>
        <v/>
      </c>
      <c r="M1732" s="1901">
        <f>'Part VIII Scoring Criteria'!M241</f>
        <v>0</v>
      </c>
      <c r="N1732" s="1901"/>
      <c r="O1732" s="2438">
        <f>'Part VIII Scoring Criteria'!O241</f>
        <v>0</v>
      </c>
      <c r="P1732" s="2293">
        <f>'Part VIII Scoring Criteria'!P241</f>
        <v>0</v>
      </c>
      <c r="Q1732" s="1901" t="s">
        <v>416</v>
      </c>
      <c r="R1732" s="2030" t="s">
        <v>4064</v>
      </c>
      <c r="S1732" s="2020"/>
      <c r="T1732" s="2020"/>
      <c r="U1732" s="2020"/>
      <c r="V1732" s="2020"/>
      <c r="W1732" s="403"/>
      <c r="X1732" s="403"/>
    </row>
    <row r="1733" spans="1:27" s="807" customFormat="1" ht="11.25">
      <c r="A1733" s="2458"/>
      <c r="B1733" s="1889" t="s">
        <v>6265</v>
      </c>
      <c r="C1733" s="1889"/>
      <c r="D1733" s="1889"/>
      <c r="E1733" s="1889"/>
      <c r="F1733" s="1889"/>
      <c r="G1733" s="1889"/>
      <c r="H1733" s="1889"/>
      <c r="I1733" s="1889"/>
      <c r="J1733" s="1889"/>
      <c r="K1733" s="1889"/>
      <c r="L1733" s="1889"/>
      <c r="M1733" s="1889"/>
      <c r="N1733" s="2336"/>
      <c r="O1733" s="2355" t="str">
        <f>'Part VIII Scoring Criteria'!O242</f>
        <v>N/a</v>
      </c>
      <c r="P1733" s="2337"/>
      <c r="Q1733" s="2331"/>
      <c r="R1733" s="2331"/>
      <c r="S1733" s="2331"/>
      <c r="T1733" s="2331"/>
      <c r="U1733" s="2331"/>
      <c r="V1733" s="2331"/>
      <c r="W1733" s="2331"/>
      <c r="X1733" s="2331"/>
      <c r="Y1733" s="2331"/>
      <c r="Z1733" s="2331"/>
      <c r="AA1733" s="2331"/>
    </row>
    <row r="1734" spans="1:27" s="362" customFormat="1" ht="11.25" customHeight="1">
      <c r="A1734" s="2451"/>
      <c r="B1734" s="2458" t="s">
        <v>1845</v>
      </c>
      <c r="C1734" s="362" t="s">
        <v>6266</v>
      </c>
      <c r="E1734" s="1875" t="s">
        <v>3314</v>
      </c>
      <c r="G1734" s="2344">
        <f>'Part VIII Scoring Criteria'!G243</f>
        <v>0</v>
      </c>
      <c r="H1734" s="2342" t="s">
        <v>574</v>
      </c>
      <c r="I1734" s="2211">
        <f>'Part VIII Scoring Criteria'!I243</f>
        <v>0</v>
      </c>
      <c r="J1734" s="2211"/>
      <c r="L1734" s="2362" t="s">
        <v>6268</v>
      </c>
      <c r="M1734" s="2504">
        <f>'Part VIII Scoring Criteria'!M243</f>
        <v>0</v>
      </c>
      <c r="N1734" s="2504"/>
    </row>
    <row r="1735" spans="1:27" s="362" customFormat="1" ht="11.25" customHeight="1">
      <c r="A1735" s="2451"/>
      <c r="B1735" s="2458" t="s">
        <v>1847</v>
      </c>
      <c r="C1735" s="362" t="s">
        <v>6267</v>
      </c>
      <c r="E1735" s="1875" t="s">
        <v>3314</v>
      </c>
      <c r="G1735" s="2344">
        <f>'Part VIII Scoring Criteria'!G244</f>
        <v>0</v>
      </c>
      <c r="H1735" s="2342" t="s">
        <v>574</v>
      </c>
      <c r="I1735" s="2211">
        <f>'Part VIII Scoring Criteria'!I244</f>
        <v>0</v>
      </c>
      <c r="J1735" s="2211"/>
      <c r="L1735" s="2362" t="s">
        <v>6268</v>
      </c>
      <c r="M1735" s="2504">
        <f>'Part VIII Scoring Criteria'!M244</f>
        <v>0</v>
      </c>
      <c r="N1735" s="2504"/>
    </row>
    <row r="1736" spans="1:27" s="2366" customFormat="1" ht="5.25" customHeight="1">
      <c r="A1736" s="359"/>
      <c r="D1736" s="362"/>
      <c r="E1736" s="362"/>
      <c r="F1736" s="1901"/>
      <c r="G1736" s="1901"/>
      <c r="H1736" s="1901"/>
      <c r="I1736" s="1901"/>
      <c r="J1736" s="1875"/>
      <c r="K1736" s="1875"/>
      <c r="L1736" s="1875"/>
      <c r="M1736" s="2243"/>
      <c r="N1736" s="1901"/>
      <c r="O1736" s="1750"/>
      <c r="P1736" s="2293"/>
    </row>
    <row r="1737" spans="1:27" s="2366" customFormat="1" ht="10.5" customHeight="1">
      <c r="A1737" s="359"/>
      <c r="B1737" s="2256" t="s">
        <v>3244</v>
      </c>
      <c r="C1737" s="359"/>
      <c r="D1737" s="1505"/>
      <c r="E1737" s="1505"/>
      <c r="F1737" s="1505"/>
      <c r="G1737" s="1505"/>
      <c r="H1737" s="362"/>
      <c r="I1737" s="362"/>
      <c r="J1737" s="362"/>
      <c r="K1737" s="362"/>
      <c r="M1737" s="1901"/>
      <c r="N1737" s="1750"/>
      <c r="O1737" s="2293"/>
      <c r="P1737" s="1750"/>
    </row>
    <row r="1738" spans="1:27" s="2366" customFormat="1" ht="112.5">
      <c r="A1738" s="2327" t="str">
        <f>'Part VIII Scoring Criteria'!A247</f>
        <v>The applicant is not claiming points in this section as it is a 4% RAD Preservation.</v>
      </c>
      <c r="B1738" s="2327"/>
      <c r="C1738" s="2327"/>
      <c r="D1738" s="2327"/>
      <c r="E1738" s="2327"/>
      <c r="F1738" s="2327"/>
      <c r="G1738" s="2327"/>
      <c r="H1738" s="2327"/>
      <c r="I1738" s="2327"/>
      <c r="J1738" s="2327"/>
      <c r="K1738" s="2327"/>
      <c r="L1738" s="2327"/>
      <c r="M1738" s="2327"/>
      <c r="N1738" s="2327"/>
      <c r="O1738" s="2327"/>
      <c r="P1738" s="2327"/>
      <c r="Q1738" s="2017" t="s">
        <v>1181</v>
      </c>
    </row>
    <row r="1739" spans="1:27" s="2366" customFormat="1" ht="10.5" customHeight="1">
      <c r="B1739" s="2328" t="s">
        <v>1730</v>
      </c>
      <c r="C1739" s="359"/>
      <c r="D1739" s="2328"/>
      <c r="E1739" s="2330"/>
      <c r="F1739" s="2330"/>
      <c r="G1739" s="2330"/>
      <c r="H1739" s="2330"/>
      <c r="I1739" s="2330"/>
      <c r="J1739" s="2330"/>
      <c r="K1739" s="2330"/>
      <c r="L1739" s="2330"/>
      <c r="M1739" s="2330"/>
      <c r="N1739" s="2410"/>
      <c r="O1739" s="2410"/>
      <c r="P1739" s="1901"/>
    </row>
    <row r="1740" spans="1:27" s="2366" customFormat="1" ht="11.25" customHeight="1">
      <c r="A1740" s="2331"/>
      <c r="B1740" s="2331"/>
      <c r="C1740" s="2331"/>
      <c r="D1740" s="2331"/>
      <c r="E1740" s="2331"/>
      <c r="F1740" s="2331"/>
      <c r="G1740" s="2331"/>
      <c r="H1740" s="2331"/>
      <c r="I1740" s="2331"/>
      <c r="J1740" s="2331"/>
      <c r="K1740" s="2331"/>
      <c r="L1740" s="2331"/>
      <c r="M1740" s="2331"/>
      <c r="N1740" s="2331"/>
      <c r="O1740" s="2331"/>
      <c r="P1740" s="2331"/>
      <c r="Q1740" s="2017"/>
    </row>
    <row r="1741" spans="1:27" s="2366" customFormat="1" ht="5.25" customHeight="1">
      <c r="A1741" s="359"/>
      <c r="D1741" s="362"/>
      <c r="E1741" s="362"/>
      <c r="F1741" s="1901"/>
      <c r="G1741" s="1901"/>
      <c r="H1741" s="1901"/>
      <c r="I1741" s="1901"/>
      <c r="J1741" s="1875"/>
      <c r="K1741" s="1875"/>
      <c r="L1741" s="1875"/>
      <c r="M1741" s="2243"/>
      <c r="N1741" s="1901"/>
      <c r="O1741" s="1750"/>
      <c r="P1741" s="2293"/>
    </row>
    <row r="1742" spans="1:27" s="2366" customFormat="1" ht="13.5" customHeight="1">
      <c r="A1742" s="2404" t="s">
        <v>2498</v>
      </c>
      <c r="B1742" s="2253" t="s">
        <v>3966</v>
      </c>
      <c r="D1742" s="2444"/>
      <c r="E1742" s="807" t="s">
        <v>6274</v>
      </c>
      <c r="G1742" s="2268"/>
      <c r="L1742" s="2342" t="str">
        <f>IF(AND(O1742&gt;0,NOT($M$54="New Supply")), "Ineligible to score in this section, not New Supply!","")</f>
        <v/>
      </c>
      <c r="M1742" s="1901">
        <f>'Part VIII Scoring Criteria'!M251</f>
        <v>0</v>
      </c>
      <c r="N1742" s="1901"/>
      <c r="O1742" s="2293">
        <f>'Part VIII Scoring Criteria'!O251</f>
        <v>0</v>
      </c>
      <c r="P1742" s="2293">
        <f>'Part VIII Scoring Criteria'!P251</f>
        <v>0</v>
      </c>
      <c r="Q1742" s="1901" t="s">
        <v>416</v>
      </c>
      <c r="R1742" s="2030" t="s">
        <v>4064</v>
      </c>
      <c r="S1742" s="2505"/>
      <c r="T1742" s="2505"/>
      <c r="U1742" s="2505"/>
      <c r="V1742" s="2505"/>
      <c r="W1742" s="403"/>
      <c r="X1742" s="403"/>
    </row>
    <row r="1743" spans="1:27" s="359" customFormat="1" ht="11.25" customHeight="1">
      <c r="A1743" s="2239" t="s">
        <v>1842</v>
      </c>
      <c r="B1743" s="1505" t="s">
        <v>6789</v>
      </c>
      <c r="M1743" s="1902">
        <v>5</v>
      </c>
      <c r="N1743" s="2342" t="s">
        <v>1842</v>
      </c>
      <c r="O1743" s="2438">
        <f>'Part VIII Scoring Criteria'!O252</f>
        <v>0</v>
      </c>
      <c r="P1743" s="2293"/>
      <c r="Q1743" s="2462" t="str">
        <f>IF(OR($O1743=$M1743,$O1743=$M1743-1,$O1743=0,$O1743=""),"","*CHECK!*")</f>
        <v/>
      </c>
      <c r="R1743" s="2030" t="s">
        <v>4064</v>
      </c>
      <c r="S1743" s="2505"/>
      <c r="T1743" s="2505"/>
      <c r="U1743" s="2505"/>
      <c r="V1743" s="2505"/>
    </row>
    <row r="1744" spans="1:27" s="359" customFormat="1" ht="11.25" customHeight="1">
      <c r="A1744" s="2239" t="s">
        <v>1844</v>
      </c>
      <c r="B1744" s="1505" t="s">
        <v>6275</v>
      </c>
      <c r="M1744" s="1902">
        <v>3</v>
      </c>
      <c r="N1744" s="2342" t="s">
        <v>1844</v>
      </c>
      <c r="O1744" s="2438">
        <f>'Part VIII Scoring Criteria'!O253</f>
        <v>0</v>
      </c>
      <c r="P1744" s="2293"/>
      <c r="Q1744" s="2462" t="str">
        <f>IF(OR($O1744=$M1744,$O1744=$M1744-1,$O1744=0,$O1744=""),"","*CHECK!*")</f>
        <v/>
      </c>
      <c r="R1744" s="2030" t="s">
        <v>4064</v>
      </c>
    </row>
    <row r="1745" spans="1:21">
      <c r="A1745" s="2239" t="s">
        <v>698</v>
      </c>
      <c r="B1745" s="1505" t="s">
        <v>6276</v>
      </c>
      <c r="E1745" s="1875" t="s">
        <v>6238</v>
      </c>
      <c r="I1745" s="2377"/>
      <c r="L1745" s="2025"/>
      <c r="M1745" s="1902">
        <v>3</v>
      </c>
      <c r="N1745" s="2342" t="s">
        <v>698</v>
      </c>
      <c r="O1745" s="2438">
        <f>'Part VIII Scoring Criteria'!O254</f>
        <v>0</v>
      </c>
      <c r="P1745" s="2293"/>
      <c r="Q1745" s="2462" t="str">
        <f>IF(OR($O1745=$M1745,$O1745=$M1745-1,$O1745=0,$O1745=""),"","*CHECK!*")</f>
        <v/>
      </c>
      <c r="R1745" s="2030" t="s">
        <v>4064</v>
      </c>
    </row>
    <row r="1746" spans="1:21" s="2366" customFormat="1" ht="10.5" customHeight="1">
      <c r="A1746" s="359"/>
      <c r="B1746" s="2256" t="s">
        <v>3244</v>
      </c>
      <c r="C1746" s="359"/>
      <c r="D1746" s="1505"/>
      <c r="E1746" s="1505"/>
      <c r="F1746" s="1505"/>
      <c r="G1746" s="1505"/>
      <c r="H1746" s="362"/>
      <c r="I1746" s="362"/>
      <c r="J1746" s="362"/>
      <c r="K1746" s="362"/>
      <c r="M1746" s="1901"/>
      <c r="N1746" s="1750"/>
      <c r="O1746" s="2293"/>
      <c r="P1746" s="1750"/>
    </row>
    <row r="1747" spans="1:21" s="2366" customFormat="1" ht="112.5">
      <c r="A1747" s="2327" t="str">
        <f>'Part VIII Scoring Criteria'!A256</f>
        <v>The applicant is not claiming points in this section as it is a 4% RAD Preservation.</v>
      </c>
      <c r="B1747" s="2327"/>
      <c r="C1747" s="2327"/>
      <c r="D1747" s="2327"/>
      <c r="E1747" s="2327"/>
      <c r="F1747" s="2327"/>
      <c r="G1747" s="2327"/>
      <c r="H1747" s="2327"/>
      <c r="I1747" s="2327"/>
      <c r="J1747" s="2327"/>
      <c r="K1747" s="2327"/>
      <c r="L1747" s="2327"/>
      <c r="M1747" s="2327"/>
      <c r="N1747" s="2327"/>
      <c r="O1747" s="2327"/>
      <c r="P1747" s="2327"/>
      <c r="Q1747" s="2017" t="s">
        <v>1181</v>
      </c>
    </row>
    <row r="1748" spans="1:21" s="2366" customFormat="1" ht="10.5" customHeight="1">
      <c r="B1748" s="2328" t="s">
        <v>1730</v>
      </c>
      <c r="C1748" s="359"/>
      <c r="D1748" s="2328"/>
      <c r="E1748" s="2330"/>
      <c r="F1748" s="2330"/>
      <c r="G1748" s="2330"/>
      <c r="H1748" s="2330"/>
      <c r="I1748" s="2330"/>
      <c r="J1748" s="2330"/>
      <c r="K1748" s="2330"/>
      <c r="L1748" s="2330"/>
      <c r="M1748" s="2330"/>
      <c r="N1748" s="2410"/>
      <c r="O1748" s="2410"/>
      <c r="P1748" s="1901"/>
    </row>
    <row r="1749" spans="1:21" s="2366" customFormat="1" ht="11.25" customHeight="1">
      <c r="A1749" s="2331"/>
      <c r="B1749" s="2331"/>
      <c r="C1749" s="2331"/>
      <c r="D1749" s="2331"/>
      <c r="E1749" s="2331"/>
      <c r="F1749" s="2331"/>
      <c r="G1749" s="2331"/>
      <c r="H1749" s="2331"/>
      <c r="I1749" s="2331"/>
      <c r="J1749" s="2331"/>
      <c r="K1749" s="2331"/>
      <c r="L1749" s="2331"/>
      <c r="M1749" s="2331"/>
      <c r="N1749" s="2331"/>
      <c r="O1749" s="2331"/>
      <c r="P1749" s="2331"/>
      <c r="Q1749" s="2017"/>
    </row>
    <row r="1750" spans="1:21" ht="6" customHeight="1">
      <c r="N1750" s="1750"/>
      <c r="O1750" s="1750"/>
      <c r="P1750" s="1750"/>
      <c r="T1750" s="2506"/>
      <c r="U1750" s="2506"/>
    </row>
    <row r="1751" spans="1:21" s="2366" customFormat="1" ht="13.5" customHeight="1">
      <c r="A1751" s="2502" t="s">
        <v>2081</v>
      </c>
      <c r="B1751" s="2253" t="s">
        <v>2518</v>
      </c>
      <c r="D1751" s="2444"/>
      <c r="E1751" s="2444"/>
      <c r="F1751" s="2444"/>
      <c r="H1751" s="1875"/>
      <c r="J1751" s="2243"/>
      <c r="K1751" s="1505"/>
      <c r="L1751" s="2342" t="s">
        <v>4065</v>
      </c>
      <c r="M1751" s="1901">
        <f>'Part VIII Scoring Criteria'!M260</f>
        <v>4</v>
      </c>
      <c r="N1751" s="1901"/>
      <c r="O1751" s="2293">
        <f>'Part VIII Scoring Criteria'!O260</f>
        <v>4</v>
      </c>
      <c r="P1751" s="2293">
        <f>'Part VIII Scoring Criteria'!P260</f>
        <v>0</v>
      </c>
      <c r="Q1751" s="1901" t="s">
        <v>416</v>
      </c>
      <c r="T1751" s="2506"/>
      <c r="U1751" s="2506"/>
    </row>
    <row r="1752" spans="1:21" s="2379" customFormat="1" ht="11.25" customHeight="1">
      <c r="A1752" s="2239" t="s">
        <v>1842</v>
      </c>
      <c r="B1752" s="1505" t="s">
        <v>2066</v>
      </c>
      <c r="D1752" s="2268"/>
      <c r="E1752" s="2268"/>
      <c r="F1752" s="2386"/>
      <c r="G1752" s="357"/>
      <c r="L1752" s="2433"/>
      <c r="M1752" s="1902">
        <v>3</v>
      </c>
      <c r="N1752" s="2342" t="s">
        <v>1842</v>
      </c>
      <c r="O1752" s="2293">
        <f>'Part VIII Scoring Criteria'!O261</f>
        <v>3</v>
      </c>
      <c r="P1752" s="2293">
        <f>'Part VIII Scoring Criteria'!P261</f>
        <v>0</v>
      </c>
      <c r="Q1752" s="2462"/>
      <c r="R1752" s="2161"/>
      <c r="T1752" s="2506"/>
      <c r="U1752" s="2506"/>
    </row>
    <row r="1753" spans="1:21" s="2379" customFormat="1" ht="11.25" customHeight="1">
      <c r="A1753" s="2239"/>
      <c r="B1753" s="2451" t="s">
        <v>1845</v>
      </c>
      <c r="C1753" s="1875" t="s">
        <v>6622</v>
      </c>
      <c r="D1753" s="2268"/>
      <c r="E1753" s="2268"/>
      <c r="F1753" s="2386"/>
      <c r="G1753" s="357"/>
      <c r="L1753" s="2433"/>
      <c r="M1753" s="1902">
        <v>3</v>
      </c>
      <c r="N1753" s="2424" t="s">
        <v>1845</v>
      </c>
      <c r="O1753" s="2344" t="str">
        <f>'Part VIII Scoring Criteria'!O262</f>
        <v>Yes</v>
      </c>
      <c r="P1753" s="2243"/>
      <c r="Q1753" s="2462"/>
      <c r="R1753" s="2161"/>
      <c r="T1753" s="2506"/>
      <c r="U1753" s="2506"/>
    </row>
    <row r="1754" spans="1:21" s="2379" customFormat="1" ht="11.25" customHeight="1">
      <c r="A1754" s="2239"/>
      <c r="B1754" s="2458" t="s">
        <v>1847</v>
      </c>
      <c r="C1754" s="1875" t="s">
        <v>6623</v>
      </c>
      <c r="D1754" s="2268"/>
      <c r="E1754" s="2268"/>
      <c r="F1754" s="2386"/>
      <c r="G1754" s="357"/>
      <c r="L1754" s="2433"/>
      <c r="M1754" s="1902">
        <v>2</v>
      </c>
      <c r="N1754" s="2424" t="s">
        <v>1847</v>
      </c>
      <c r="O1754" s="2344" t="str">
        <f>'Part VIII Scoring Criteria'!O263</f>
        <v>N/a</v>
      </c>
      <c r="P1754" s="2243"/>
      <c r="Q1754" s="2462"/>
      <c r="R1754" s="2161"/>
      <c r="T1754" s="2506"/>
      <c r="U1754" s="2506"/>
    </row>
    <row r="1755" spans="1:21" s="2379" customFormat="1" ht="10.5" customHeight="1">
      <c r="A1755" s="2239"/>
      <c r="B1755" s="2458" t="s">
        <v>2333</v>
      </c>
      <c r="C1755" s="1875" t="s">
        <v>6624</v>
      </c>
      <c r="D1755" s="2268"/>
      <c r="E1755" s="2268"/>
      <c r="F1755" s="2386"/>
      <c r="G1755" s="357"/>
      <c r="K1755" s="2342"/>
      <c r="M1755" s="1902">
        <v>1</v>
      </c>
      <c r="N1755" s="2424" t="s">
        <v>2333</v>
      </c>
      <c r="O1755" s="2344" t="str">
        <f>'Part VIII Scoring Criteria'!O264</f>
        <v>N/a</v>
      </c>
      <c r="P1755" s="2243"/>
      <c r="R1755" s="403"/>
      <c r="T1755" s="2506"/>
      <c r="U1755" s="2506"/>
    </row>
    <row r="1756" spans="1:21" s="2366" customFormat="1" ht="11.25" customHeight="1">
      <c r="A1756" s="2239" t="s">
        <v>1844</v>
      </c>
      <c r="B1756" s="1505" t="s">
        <v>3958</v>
      </c>
      <c r="D1756" s="362"/>
      <c r="K1756" s="362"/>
      <c r="L1756" s="2433" t="str">
        <f>IF(OR($O1756=$M1756,$O1756=0,$O1756=""),"","* * Check Score! * *")</f>
        <v/>
      </c>
      <c r="M1756" s="1902">
        <v>1</v>
      </c>
      <c r="N1756" s="2342" t="s">
        <v>1844</v>
      </c>
      <c r="O1756" s="2293">
        <f>'Part VIII Scoring Criteria'!O265</f>
        <v>0</v>
      </c>
      <c r="P1756" s="2293">
        <f>'Part VIII Scoring Criteria'!P265</f>
        <v>0</v>
      </c>
      <c r="Q1756" s="2462" t="str">
        <f>IF(OR($O1756=$M1756,$O1756=0,$O1756=""),"","*CHECK!*")</f>
        <v/>
      </c>
      <c r="R1756" s="2161"/>
      <c r="T1756" s="2506"/>
      <c r="U1756" s="2506"/>
    </row>
    <row r="1757" spans="1:21" s="2366" customFormat="1" ht="12" customHeight="1">
      <c r="A1757" s="2502"/>
      <c r="B1757" s="362" t="s">
        <v>6625</v>
      </c>
      <c r="C1757" s="2292"/>
      <c r="D1757" s="2292"/>
      <c r="E1757" s="2292"/>
      <c r="F1757" s="2292"/>
      <c r="G1757" s="2292"/>
      <c r="H1757" s="2292"/>
      <c r="I1757" s="2292"/>
      <c r="J1757" s="2292"/>
      <c r="K1757" s="2292"/>
      <c r="L1757" s="2292"/>
      <c r="M1757" s="1901"/>
      <c r="N1757" s="2342"/>
      <c r="O1757" s="2355" t="str">
        <f>'Part VIII Scoring Criteria'!O266</f>
        <v>N/a</v>
      </c>
      <c r="P1757" s="2337"/>
      <c r="Q1757" s="403"/>
      <c r="R1757" s="2433"/>
      <c r="T1757" s="2506"/>
      <c r="U1757" s="2506"/>
    </row>
    <row r="1758" spans="1:21" s="2366" customFormat="1" ht="11.25" customHeight="1">
      <c r="A1758" s="2239" t="s">
        <v>698</v>
      </c>
      <c r="B1758" s="1505" t="s">
        <v>3830</v>
      </c>
      <c r="D1758" s="362"/>
      <c r="H1758" s="2029"/>
      <c r="K1758" s="362"/>
      <c r="L1758" s="2433"/>
      <c r="M1758" s="1902">
        <v>1</v>
      </c>
      <c r="N1758" s="2342" t="s">
        <v>698</v>
      </c>
      <c r="O1758" s="2293">
        <f>'Part VIII Scoring Criteria'!O267</f>
        <v>1</v>
      </c>
      <c r="P1758" s="2293">
        <f>'Part VIII Scoring Criteria'!P267</f>
        <v>0</v>
      </c>
      <c r="Q1758" s="2462" t="str">
        <f>IF(OR($O1758=$M1758,$O1758=0,$O1758=""),"","*CHECK!*")</f>
        <v/>
      </c>
      <c r="R1758" s="2161"/>
      <c r="T1758" s="2506"/>
      <c r="U1758" s="2506"/>
    </row>
    <row r="1759" spans="1:21" s="2366" customFormat="1" ht="12.75" customHeight="1">
      <c r="B1759" s="1889" t="s">
        <v>6904</v>
      </c>
      <c r="C1759" s="2331"/>
      <c r="D1759" s="2331"/>
      <c r="E1759" s="2331"/>
      <c r="F1759" s="2331"/>
      <c r="G1759" s="2331"/>
      <c r="H1759" s="2331"/>
      <c r="I1759" s="2331"/>
      <c r="J1759" s="2331"/>
      <c r="K1759" s="2331"/>
      <c r="L1759" s="2331"/>
      <c r="M1759" s="1901"/>
      <c r="N1759" s="2342"/>
      <c r="O1759" s="2355" t="str">
        <f>'Part VIII Scoring Criteria'!O268</f>
        <v>Yes</v>
      </c>
      <c r="P1759" s="2337"/>
      <c r="Q1759" s="403"/>
      <c r="R1759" s="2433"/>
      <c r="T1759" s="2506"/>
      <c r="U1759" s="2506"/>
    </row>
    <row r="1760" spans="1:21" s="2366" customFormat="1" ht="12.75" customHeight="1">
      <c r="B1760" s="1889" t="s">
        <v>6239</v>
      </c>
      <c r="C1760" s="2331"/>
      <c r="D1760" s="2331"/>
      <c r="E1760" s="2331"/>
      <c r="F1760" s="2331"/>
      <c r="G1760" s="2331"/>
      <c r="H1760" s="2331"/>
      <c r="I1760" s="2331"/>
      <c r="J1760" s="2331"/>
      <c r="K1760" s="2331"/>
      <c r="L1760" s="2331"/>
      <c r="M1760" s="1901"/>
      <c r="N1760" s="1901"/>
      <c r="O1760" s="1901"/>
      <c r="P1760" s="1901"/>
      <c r="Q1760" s="403"/>
      <c r="R1760" s="2433"/>
      <c r="T1760" s="2506"/>
      <c r="U1760" s="2506"/>
    </row>
    <row r="1761" spans="1:24" s="2366" customFormat="1" ht="10.5" customHeight="1">
      <c r="A1761" s="359"/>
      <c r="B1761" s="2328" t="s">
        <v>1730</v>
      </c>
      <c r="C1761" s="359"/>
      <c r="D1761" s="2328"/>
      <c r="E1761" s="2330"/>
      <c r="F1761" s="2330"/>
      <c r="G1761" s="2330"/>
      <c r="H1761" s="2330"/>
      <c r="I1761" s="2330"/>
      <c r="J1761" s="2330"/>
      <c r="K1761" s="2330"/>
      <c r="L1761" s="2330"/>
      <c r="M1761" s="2330"/>
      <c r="N1761" s="2410"/>
      <c r="O1761" s="2410"/>
      <c r="P1761" s="1901"/>
    </row>
    <row r="1762" spans="1:24" s="2366" customFormat="1" ht="11.25" customHeight="1">
      <c r="A1762" s="2331"/>
      <c r="B1762" s="2331"/>
      <c r="C1762" s="2331"/>
      <c r="D1762" s="2331"/>
      <c r="E1762" s="2331"/>
      <c r="F1762" s="2331"/>
      <c r="G1762" s="2331"/>
      <c r="H1762" s="2331"/>
      <c r="I1762" s="2331"/>
      <c r="J1762" s="2331"/>
      <c r="K1762" s="2331"/>
      <c r="L1762" s="2331"/>
      <c r="M1762" s="2331"/>
      <c r="N1762" s="2331"/>
      <c r="O1762" s="2331"/>
      <c r="P1762" s="2331"/>
      <c r="Q1762" s="2017"/>
    </row>
    <row r="1763" spans="1:24" s="2366" customFormat="1" ht="5.25" customHeight="1">
      <c r="A1763" s="359"/>
      <c r="D1763" s="362"/>
      <c r="E1763" s="362"/>
      <c r="F1763" s="1901"/>
      <c r="G1763" s="1901"/>
      <c r="H1763" s="1901"/>
      <c r="I1763" s="1901"/>
      <c r="J1763" s="1875"/>
      <c r="K1763" s="1875"/>
      <c r="L1763" s="1875"/>
      <c r="M1763" s="2243"/>
      <c r="N1763" s="1901"/>
      <c r="O1763" s="1750"/>
      <c r="P1763" s="1750"/>
    </row>
    <row r="1764" spans="1:24" s="2379" customFormat="1" ht="13.5" customHeight="1">
      <c r="A1764" s="2404" t="s">
        <v>3374</v>
      </c>
      <c r="B1764" s="2253" t="s">
        <v>6582</v>
      </c>
      <c r="D1764" s="2256"/>
      <c r="E1764" s="2256"/>
      <c r="G1764" s="2503"/>
      <c r="H1764" s="2029"/>
      <c r="I1764" s="2161" t="s">
        <v>6147</v>
      </c>
      <c r="J1764" s="1322" t="str">
        <f>M1550</f>
        <v>N/A-4%</v>
      </c>
      <c r="K1764" s="2029"/>
      <c r="L1764" s="2342" t="str">
        <f>IF(NOT(J1764="Atlanta Metro"),"Atlanta Metro Pool not selected!",IF(AND(O1766="Yes",O1767="Yes"),"Choose A or B!",""))</f>
        <v>Atlanta Metro Pool not selected!</v>
      </c>
      <c r="M1764" s="1901">
        <v>2</v>
      </c>
      <c r="N1764" s="1901"/>
      <c r="O1764" s="2293">
        <f>'Part VIII Scoring Criteria'!O273</f>
        <v>2</v>
      </c>
      <c r="P1764" s="2293">
        <f>'Part VIII Scoring Criteria'!P273</f>
        <v>0</v>
      </c>
      <c r="Q1764" s="1901" t="s">
        <v>416</v>
      </c>
      <c r="R1764" s="2488"/>
      <c r="S1764" s="2488"/>
      <c r="T1764" s="2488"/>
      <c r="U1764" s="2488"/>
      <c r="V1764" s="2488"/>
    </row>
    <row r="1765" spans="1:24" s="2379" customFormat="1" ht="3" customHeight="1">
      <c r="A1765" s="2404"/>
      <c r="B1765" s="2253"/>
      <c r="D1765" s="2256"/>
      <c r="E1765" s="2256"/>
      <c r="G1765" s="2029"/>
      <c r="M1765" s="2243"/>
      <c r="Q1765" s="1901"/>
      <c r="R1765" s="2488"/>
      <c r="S1765" s="2488"/>
      <c r="T1765" s="2488"/>
      <c r="U1765" s="2488"/>
      <c r="V1765" s="2488"/>
      <c r="W1765" s="2366"/>
      <c r="X1765" s="2366"/>
    </row>
    <row r="1766" spans="1:24" ht="11.25" customHeight="1">
      <c r="A1766" s="1902" t="s">
        <v>1842</v>
      </c>
      <c r="B1766" s="2339" t="s">
        <v>6583</v>
      </c>
      <c r="D1766" s="2339"/>
      <c r="E1766" s="2339"/>
      <c r="F1766" s="2339"/>
      <c r="G1766" s="2339"/>
      <c r="H1766" s="2339"/>
      <c r="L1766" s="2339"/>
      <c r="M1766" s="1883">
        <v>1</v>
      </c>
      <c r="N1766" s="2342" t="s">
        <v>1842</v>
      </c>
      <c r="O1766" s="2344" t="str">
        <f>'Part VIII Scoring Criteria'!O275</f>
        <v>N/a</v>
      </c>
      <c r="P1766" s="2243"/>
      <c r="Q1766" s="808">
        <f>IF(L1766="Yes",1,0)</f>
        <v>0</v>
      </c>
      <c r="R1766" s="2488"/>
      <c r="S1766" s="2488"/>
      <c r="T1766" s="2488"/>
      <c r="U1766" s="2488"/>
      <c r="V1766" s="2488"/>
    </row>
    <row r="1767" spans="1:24" ht="11.25" customHeight="1">
      <c r="A1767" s="1902" t="s">
        <v>1844</v>
      </c>
      <c r="B1767" s="2339" t="s">
        <v>6584</v>
      </c>
      <c r="D1767" s="2339"/>
      <c r="L1767" s="2339"/>
      <c r="M1767" s="1883">
        <v>2</v>
      </c>
      <c r="N1767" s="2342" t="s">
        <v>1844</v>
      </c>
      <c r="O1767" s="2344" t="str">
        <f>'Part VIII Scoring Criteria'!O276</f>
        <v>Yes</v>
      </c>
      <c r="P1767" s="2243"/>
      <c r="Q1767" s="808">
        <f>IF(L1767="Yes",1,0)</f>
        <v>0</v>
      </c>
      <c r="R1767" s="2488"/>
      <c r="S1767" s="2488"/>
      <c r="T1767" s="2488"/>
      <c r="U1767" s="2488"/>
      <c r="V1767" s="2488"/>
    </row>
    <row r="1768" spans="1:24" ht="11.25" customHeight="1">
      <c r="B1768" s="2161" t="s">
        <v>6905</v>
      </c>
      <c r="D1768" s="2339"/>
      <c r="L1768" s="2339"/>
      <c r="M1768" s="1883"/>
      <c r="N1768" s="1883"/>
      <c r="O1768" s="1883"/>
      <c r="P1768" s="1883"/>
      <c r="Q1768" s="808"/>
      <c r="R1768" s="2488"/>
      <c r="S1768" s="2488"/>
      <c r="T1768" s="2488"/>
      <c r="U1768" s="2488"/>
      <c r="V1768" s="2488"/>
    </row>
    <row r="1769" spans="1:24" ht="326.25">
      <c r="B1769" s="2327" t="str">
        <f>'Part VIII Scoring Criteria'!B278</f>
        <v>The developer has committed to budget $6,000 for Internet and communication expenditures to the project to include Internet access to each unit via Wi-Fi. The budget was based on a $50 per unit per year cost as noted in the "Revenues and Expenses" tab.</v>
      </c>
      <c r="C1769" s="2327"/>
      <c r="D1769" s="2327"/>
      <c r="E1769" s="2327"/>
      <c r="F1769" s="2327"/>
      <c r="G1769" s="2327"/>
      <c r="H1769" s="2327"/>
      <c r="I1769" s="2327"/>
      <c r="J1769" s="2327"/>
      <c r="K1769" s="2327"/>
      <c r="L1769" s="2327"/>
      <c r="M1769" s="2327"/>
      <c r="N1769" s="2327"/>
      <c r="O1769" s="2327"/>
      <c r="P1769" s="2327"/>
      <c r="Q1769" s="808"/>
      <c r="R1769" s="2488"/>
      <c r="S1769" s="2488"/>
      <c r="T1769" s="2488"/>
      <c r="U1769" s="2488"/>
      <c r="V1769" s="2488"/>
    </row>
    <row r="1770" spans="1:24" s="2366" customFormat="1" ht="10.5" customHeight="1">
      <c r="A1770" s="359"/>
      <c r="B1770" s="2256" t="s">
        <v>3244</v>
      </c>
      <c r="C1770" s="359"/>
      <c r="D1770" s="1505"/>
      <c r="E1770" s="1505"/>
      <c r="F1770" s="1505"/>
      <c r="G1770" s="1505"/>
      <c r="H1770" s="362"/>
      <c r="I1770" s="362"/>
      <c r="J1770" s="362"/>
      <c r="K1770" s="362"/>
      <c r="M1770" s="1901"/>
      <c r="N1770" s="1750"/>
      <c r="O1770" s="2293"/>
      <c r="P1770" s="1750"/>
      <c r="R1770" s="2488"/>
      <c r="S1770" s="2488"/>
      <c r="T1770" s="2488"/>
      <c r="U1770" s="2488"/>
      <c r="V1770" s="2488"/>
    </row>
    <row r="1771" spans="1:24" s="2366" customFormat="1" ht="409.5">
      <c r="A1771" s="2327" t="str">
        <f>'Part VIII Scoring Criteria'!A280</f>
        <v>The development has budgeted sufficient dollars to provide free Internet (Wi-Fi) services in the common areas, and connections to each unit in conjunction with discussions with local Internet providers such as but not limited to Comcast. Our budget was based on experience providing similar services to other developments in our large portfolio of family projects. We have had discussions with local Internet providers to confirm our budgets are well within sufficient per unit cost to provide robust Internet services.</v>
      </c>
      <c r="B1771" s="2327"/>
      <c r="C1771" s="2327"/>
      <c r="D1771" s="2327"/>
      <c r="E1771" s="2327"/>
      <c r="F1771" s="2327"/>
      <c r="G1771" s="2327"/>
      <c r="H1771" s="2327"/>
      <c r="I1771" s="2327"/>
      <c r="J1771" s="2327"/>
      <c r="K1771" s="2327"/>
      <c r="L1771" s="2327"/>
      <c r="M1771" s="2327"/>
      <c r="N1771" s="2327"/>
      <c r="O1771" s="2327"/>
      <c r="P1771" s="2327"/>
      <c r="Q1771" s="2017" t="s">
        <v>1181</v>
      </c>
    </row>
    <row r="1772" spans="1:24" s="2366" customFormat="1" ht="10.5" customHeight="1">
      <c r="A1772" s="359"/>
      <c r="B1772" s="2328" t="s">
        <v>1730</v>
      </c>
      <c r="C1772" s="359"/>
      <c r="D1772" s="2328"/>
      <c r="E1772" s="2331"/>
      <c r="F1772" s="2331"/>
      <c r="G1772" s="2331"/>
      <c r="H1772" s="2331"/>
      <c r="I1772" s="2331"/>
      <c r="J1772" s="2331"/>
      <c r="K1772" s="2331"/>
      <c r="L1772" s="2331"/>
      <c r="M1772" s="2331"/>
      <c r="N1772" s="2258"/>
      <c r="O1772" s="2258"/>
      <c r="P1772" s="359"/>
    </row>
    <row r="1773" spans="1:24" s="2366" customFormat="1" ht="11.25" customHeight="1">
      <c r="A1773" s="2035"/>
      <c r="B1773" s="2035"/>
      <c r="C1773" s="2035"/>
      <c r="D1773" s="2035"/>
      <c r="E1773" s="2035"/>
      <c r="F1773" s="2035"/>
      <c r="G1773" s="2035"/>
      <c r="H1773" s="2035"/>
      <c r="I1773" s="2035"/>
      <c r="J1773" s="2035"/>
      <c r="K1773" s="2035"/>
      <c r="L1773" s="2035"/>
      <c r="M1773" s="2035"/>
      <c r="N1773" s="2035"/>
      <c r="O1773" s="2035"/>
      <c r="P1773" s="2035"/>
      <c r="Q1773" s="2017"/>
    </row>
    <row r="1774" spans="1:24" s="2366" customFormat="1" ht="5.25" customHeight="1">
      <c r="A1774" s="359"/>
      <c r="D1774" s="362"/>
      <c r="E1774" s="362"/>
      <c r="F1774" s="359"/>
      <c r="G1774" s="359"/>
      <c r="H1774" s="359"/>
      <c r="I1774" s="359"/>
      <c r="J1774" s="362"/>
      <c r="K1774" s="362"/>
      <c r="L1774" s="362"/>
      <c r="M1774" s="362"/>
      <c r="N1774" s="359"/>
      <c r="O1774" s="357"/>
      <c r="P1774" s="2149"/>
    </row>
    <row r="1775" spans="1:24" s="2379" customFormat="1" ht="13.5" customHeight="1">
      <c r="A1775" s="2404" t="s">
        <v>3375</v>
      </c>
      <c r="B1775" s="2253" t="s">
        <v>6587</v>
      </c>
      <c r="D1775" s="2256"/>
      <c r="E1775" s="2256"/>
      <c r="G1775" s="2333"/>
      <c r="H1775" s="2029"/>
      <c r="I1775" s="2029" t="s">
        <v>6707</v>
      </c>
      <c r="J1775" s="2029"/>
      <c r="K1775" s="2029"/>
      <c r="L1775" s="1821" t="str">
        <f>IF(AND(O1785&gt;0,O1788&gt;0), "Choose only one option!","")</f>
        <v/>
      </c>
      <c r="M1775" s="359">
        <v>2</v>
      </c>
      <c r="N1775" s="359"/>
      <c r="O1775" s="2149">
        <f>'Part VIII Scoring Criteria'!O284</f>
        <v>2</v>
      </c>
      <c r="P1775" s="2149">
        <f>'Part VIII Scoring Criteria'!P284</f>
        <v>0</v>
      </c>
      <c r="Q1775" s="1901" t="s">
        <v>416</v>
      </c>
      <c r="R1775" s="2488"/>
      <c r="S1775" s="2488"/>
      <c r="T1775" s="2488"/>
      <c r="U1775" s="2488"/>
      <c r="V1775" s="2488"/>
    </row>
    <row r="1776" spans="1:24" s="2379" customFormat="1" ht="11.25" customHeight="1">
      <c r="A1776" s="2404"/>
      <c r="B1776" s="362" t="s">
        <v>6701</v>
      </c>
      <c r="D1776" s="2256"/>
      <c r="E1776" s="2256"/>
      <c r="G1776" s="2029"/>
      <c r="J1776" s="2394"/>
      <c r="M1776" s="362"/>
      <c r="Q1776" s="1901"/>
      <c r="R1776" s="2488"/>
      <c r="S1776" s="2488"/>
      <c r="T1776" s="2488"/>
      <c r="U1776" s="2488"/>
      <c r="V1776" s="2488"/>
      <c r="W1776" s="2366"/>
      <c r="X1776" s="2366"/>
    </row>
    <row r="1777" spans="1:24" s="2379" customFormat="1" ht="11.25" customHeight="1">
      <c r="A1777" s="2404"/>
      <c r="C1777" s="362" t="s">
        <v>6699</v>
      </c>
      <c r="G1777" s="2029"/>
      <c r="I1777" s="2079" t="str">
        <f>'Part VIII Scoring Criteria'!I286</f>
        <v>TBD</v>
      </c>
      <c r="J1777" s="2079"/>
      <c r="K1777" s="2079"/>
      <c r="L1777" s="2079"/>
      <c r="M1777" s="362"/>
      <c r="O1777" s="2225"/>
      <c r="P1777" s="2507"/>
      <c r="Q1777" s="1901"/>
      <c r="R1777" s="2488"/>
      <c r="S1777" s="2488"/>
      <c r="T1777" s="2488"/>
      <c r="U1777" s="2488"/>
      <c r="V1777" s="2488"/>
      <c r="W1777" s="2366"/>
      <c r="X1777" s="2366"/>
    </row>
    <row r="1778" spans="1:24" s="2379" customFormat="1" ht="11.25" customHeight="1">
      <c r="A1778" s="2404"/>
      <c r="C1778" s="362" t="s">
        <v>6698</v>
      </c>
      <c r="G1778" s="2029"/>
      <c r="I1778" s="2079" t="str">
        <f>'Part VIII Scoring Criteria'!I287</f>
        <v>TBD</v>
      </c>
      <c r="J1778" s="2079"/>
      <c r="M1778" s="362"/>
      <c r="O1778" s="2225"/>
      <c r="P1778" s="2507"/>
      <c r="Q1778" s="1901"/>
      <c r="R1778" s="2488"/>
      <c r="S1778" s="2488"/>
      <c r="T1778" s="2488"/>
      <c r="U1778" s="2488"/>
      <c r="V1778" s="2488"/>
      <c r="W1778" s="2366"/>
      <c r="X1778" s="2366"/>
    </row>
    <row r="1779" spans="1:24" s="2379" customFormat="1" ht="11.25" customHeight="1">
      <c r="A1779" s="2404"/>
      <c r="C1779" s="362" t="s">
        <v>6700</v>
      </c>
      <c r="G1779" s="2029"/>
      <c r="I1779" s="2079" t="str">
        <f>'Part VIII Scoring Criteria'!I288</f>
        <v>TBD (only if Option A)</v>
      </c>
      <c r="J1779" s="2079"/>
      <c r="K1779" s="2079"/>
      <c r="L1779" s="2079"/>
      <c r="M1779" s="362"/>
      <c r="O1779" s="2507" t="s">
        <v>3153</v>
      </c>
      <c r="P1779" s="2507" t="s">
        <v>3154</v>
      </c>
      <c r="Q1779" s="1901"/>
      <c r="R1779" s="2488"/>
      <c r="S1779" s="2488"/>
      <c r="T1779" s="2488"/>
      <c r="U1779" s="2488"/>
      <c r="V1779" s="2488"/>
      <c r="W1779" s="2366"/>
      <c r="X1779" s="2366"/>
    </row>
    <row r="1780" spans="1:24" s="2366" customFormat="1" ht="11.25" customHeight="1">
      <c r="A1780" s="2404"/>
      <c r="B1780" s="362" t="s">
        <v>6591</v>
      </c>
      <c r="D1780" s="2444"/>
      <c r="H1780" s="1505"/>
      <c r="M1780" s="359"/>
      <c r="N1780" s="362"/>
      <c r="O1780" s="2507"/>
      <c r="P1780" s="2507"/>
      <c r="Q1780" s="1901"/>
      <c r="R1780" s="2449"/>
      <c r="S1780" s="2449"/>
      <c r="T1780" s="2449"/>
      <c r="U1780" s="2449"/>
    </row>
    <row r="1781" spans="1:24" s="2366" customFormat="1" ht="11.25" customHeight="1">
      <c r="A1781" s="2508"/>
      <c r="B1781" s="1889" t="s">
        <v>2241</v>
      </c>
      <c r="C1781" s="362" t="s">
        <v>6590</v>
      </c>
      <c r="D1781" s="2447"/>
      <c r="E1781" s="2379"/>
      <c r="F1781" s="2379"/>
      <c r="G1781" s="2379"/>
      <c r="H1781" s="2256"/>
      <c r="N1781" s="1889" t="s">
        <v>2241</v>
      </c>
      <c r="O1781" s="2211" t="str">
        <f>'Part VIII Scoring Criteria'!O290</f>
        <v>TBD</v>
      </c>
      <c r="P1781" s="362"/>
      <c r="Q1781" s="1901"/>
      <c r="R1781" s="2449"/>
      <c r="S1781" s="2449"/>
      <c r="T1781" s="2449"/>
      <c r="U1781" s="2449"/>
    </row>
    <row r="1782" spans="1:24" s="2366" customFormat="1" ht="11.25" customHeight="1">
      <c r="A1782" s="2508"/>
      <c r="B1782" s="362" t="s">
        <v>2242</v>
      </c>
      <c r="C1782" s="807" t="s">
        <v>6706</v>
      </c>
      <c r="D1782" s="2447"/>
      <c r="E1782" s="2379"/>
      <c r="F1782" s="2379"/>
      <c r="G1782" s="2379"/>
      <c r="H1782" s="2256"/>
      <c r="M1782" s="2379"/>
      <c r="N1782" s="362" t="s">
        <v>2242</v>
      </c>
      <c r="O1782" s="2211" t="str">
        <f>'Part VIII Scoring Criteria'!O291</f>
        <v>TBD</v>
      </c>
      <c r="P1782" s="362"/>
      <c r="Q1782" s="1901"/>
      <c r="R1782" s="2449"/>
      <c r="S1782" s="2449"/>
      <c r="T1782" s="2449"/>
      <c r="U1782" s="2449"/>
    </row>
    <row r="1783" spans="1:24" s="2366" customFormat="1" ht="11.25" customHeight="1">
      <c r="A1783" s="2508"/>
      <c r="B1783" s="362" t="s">
        <v>2243</v>
      </c>
      <c r="C1783" s="362" t="s">
        <v>6592</v>
      </c>
      <c r="D1783" s="2447"/>
      <c r="E1783" s="2379"/>
      <c r="F1783" s="2379"/>
      <c r="G1783" s="2379"/>
      <c r="H1783" s="2256"/>
      <c r="I1783" s="2256"/>
      <c r="J1783" s="1505"/>
      <c r="K1783" s="1505"/>
      <c r="L1783" s="2379"/>
      <c r="M1783" s="2379"/>
      <c r="N1783" s="362" t="s">
        <v>2243</v>
      </c>
      <c r="O1783" s="2211" t="str">
        <f>'Part VIII Scoring Criteria'!O292</f>
        <v>TBD</v>
      </c>
      <c r="P1783" s="362"/>
      <c r="Q1783" s="1901"/>
      <c r="R1783" s="2449"/>
      <c r="S1783" s="2449"/>
      <c r="T1783" s="2449"/>
      <c r="U1783" s="2449"/>
    </row>
    <row r="1784" spans="1:24" s="2366" customFormat="1" ht="3" customHeight="1">
      <c r="A1784" s="359"/>
      <c r="D1784" s="362"/>
      <c r="E1784" s="362"/>
      <c r="F1784" s="359"/>
      <c r="G1784" s="359"/>
      <c r="H1784" s="359"/>
      <c r="I1784" s="359"/>
      <c r="J1784" s="362"/>
      <c r="K1784" s="362"/>
      <c r="L1784" s="362"/>
      <c r="M1784" s="362"/>
      <c r="N1784" s="359"/>
      <c r="O1784" s="357"/>
      <c r="P1784" s="2149"/>
    </row>
    <row r="1785" spans="1:24" ht="11.25" customHeight="1">
      <c r="A1785" s="1505" t="s">
        <v>1842</v>
      </c>
      <c r="B1785" s="1889" t="s">
        <v>6588</v>
      </c>
      <c r="D1785" s="1889"/>
      <c r="E1785" s="1889"/>
      <c r="G1785" s="1889" t="s">
        <v>6596</v>
      </c>
      <c r="H1785" s="1889"/>
      <c r="L1785" s="1889"/>
      <c r="M1785" s="360">
        <v>2</v>
      </c>
      <c r="N1785" s="362" t="s">
        <v>1842</v>
      </c>
      <c r="O1785" s="2468">
        <f>'Part VIII Scoring Criteria'!O294</f>
        <v>2</v>
      </c>
      <c r="P1785" s="2149"/>
      <c r="Q1785" s="808" t="str">
        <f>IF(OR(O1785=0,O1785="",O1785=$M1785),"","Check!")</f>
        <v/>
      </c>
      <c r="R1785" s="2161" t="s">
        <v>2461</v>
      </c>
      <c r="S1785" s="2488"/>
      <c r="T1785" s="2488"/>
      <c r="U1785" s="2488"/>
      <c r="V1785" s="2488"/>
    </row>
    <row r="1786" spans="1:24" s="2457" customFormat="1" ht="12" customHeight="1">
      <c r="A1786" s="2509"/>
      <c r="B1786" s="2510" t="s">
        <v>1845</v>
      </c>
      <c r="C1786" s="1889" t="s">
        <v>6597</v>
      </c>
      <c r="D1786" s="2331"/>
      <c r="E1786" s="2331"/>
      <c r="F1786" s="2331"/>
      <c r="G1786" s="2331"/>
      <c r="H1786" s="2331"/>
      <c r="I1786" s="2331"/>
      <c r="J1786" s="2331"/>
      <c r="K1786" s="2331"/>
      <c r="L1786" s="2331"/>
      <c r="M1786" s="2331"/>
      <c r="N1786" s="2511" t="s">
        <v>1845</v>
      </c>
      <c r="O1786" s="2211" t="str">
        <f>'Part VIII Scoring Criteria'!O295</f>
        <v>Yes</v>
      </c>
      <c r="P1786" s="362"/>
      <c r="Q1786" s="2484"/>
      <c r="R1786" s="2512"/>
      <c r="S1786" s="2512"/>
      <c r="T1786" s="2512"/>
      <c r="U1786" s="2512"/>
    </row>
    <row r="1787" spans="1:24" s="2457" customFormat="1" ht="12" customHeight="1">
      <c r="A1787" s="2509"/>
      <c r="B1787" s="2458" t="s">
        <v>1847</v>
      </c>
      <c r="C1787" s="1889" t="s">
        <v>6598</v>
      </c>
      <c r="D1787" s="2331"/>
      <c r="E1787" s="2331"/>
      <c r="F1787" s="2331"/>
      <c r="G1787" s="2331"/>
      <c r="H1787" s="2331"/>
      <c r="I1787" s="2331"/>
      <c r="J1787" s="2331"/>
      <c r="K1787" s="2331"/>
      <c r="L1787" s="2331"/>
      <c r="M1787" s="2331"/>
      <c r="N1787" s="2424" t="s">
        <v>1847</v>
      </c>
      <c r="O1787" s="2355" t="str">
        <f>'Part VIII Scoring Criteria'!O296</f>
        <v>Yes</v>
      </c>
      <c r="P1787" s="2337"/>
      <c r="Q1787" s="2484"/>
      <c r="R1787" s="2512"/>
      <c r="S1787" s="2512"/>
      <c r="T1787" s="2512"/>
      <c r="U1787" s="2512"/>
    </row>
    <row r="1788" spans="1:24" ht="11.25" customHeight="1">
      <c r="A1788" s="1902" t="s">
        <v>1844</v>
      </c>
      <c r="B1788" s="2339" t="s">
        <v>6589</v>
      </c>
      <c r="D1788" s="2339"/>
      <c r="G1788" s="807" t="s">
        <v>6599</v>
      </c>
      <c r="L1788" s="2339"/>
      <c r="M1788" s="1883">
        <v>2</v>
      </c>
      <c r="N1788" s="2342" t="s">
        <v>1844</v>
      </c>
      <c r="O1788" s="2438">
        <f>'Part VIII Scoring Criteria'!O297</f>
        <v>0</v>
      </c>
      <c r="P1788" s="2293"/>
      <c r="Q1788" s="808" t="str">
        <f>IF(OR(O1788=0,O1788="",O1788=$M1788),"","Check!")</f>
        <v/>
      </c>
      <c r="R1788" s="2161" t="s">
        <v>2461</v>
      </c>
      <c r="S1788" s="2488"/>
      <c r="T1788" s="2488"/>
      <c r="U1788" s="2488"/>
      <c r="V1788" s="2488"/>
    </row>
    <row r="1789" spans="1:24" s="2457" customFormat="1" ht="10.5" customHeight="1">
      <c r="A1789" s="2509"/>
      <c r="B1789" s="2458" t="s">
        <v>1845</v>
      </c>
      <c r="C1789" s="1889" t="s">
        <v>6600</v>
      </c>
      <c r="D1789" s="2331"/>
      <c r="E1789" s="2331"/>
      <c r="F1789" s="2331"/>
      <c r="G1789" s="2331"/>
      <c r="H1789" s="2331"/>
      <c r="I1789" s="2331"/>
      <c r="J1789" s="2331"/>
      <c r="K1789" s="2331"/>
      <c r="L1789" s="2331"/>
      <c r="M1789" s="2331"/>
      <c r="N1789" s="2424" t="s">
        <v>1845</v>
      </c>
      <c r="O1789" s="2344" t="str">
        <f>'Part VIII Scoring Criteria'!O298</f>
        <v>N/a</v>
      </c>
      <c r="P1789" s="2243"/>
      <c r="Q1789" s="2484"/>
      <c r="R1789" s="2512"/>
      <c r="S1789" s="2512"/>
      <c r="T1789" s="2512"/>
      <c r="U1789" s="2512"/>
    </row>
    <row r="1790" spans="1:24" s="2457" customFormat="1" ht="10.5" customHeight="1">
      <c r="A1790" s="2509"/>
      <c r="B1790" s="2458" t="s">
        <v>1847</v>
      </c>
      <c r="C1790" s="1889" t="s">
        <v>6601</v>
      </c>
      <c r="D1790" s="2331"/>
      <c r="E1790" s="2331"/>
      <c r="F1790" s="2331"/>
      <c r="G1790" s="2331"/>
      <c r="H1790" s="2331"/>
      <c r="I1790" s="2331"/>
      <c r="J1790" s="2331"/>
      <c r="K1790" s="2331"/>
      <c r="L1790" s="2331"/>
      <c r="M1790" s="2331"/>
      <c r="N1790" s="2424" t="s">
        <v>1847</v>
      </c>
      <c r="O1790" s="2355" t="str">
        <f>'Part VIII Scoring Criteria'!O299</f>
        <v>N/a</v>
      </c>
      <c r="P1790" s="2337"/>
      <c r="Q1790" s="2484"/>
      <c r="R1790" s="2512"/>
      <c r="S1790" s="2512"/>
      <c r="T1790" s="2512"/>
      <c r="U1790" s="2512"/>
    </row>
    <row r="1791" spans="1:24" s="2457" customFormat="1" ht="10.5" customHeight="1">
      <c r="A1791" s="2509"/>
      <c r="B1791" s="2458" t="s">
        <v>2333</v>
      </c>
      <c r="C1791" s="2491" t="s">
        <v>6702</v>
      </c>
      <c r="D1791" s="2330"/>
      <c r="E1791" s="2330"/>
      <c r="F1791" s="2330"/>
      <c r="G1791" s="2330"/>
      <c r="H1791" s="2330"/>
      <c r="I1791" s="2330"/>
      <c r="J1791" s="2330"/>
      <c r="K1791" s="2330"/>
      <c r="L1791" s="2330"/>
      <c r="M1791" s="2330"/>
      <c r="N1791" s="2424" t="s">
        <v>2333</v>
      </c>
      <c r="O1791" s="2330"/>
      <c r="P1791" s="2330"/>
      <c r="Q1791" s="2484"/>
      <c r="R1791" s="2512"/>
      <c r="S1791" s="2512"/>
      <c r="T1791" s="2512"/>
      <c r="U1791" s="2512"/>
    </row>
    <row r="1792" spans="1:24" s="2366" customFormat="1" ht="11.25" customHeight="1">
      <c r="A1792" s="2404"/>
      <c r="B1792" s="2336" t="s">
        <v>2241</v>
      </c>
      <c r="C1792" s="362" t="s">
        <v>6602</v>
      </c>
      <c r="D1792" s="2447"/>
      <c r="E1792" s="2379"/>
      <c r="F1792" s="2379"/>
      <c r="G1792" s="2379"/>
      <c r="H1792" s="2256"/>
      <c r="I1792" s="2256"/>
      <c r="M1792" s="1901"/>
      <c r="N1792" s="2336" t="s">
        <v>2241</v>
      </c>
      <c r="O1792" s="2344" t="str">
        <f>'Part VIII Scoring Criteria'!O301</f>
        <v>N/a</v>
      </c>
      <c r="P1792" s="2243"/>
      <c r="Q1792" s="1901"/>
      <c r="R1792" s="2449"/>
      <c r="S1792" s="2449"/>
      <c r="T1792" s="2449"/>
      <c r="U1792" s="2449"/>
    </row>
    <row r="1793" spans="1:22" s="2366" customFormat="1" ht="11.25" customHeight="1">
      <c r="A1793" s="2404"/>
      <c r="B1793" s="2342" t="s">
        <v>2242</v>
      </c>
      <c r="C1793" s="362" t="s">
        <v>6603</v>
      </c>
      <c r="D1793" s="2447"/>
      <c r="E1793" s="2379"/>
      <c r="F1793" s="2379"/>
      <c r="G1793" s="2379"/>
      <c r="H1793" s="2256"/>
      <c r="I1793" s="2256"/>
      <c r="J1793" s="1505"/>
      <c r="K1793" s="1505"/>
      <c r="L1793" s="2379"/>
      <c r="M1793" s="2379"/>
      <c r="N1793" s="2342" t="s">
        <v>2242</v>
      </c>
      <c r="O1793" s="2344" t="str">
        <f>'Part VIII Scoring Criteria'!O302</f>
        <v>N/a</v>
      </c>
      <c r="P1793" s="2243"/>
      <c r="Q1793" s="1901"/>
      <c r="R1793" s="2449"/>
      <c r="S1793" s="2449"/>
      <c r="T1793" s="2449"/>
      <c r="U1793" s="2449"/>
    </row>
    <row r="1794" spans="1:22" s="2457" customFormat="1" ht="15">
      <c r="A1794" s="2509"/>
      <c r="B1794" s="2458" t="s">
        <v>1151</v>
      </c>
      <c r="C1794" s="1889" t="s">
        <v>6906</v>
      </c>
      <c r="D1794" s="2331"/>
      <c r="E1794" s="2331"/>
      <c r="F1794" s="2331"/>
      <c r="G1794" s="2331"/>
      <c r="H1794" s="2331"/>
      <c r="I1794" s="2331"/>
      <c r="J1794" s="2331"/>
      <c r="K1794" s="2331"/>
      <c r="L1794" s="2331"/>
      <c r="M1794" s="2331"/>
      <c r="N1794" s="2424" t="s">
        <v>1151</v>
      </c>
      <c r="O1794" s="2355" t="str">
        <f>'Part VIII Scoring Criteria'!O303</f>
        <v>N/a</v>
      </c>
      <c r="P1794" s="2337"/>
      <c r="Q1794" s="2484"/>
      <c r="R1794" s="2512"/>
      <c r="S1794" s="2512"/>
      <c r="T1794" s="2512"/>
      <c r="U1794" s="2512"/>
    </row>
    <row r="1795" spans="1:22" s="2366" customFormat="1" ht="10.5" customHeight="1">
      <c r="A1795" s="359"/>
      <c r="B1795" s="2256" t="s">
        <v>3244</v>
      </c>
      <c r="C1795" s="359"/>
      <c r="D1795" s="1505"/>
      <c r="E1795" s="1505"/>
      <c r="F1795" s="1505"/>
      <c r="G1795" s="1505"/>
      <c r="H1795" s="362"/>
      <c r="I1795" s="362"/>
      <c r="J1795" s="362"/>
      <c r="K1795" s="362"/>
      <c r="M1795" s="1901"/>
      <c r="N1795" s="1750"/>
      <c r="O1795" s="2293"/>
      <c r="P1795" s="1750"/>
      <c r="R1795" s="2488"/>
      <c r="S1795" s="2488"/>
      <c r="T1795" s="2488"/>
      <c r="U1795" s="2488"/>
      <c r="V1795" s="2488"/>
    </row>
    <row r="1796" spans="1:22" s="2366" customFormat="1" ht="135">
      <c r="A1796" s="2327" t="str">
        <f>'Part VIII Scoring Criteria'!A305</f>
        <v xml:space="preserve">The applicant commits to 5% of Total Construction Hard Costs to a Minority and/or Women Owned Business. </v>
      </c>
      <c r="B1796" s="2327"/>
      <c r="C1796" s="2327"/>
      <c r="D1796" s="2327"/>
      <c r="E1796" s="2327"/>
      <c r="F1796" s="2327"/>
      <c r="G1796" s="2327"/>
      <c r="H1796" s="2327"/>
      <c r="I1796" s="2327"/>
      <c r="J1796" s="2327"/>
      <c r="K1796" s="2327"/>
      <c r="L1796" s="2327"/>
      <c r="M1796" s="2327"/>
      <c r="N1796" s="2327"/>
      <c r="O1796" s="2327"/>
      <c r="P1796" s="2327"/>
      <c r="Q1796" s="2017" t="s">
        <v>1181</v>
      </c>
    </row>
    <row r="1797" spans="1:22" s="2366" customFormat="1" ht="10.5" customHeight="1">
      <c r="A1797" s="359"/>
      <c r="B1797" s="2328" t="s">
        <v>1730</v>
      </c>
      <c r="C1797" s="359"/>
      <c r="D1797" s="2328"/>
      <c r="E1797" s="2330"/>
      <c r="F1797" s="2330"/>
      <c r="G1797" s="2330"/>
      <c r="H1797" s="2330"/>
      <c r="I1797" s="2330"/>
      <c r="J1797" s="2330"/>
      <c r="K1797" s="2330"/>
      <c r="L1797" s="2330"/>
      <c r="M1797" s="2330"/>
      <c r="N1797" s="2410"/>
      <c r="O1797" s="2410"/>
      <c r="P1797" s="1901"/>
    </row>
    <row r="1798" spans="1:22" s="2366" customFormat="1" ht="11.25" customHeight="1">
      <c r="A1798" s="2035"/>
      <c r="B1798" s="2035"/>
      <c r="C1798" s="2035"/>
      <c r="D1798" s="2035"/>
      <c r="E1798" s="2035"/>
      <c r="F1798" s="2035"/>
      <c r="G1798" s="2035"/>
      <c r="H1798" s="2035"/>
      <c r="I1798" s="2035"/>
      <c r="J1798" s="2035"/>
      <c r="K1798" s="2035"/>
      <c r="L1798" s="2035"/>
      <c r="M1798" s="2035"/>
      <c r="N1798" s="2035"/>
      <c r="O1798" s="2035"/>
      <c r="P1798" s="2035"/>
      <c r="Q1798" s="2017"/>
    </row>
    <row r="1799" spans="1:22" s="2366" customFormat="1" ht="2.25" customHeight="1">
      <c r="A1799" s="359"/>
      <c r="D1799" s="362"/>
      <c r="E1799" s="362"/>
      <c r="F1799" s="1901"/>
      <c r="G1799" s="1901"/>
      <c r="H1799" s="1901"/>
      <c r="I1799" s="1901"/>
      <c r="J1799" s="1875"/>
      <c r="K1799" s="1875"/>
      <c r="L1799" s="1875"/>
      <c r="M1799" s="2243"/>
      <c r="N1799" s="1901"/>
      <c r="O1799" s="1750"/>
      <c r="P1799" s="2293"/>
    </row>
    <row r="1800" spans="1:22" s="2379" customFormat="1" ht="13.5" customHeight="1">
      <c r="A1800" s="2404" t="s">
        <v>3373</v>
      </c>
      <c r="B1800" s="2253" t="s">
        <v>6593</v>
      </c>
      <c r="D1800" s="2256"/>
      <c r="E1800" s="2256"/>
      <c r="G1800" s="2503"/>
      <c r="H1800" s="2029"/>
      <c r="I1800" s="2029"/>
      <c r="J1800" s="2029"/>
      <c r="K1800" s="2029"/>
      <c r="L1800" s="2029"/>
      <c r="M1800" s="1901">
        <f>'Part VIII Scoring Criteria'!M309</f>
        <v>0</v>
      </c>
      <c r="N1800" s="1901"/>
      <c r="O1800" s="2293">
        <f>'Part VIII Scoring Criteria'!O309</f>
        <v>0</v>
      </c>
      <c r="P1800" s="2293">
        <f>'Part VIII Scoring Criteria'!P309</f>
        <v>0</v>
      </c>
      <c r="Q1800" s="1901" t="s">
        <v>416</v>
      </c>
      <c r="R1800" s="2488"/>
      <c r="S1800" s="2488"/>
      <c r="T1800" s="2488"/>
      <c r="U1800" s="2488"/>
      <c r="V1800" s="2488"/>
    </row>
    <row r="1801" spans="1:22" ht="11.25" customHeight="1">
      <c r="A1801" s="1902" t="s">
        <v>1842</v>
      </c>
      <c r="B1801" s="2339" t="s">
        <v>6594</v>
      </c>
      <c r="D1801" s="2339"/>
      <c r="E1801" s="2339" t="s">
        <v>6605</v>
      </c>
      <c r="F1801" s="2339"/>
      <c r="G1801" s="2339"/>
      <c r="H1801" s="2339"/>
      <c r="I1801" s="2361">
        <f>'Part VIII Scoring Criteria'!I310</f>
        <v>0</v>
      </c>
      <c r="J1801" s="2361"/>
      <c r="K1801" s="2361"/>
      <c r="L1801" s="2361"/>
      <c r="M1801" s="1883">
        <v>2</v>
      </c>
      <c r="N1801" s="2342" t="s">
        <v>1842</v>
      </c>
      <c r="O1801" s="2438">
        <f>'Part VIII Scoring Criteria'!O310</f>
        <v>0</v>
      </c>
      <c r="P1801" s="2293"/>
      <c r="Q1801" s="808" t="str">
        <f>IF(OR(O1801=0,O1801="",O1801=$M1801),"","Check!")</f>
        <v/>
      </c>
      <c r="R1801" s="2161" t="s">
        <v>2461</v>
      </c>
      <c r="S1801" s="2488"/>
      <c r="T1801" s="2488"/>
      <c r="U1801" s="2488"/>
      <c r="V1801" s="2488"/>
    </row>
    <row r="1802" spans="1:22" ht="11.25" customHeight="1">
      <c r="A1802" s="1902" t="s">
        <v>1844</v>
      </c>
      <c r="B1802" s="2339" t="s">
        <v>6595</v>
      </c>
      <c r="D1802" s="2339"/>
      <c r="L1802" s="2339"/>
      <c r="M1802" s="1883">
        <v>2</v>
      </c>
      <c r="N1802" s="2342" t="s">
        <v>1844</v>
      </c>
      <c r="O1802" s="2438">
        <f>'Part VIII Scoring Criteria'!O311</f>
        <v>0</v>
      </c>
      <c r="P1802" s="2293"/>
      <c r="Q1802" s="808" t="str">
        <f>IF(OR(O1802=0,O1802="",O1802=$M1802),"","Check!")</f>
        <v/>
      </c>
      <c r="R1802" s="2161" t="s">
        <v>2461</v>
      </c>
      <c r="S1802" s="2488"/>
      <c r="T1802" s="2488"/>
      <c r="U1802" s="2488"/>
      <c r="V1802" s="2488"/>
    </row>
    <row r="1803" spans="1:22" s="2366" customFormat="1" ht="10.5" customHeight="1">
      <c r="A1803" s="359"/>
      <c r="B1803" s="2256" t="s">
        <v>3244</v>
      </c>
      <c r="C1803" s="359"/>
      <c r="D1803" s="1505"/>
      <c r="E1803" s="1505"/>
      <c r="F1803" s="1505"/>
      <c r="G1803" s="1505"/>
      <c r="H1803" s="362"/>
      <c r="I1803" s="362"/>
      <c r="J1803" s="362"/>
      <c r="K1803" s="362"/>
      <c r="M1803" s="1901"/>
      <c r="N1803" s="1750"/>
      <c r="O1803" s="2293"/>
      <c r="P1803" s="1750"/>
      <c r="R1803" s="2488"/>
      <c r="S1803" s="2488"/>
      <c r="T1803" s="2488"/>
      <c r="U1803" s="2488"/>
      <c r="V1803" s="2488"/>
    </row>
    <row r="1804" spans="1:22" s="2366" customFormat="1" ht="112.5">
      <c r="A1804" s="2327" t="str">
        <f>'Part VIII Scoring Criteria'!A313</f>
        <v>The applicant is not claiming points in this section as it is a 4% RAD Preservation.</v>
      </c>
      <c r="B1804" s="2327"/>
      <c r="C1804" s="2327"/>
      <c r="D1804" s="2327"/>
      <c r="E1804" s="2327"/>
      <c r="F1804" s="2327"/>
      <c r="G1804" s="2327"/>
      <c r="H1804" s="2327"/>
      <c r="I1804" s="2327"/>
      <c r="J1804" s="2327"/>
      <c r="K1804" s="2327"/>
      <c r="L1804" s="2327"/>
      <c r="M1804" s="2327"/>
      <c r="N1804" s="2327"/>
      <c r="O1804" s="2327"/>
      <c r="P1804" s="2327"/>
      <c r="Q1804" s="2017" t="s">
        <v>1181</v>
      </c>
    </row>
    <row r="1805" spans="1:22" s="2366" customFormat="1" ht="10.5" customHeight="1">
      <c r="A1805" s="359"/>
      <c r="B1805" s="2328" t="s">
        <v>1730</v>
      </c>
      <c r="C1805" s="359"/>
      <c r="D1805" s="2328"/>
      <c r="E1805" s="2330"/>
      <c r="F1805" s="2330"/>
      <c r="G1805" s="2330"/>
      <c r="H1805" s="2330"/>
      <c r="I1805" s="2330"/>
      <c r="J1805" s="2330"/>
      <c r="K1805" s="2330"/>
      <c r="L1805" s="2330"/>
      <c r="M1805" s="2330"/>
      <c r="N1805" s="2410"/>
      <c r="O1805" s="2410"/>
      <c r="P1805" s="1901"/>
    </row>
    <row r="1806" spans="1:22" s="2366" customFormat="1" ht="11.25" customHeight="1">
      <c r="A1806" s="2035"/>
      <c r="B1806" s="2035"/>
      <c r="C1806" s="2035"/>
      <c r="D1806" s="2035"/>
      <c r="E1806" s="2035"/>
      <c r="F1806" s="2035"/>
      <c r="G1806" s="2035"/>
      <c r="H1806" s="2035"/>
      <c r="I1806" s="2035"/>
      <c r="J1806" s="2035"/>
      <c r="K1806" s="2035"/>
      <c r="L1806" s="2035"/>
      <c r="M1806" s="2035"/>
      <c r="N1806" s="2035"/>
      <c r="O1806" s="2035"/>
      <c r="P1806" s="2035"/>
      <c r="Q1806" s="2017"/>
    </row>
    <row r="1807" spans="1:22" s="2366" customFormat="1" ht="2.25" customHeight="1">
      <c r="A1807" s="359"/>
      <c r="D1807" s="362"/>
      <c r="E1807" s="362"/>
      <c r="F1807" s="1901"/>
      <c r="G1807" s="1901"/>
      <c r="H1807" s="1901"/>
      <c r="I1807" s="1901"/>
      <c r="J1807" s="1875"/>
      <c r="K1807" s="1875"/>
      <c r="L1807" s="1875"/>
      <c r="M1807" s="2243"/>
      <c r="N1807" s="1901"/>
      <c r="O1807" s="1750"/>
      <c r="P1807" s="2293"/>
    </row>
    <row r="1808" spans="1:22" s="2366" customFormat="1" ht="12" customHeight="1">
      <c r="A1808" s="2513" t="s">
        <v>3376</v>
      </c>
      <c r="B1808" s="2253" t="s">
        <v>3347</v>
      </c>
      <c r="C1808" s="807"/>
      <c r="D1808" s="807"/>
      <c r="E1808" s="362"/>
      <c r="G1808" s="807"/>
      <c r="I1808" s="2161" t="s">
        <v>6257</v>
      </c>
      <c r="J1808" s="1322" t="str">
        <f>IF(OR($M$34="9% Credit Competitive Round only", $M$34="9% Credit &amp; HOME"),"9%",IF(OR($M$34="4% Credit/TE Bond", $M$34="4% Credit/TE Bond &amp; HOME", $M$34="4% Credit/TE Bond &amp; HOME NOFA", $M$34="4% Credit &amp; NHTF", $M$34="4% Credit &amp; NHTF &amp; HOME"),"4%",""))</f>
        <v/>
      </c>
      <c r="K1808" s="2379"/>
      <c r="L1808" s="2379"/>
      <c r="M1808" s="1901">
        <f>'Part VIII Scoring Criteria'!M317</f>
        <v>0</v>
      </c>
      <c r="N1808" s="1901"/>
      <c r="O1808" s="1901"/>
      <c r="P1808" s="1901">
        <f>P1810+P1816</f>
        <v>0</v>
      </c>
      <c r="Q1808" s="1901" t="s">
        <v>416</v>
      </c>
    </row>
    <row r="1809" spans="1:21" s="2366" customFormat="1" ht="12.75" customHeight="1">
      <c r="A1809" s="2404"/>
      <c r="B1809" s="362" t="s">
        <v>6240</v>
      </c>
      <c r="C1809" s="2330"/>
      <c r="D1809" s="2330"/>
      <c r="E1809" s="2330"/>
      <c r="F1809" s="2330"/>
      <c r="G1809" s="2330"/>
      <c r="H1809" s="2330"/>
      <c r="I1809" s="2330"/>
      <c r="J1809" s="2330"/>
      <c r="K1809" s="2330"/>
      <c r="L1809" s="2483"/>
      <c r="M1809" s="1901"/>
      <c r="N1809" s="2410"/>
      <c r="O1809" s="2344" t="str">
        <f>'Part VIII Scoring Criteria'!O318</f>
        <v>N/a</v>
      </c>
      <c r="P1809" s="2243"/>
      <c r="Q1809" s="1901"/>
      <c r="T1809" s="2506"/>
      <c r="U1809" s="2506"/>
    </row>
    <row r="1810" spans="1:21" s="2366" customFormat="1" ht="12" customHeight="1">
      <c r="A1810" s="1902" t="s">
        <v>1842</v>
      </c>
      <c r="B1810" s="1505" t="s">
        <v>3348</v>
      </c>
      <c r="C1810" s="807"/>
      <c r="D1810" s="807"/>
      <c r="E1810" s="362"/>
      <c r="G1810" s="1882"/>
      <c r="I1810" s="1875" t="s">
        <v>4083</v>
      </c>
      <c r="K1810" s="1875">
        <f>'Part VIII Scoring Criteria'!P1532</f>
        <v>0</v>
      </c>
      <c r="M1810" s="1902">
        <v>2</v>
      </c>
      <c r="N1810" s="2342" t="s">
        <v>1842</v>
      </c>
      <c r="P1810" s="1901"/>
      <c r="Q1810" s="1901"/>
      <c r="R1810" s="2161" t="s">
        <v>2461</v>
      </c>
    </row>
    <row r="1811" spans="1:21" s="2379" customFormat="1" ht="10.5" customHeight="1">
      <c r="A1811" s="1902"/>
      <c r="B1811" s="2451" t="s">
        <v>1845</v>
      </c>
      <c r="C1811" s="362" t="s">
        <v>3845</v>
      </c>
      <c r="D1811" s="359"/>
      <c r="N1811" s="2451" t="s">
        <v>3846</v>
      </c>
      <c r="O1811" s="2344" t="str">
        <f>'Part VIII Scoring Criteria'!O320</f>
        <v>N/a</v>
      </c>
      <c r="P1811" s="2243"/>
      <c r="R1811" s="2433"/>
    </row>
    <row r="1812" spans="1:21" s="2379" customFormat="1" ht="10.5" customHeight="1">
      <c r="A1812" s="1902"/>
      <c r="B1812" s="2451"/>
      <c r="C1812" s="362" t="s">
        <v>6585</v>
      </c>
      <c r="D1812" s="359"/>
      <c r="N1812" s="2451" t="s">
        <v>3847</v>
      </c>
      <c r="O1812" s="2344" t="str">
        <f>'Part VIII Scoring Criteria'!O321</f>
        <v>N/a</v>
      </c>
      <c r="P1812" s="2243"/>
      <c r="R1812" s="2433"/>
    </row>
    <row r="1813" spans="1:21" s="2379" customFormat="1" ht="10.5" customHeight="1">
      <c r="A1813" s="1902"/>
      <c r="B1813" s="2451" t="s">
        <v>1847</v>
      </c>
      <c r="C1813" s="362" t="s">
        <v>3353</v>
      </c>
      <c r="D1813" s="359"/>
      <c r="N1813" s="2451" t="s">
        <v>1847</v>
      </c>
      <c r="O1813" s="2344" t="str">
        <f>'Part VIII Scoring Criteria'!O322</f>
        <v>N/a</v>
      </c>
      <c r="P1813" s="2243"/>
      <c r="R1813" s="2433"/>
    </row>
    <row r="1814" spans="1:21" s="2379" customFormat="1" ht="10.5" customHeight="1">
      <c r="A1814" s="1902"/>
      <c r="B1814" s="2451" t="s">
        <v>2333</v>
      </c>
      <c r="C1814" s="362" t="s">
        <v>3848</v>
      </c>
      <c r="D1814" s="359"/>
      <c r="N1814" s="2451" t="s">
        <v>2333</v>
      </c>
      <c r="O1814" s="2344" t="str">
        <f>'Part VIII Scoring Criteria'!O323</f>
        <v>N/a</v>
      </c>
      <c r="P1814" s="2243"/>
      <c r="R1814" s="2433"/>
    </row>
    <row r="1815" spans="1:21" s="2379" customFormat="1" ht="10.5" customHeight="1">
      <c r="A1815" s="2478"/>
      <c r="B1815" s="2451" t="s">
        <v>1151</v>
      </c>
      <c r="C1815" s="362" t="s">
        <v>3354</v>
      </c>
      <c r="D1815" s="359"/>
      <c r="N1815" s="2451" t="s">
        <v>1151</v>
      </c>
      <c r="O1815" s="2344" t="str">
        <f>'Part VIII Scoring Criteria'!O324</f>
        <v>N/a</v>
      </c>
      <c r="P1815" s="2243"/>
      <c r="R1815" s="2433"/>
    </row>
    <row r="1816" spans="1:21" s="2366" customFormat="1" ht="12" customHeight="1">
      <c r="A1816" s="1902" t="s">
        <v>1844</v>
      </c>
      <c r="B1816" s="1505" t="s">
        <v>3349</v>
      </c>
      <c r="C1816" s="807"/>
      <c r="D1816" s="807"/>
      <c r="E1816" s="362"/>
      <c r="G1816" s="1882"/>
      <c r="I1816" s="1882"/>
      <c r="L1816" s="808"/>
      <c r="M1816" s="1902">
        <v>2</v>
      </c>
      <c r="N1816" s="2342" t="s">
        <v>1844</v>
      </c>
      <c r="P1816" s="1901"/>
      <c r="Q1816" s="1901"/>
      <c r="R1816" s="2161" t="s">
        <v>2461</v>
      </c>
    </row>
    <row r="1817" spans="1:21" s="2379" customFormat="1" ht="10.5" customHeight="1">
      <c r="A1817" s="2502"/>
      <c r="B1817" s="2451" t="s">
        <v>1845</v>
      </c>
      <c r="C1817" s="362" t="s">
        <v>3845</v>
      </c>
      <c r="D1817" s="362"/>
      <c r="E1817" s="362"/>
      <c r="M1817" s="1901"/>
      <c r="N1817" s="2451" t="s">
        <v>3846</v>
      </c>
      <c r="O1817" s="2344" t="str">
        <f>'Part VIII Scoring Criteria'!O326</f>
        <v>N/a</v>
      </c>
      <c r="P1817" s="2243"/>
      <c r="Q1817" s="1901"/>
    </row>
    <row r="1818" spans="1:21" s="2379" customFormat="1" ht="10.5" customHeight="1">
      <c r="A1818" s="2239"/>
      <c r="B1818" s="2451"/>
      <c r="C1818" s="362" t="s">
        <v>6586</v>
      </c>
      <c r="D1818" s="359"/>
      <c r="N1818" s="2451" t="s">
        <v>3847</v>
      </c>
      <c r="O1818" s="2344" t="str">
        <f>'Part VIII Scoring Criteria'!O327</f>
        <v>N/a</v>
      </c>
      <c r="P1818" s="2243"/>
      <c r="R1818" s="2433"/>
    </row>
    <row r="1819" spans="1:21" s="2379" customFormat="1" ht="10.5" customHeight="1">
      <c r="A1819" s="2239"/>
      <c r="B1819" s="2451" t="s">
        <v>1847</v>
      </c>
      <c r="C1819" s="362" t="s">
        <v>3365</v>
      </c>
      <c r="D1819" s="359"/>
      <c r="N1819" s="2451" t="s">
        <v>1847</v>
      </c>
      <c r="O1819" s="2344" t="str">
        <f>'Part VIII Scoring Criteria'!O328</f>
        <v>N/a</v>
      </c>
      <c r="P1819" s="2243"/>
      <c r="R1819" s="2433"/>
    </row>
    <row r="1820" spans="1:21" s="2379" customFormat="1" ht="10.5" customHeight="1">
      <c r="B1820" s="2451" t="s">
        <v>2333</v>
      </c>
      <c r="C1820" s="362" t="s">
        <v>3354</v>
      </c>
      <c r="D1820" s="359"/>
      <c r="N1820" s="2451" t="s">
        <v>2333</v>
      </c>
      <c r="O1820" s="2344" t="str">
        <f>'Part VIII Scoring Criteria'!O329</f>
        <v>N/a</v>
      </c>
      <c r="P1820" s="2243"/>
      <c r="R1820" s="2433"/>
    </row>
    <row r="1821" spans="1:21" s="2366" customFormat="1" ht="10.5" customHeight="1">
      <c r="B1821" s="2328" t="s">
        <v>1730</v>
      </c>
      <c r="C1821" s="359"/>
      <c r="D1821" s="2328"/>
      <c r="E1821" s="2330"/>
      <c r="F1821" s="2330"/>
      <c r="G1821" s="2330"/>
      <c r="H1821" s="2330"/>
      <c r="I1821" s="2330"/>
      <c r="J1821" s="2330"/>
      <c r="K1821" s="2330"/>
      <c r="L1821" s="2330"/>
      <c r="M1821" s="2330"/>
      <c r="N1821" s="2410"/>
      <c r="O1821" s="2410"/>
      <c r="P1821" s="1901"/>
    </row>
    <row r="1822" spans="1:21" s="2366" customFormat="1" ht="11.25" customHeight="1">
      <c r="A1822" s="2331"/>
      <c r="B1822" s="2331"/>
      <c r="C1822" s="2331"/>
      <c r="D1822" s="2331"/>
      <c r="E1822" s="2331"/>
      <c r="F1822" s="2331"/>
      <c r="G1822" s="2331"/>
      <c r="H1822" s="2331"/>
      <c r="I1822" s="2331"/>
      <c r="J1822" s="2331"/>
      <c r="K1822" s="2331"/>
      <c r="L1822" s="2331"/>
      <c r="M1822" s="2331"/>
      <c r="N1822" s="2331"/>
      <c r="O1822" s="2331"/>
      <c r="P1822" s="2331"/>
      <c r="Q1822" s="2017"/>
    </row>
    <row r="1823" spans="1:21" ht="2.25" customHeight="1">
      <c r="N1823" s="1750"/>
      <c r="O1823" s="1750"/>
      <c r="P1823" s="1750"/>
    </row>
    <row r="1824" spans="1:21" s="2366" customFormat="1" ht="13.5" customHeight="1">
      <c r="A1824" s="2502" t="s">
        <v>3377</v>
      </c>
      <c r="B1824" s="2253" t="s">
        <v>1556</v>
      </c>
      <c r="D1824" s="807"/>
      <c r="E1824" s="807"/>
      <c r="G1824" s="362"/>
      <c r="M1824" s="1901">
        <f>'Part VIII Scoring Criteria'!M333</f>
        <v>0</v>
      </c>
      <c r="N1824" s="2514"/>
      <c r="O1824" s="2438">
        <f>'Part VIII Scoring Criteria'!O333</f>
        <v>0</v>
      </c>
      <c r="P1824" s="2293">
        <f>'Part VIII Scoring Criteria'!P333</f>
        <v>0</v>
      </c>
      <c r="Q1824" s="1901" t="s">
        <v>416</v>
      </c>
      <c r="R1824" s="2067" t="s">
        <v>4064</v>
      </c>
      <c r="S1824" s="2067"/>
    </row>
    <row r="1825" spans="1:20" s="2366" customFormat="1" ht="11.25" customHeight="1">
      <c r="A1825" s="2239"/>
      <c r="B1825" s="1875" t="s">
        <v>3157</v>
      </c>
      <c r="D1825" s="807"/>
      <c r="E1825" s="807"/>
      <c r="G1825" s="362"/>
      <c r="I1825" s="2211" t="str">
        <f>'Part VIII Scoring Criteria'!I334</f>
        <v>Enter GICH Community Name</v>
      </c>
      <c r="J1825" s="2211"/>
      <c r="K1825" s="2211"/>
      <c r="L1825" s="2211"/>
      <c r="M1825" s="1901"/>
      <c r="N1825" s="2243"/>
      <c r="O1825" s="808"/>
      <c r="P1825" s="808"/>
      <c r="Q1825" s="2462"/>
      <c r="R1825" s="2067"/>
      <c r="S1825" s="2067"/>
    </row>
    <row r="1826" spans="1:20" s="807" customFormat="1" ht="2.25" customHeight="1">
      <c r="B1826" s="1884"/>
      <c r="D1826" s="362"/>
      <c r="E1826" s="362"/>
      <c r="F1826" s="362"/>
      <c r="G1826" s="362"/>
      <c r="H1826" s="362"/>
      <c r="I1826" s="362"/>
      <c r="J1826" s="362"/>
      <c r="K1826" s="362"/>
      <c r="L1826" s="362"/>
      <c r="M1826" s="362"/>
      <c r="N1826" s="2342"/>
      <c r="O1826" s="2342"/>
      <c r="P1826" s="2342"/>
    </row>
    <row r="1827" spans="1:20" s="2379" customFormat="1" ht="10.5" customHeight="1">
      <c r="A1827" s="359"/>
      <c r="B1827" s="2256" t="s">
        <v>3244</v>
      </c>
      <c r="C1827" s="359"/>
      <c r="D1827" s="1505"/>
      <c r="E1827" s="1505"/>
      <c r="F1827" s="1505"/>
      <c r="G1827" s="1505"/>
      <c r="H1827" s="362"/>
      <c r="I1827" s="362"/>
      <c r="J1827" s="362"/>
      <c r="K1827" s="362"/>
      <c r="M1827" s="1901"/>
      <c r="N1827" s="1901"/>
      <c r="O1827" s="2293"/>
      <c r="P1827" s="1901"/>
    </row>
    <row r="1828" spans="1:20" s="2366" customFormat="1" ht="10.9" customHeight="1">
      <c r="A1828" s="2327" t="str">
        <f>'Part VIII Scoring Criteria'!A337</f>
        <v>The applicant is not claiming points in this section as it is a 4% RAD Preservation.</v>
      </c>
      <c r="B1828" s="2327"/>
      <c r="C1828" s="2327"/>
      <c r="D1828" s="2327"/>
      <c r="E1828" s="2327"/>
      <c r="F1828" s="2327"/>
      <c r="G1828" s="2327"/>
      <c r="H1828" s="2327"/>
      <c r="I1828" s="2327"/>
      <c r="J1828" s="2327"/>
      <c r="K1828" s="2327"/>
      <c r="L1828" s="2327"/>
      <c r="M1828" s="2327"/>
      <c r="N1828" s="2327"/>
      <c r="O1828" s="2327"/>
      <c r="P1828" s="2327"/>
      <c r="Q1828" s="2017" t="s">
        <v>1181</v>
      </c>
    </row>
    <row r="1829" spans="1:20" s="2379" customFormat="1" ht="10.5" customHeight="1">
      <c r="A1829" s="359"/>
      <c r="B1829" s="2256" t="s">
        <v>1730</v>
      </c>
      <c r="C1829" s="359"/>
      <c r="D1829" s="2256"/>
      <c r="E1829" s="2252"/>
      <c r="F1829" s="2252"/>
      <c r="G1829" s="2252"/>
      <c r="H1829" s="2252"/>
      <c r="I1829" s="2252"/>
      <c r="J1829" s="2252"/>
      <c r="K1829" s="2252"/>
      <c r="L1829" s="2252"/>
      <c r="M1829" s="2252"/>
      <c r="N1829" s="2224"/>
      <c r="O1829" s="2224"/>
      <c r="P1829" s="1901"/>
      <c r="Q1829" s="2366"/>
    </row>
    <row r="1830" spans="1:20" s="2366" customFormat="1" ht="11.25" customHeight="1">
      <c r="A1830" s="2331"/>
      <c r="B1830" s="2331"/>
      <c r="C1830" s="2331"/>
      <c r="D1830" s="2331"/>
      <c r="E1830" s="2331"/>
      <c r="F1830" s="2331"/>
      <c r="G1830" s="2331"/>
      <c r="H1830" s="2331"/>
      <c r="I1830" s="2331"/>
      <c r="J1830" s="2331"/>
      <c r="K1830" s="2331"/>
      <c r="L1830" s="2331"/>
      <c r="M1830" s="2331"/>
      <c r="N1830" s="2331"/>
      <c r="O1830" s="2331"/>
      <c r="P1830" s="2331"/>
      <c r="Q1830" s="2017"/>
    </row>
    <row r="1831" spans="1:20" ht="3" customHeight="1">
      <c r="N1831" s="1750"/>
      <c r="O1831" s="1750"/>
      <c r="P1831" s="1750"/>
    </row>
    <row r="1832" spans="1:20" s="2366" customFormat="1" ht="13.5" customHeight="1">
      <c r="A1832" s="2404" t="s">
        <v>3380</v>
      </c>
      <c r="B1832" s="2253" t="s">
        <v>3351</v>
      </c>
      <c r="D1832" s="807"/>
      <c r="E1832" s="807"/>
      <c r="F1832" s="362"/>
      <c r="G1832" s="362"/>
      <c r="H1832" s="362"/>
      <c r="J1832" s="2431" t="s">
        <v>6146</v>
      </c>
      <c r="K1832" s="1322" t="str">
        <f>IF(OR($M$34="9% Credit Competitive Round only", $M$34="9% Credit &amp; HOME"),"9%",IF(OR($M$34="4% Credit/TE Bond", $M$34="4% Credit/TE Bond &amp; HOME", $M$34="4% Credit/TE Bond &amp; HOME NOFA", $M$34="4% Credit &amp; NHTF", $M$34="4% Credit &amp; NHTF &amp; HOME"),"4%",""))</f>
        <v/>
      </c>
      <c r="M1832" s="2293">
        <f>'Part VIII Scoring Criteria'!M341</f>
        <v>2</v>
      </c>
      <c r="N1832" s="1901"/>
      <c r="O1832" s="2293">
        <f>'Part VIII Scoring Criteria'!O341</f>
        <v>0</v>
      </c>
      <c r="P1832" s="2293">
        <f>'Part VIII Scoring Criteria'!P341</f>
        <v>0</v>
      </c>
      <c r="Q1832" s="1901" t="s">
        <v>416</v>
      </c>
    </row>
    <row r="1833" spans="1:20" s="2366" customFormat="1" ht="10.5" customHeight="1">
      <c r="A1833" s="359"/>
      <c r="B1833" s="1875" t="s">
        <v>6907</v>
      </c>
      <c r="E1833" s="807"/>
      <c r="F1833" s="362"/>
      <c r="G1833" s="362"/>
      <c r="H1833" s="362"/>
      <c r="I1833" s="362"/>
      <c r="K1833" s="2243"/>
      <c r="L1833" s="2515"/>
      <c r="O1833" s="2243" t="s">
        <v>2309</v>
      </c>
      <c r="P1833" s="2243" t="s">
        <v>2309</v>
      </c>
    </row>
    <row r="1834" spans="1:20" s="807" customFormat="1" ht="12.75" customHeight="1">
      <c r="B1834" s="2342" t="s">
        <v>2241</v>
      </c>
      <c r="C1834" s="362" t="s">
        <v>2519</v>
      </c>
      <c r="F1834" s="362"/>
      <c r="G1834" s="362"/>
      <c r="H1834" s="362"/>
      <c r="I1834" s="362"/>
      <c r="J1834" s="2366"/>
      <c r="K1834" s="2243"/>
      <c r="L1834" s="2331" t="str">
        <f>IF(OR(O1834="No",O1834="",O1835="No",O1835="",O1836="No",O1836="",O1837="No",O1837=""),"Unmet criterion results in no points!","")</f>
        <v/>
      </c>
      <c r="M1834" s="2331"/>
      <c r="N1834" s="2342" t="s">
        <v>2241</v>
      </c>
      <c r="O1834" s="2344" t="str">
        <f>'Part VIII Scoring Criteria'!O343</f>
        <v>Yes</v>
      </c>
      <c r="P1834" s="2243"/>
      <c r="R1834" s="2331" t="str">
        <f>IF(OR(P1834="No",P1834="",P1835="No",P1835="",P1836="No",P1836="",P1837="No",P1837=""),"Unmet criterion results in no points!","")</f>
        <v>Unmet criterion results in no points!</v>
      </c>
      <c r="S1834" s="2331" t="e">
        <f>IF(OR(V1834="No",V1834="",V1835="No",V1835="",V1836="No",V1836="",V1837="No",V1837="",#REF!="No",#REF!="",#REF!="No",#REF!=""),"Unmet criterion results in no points!","")</f>
        <v>#REF!</v>
      </c>
    </row>
    <row r="1835" spans="1:20" s="807" customFormat="1" ht="12.75" customHeight="1">
      <c r="B1835" s="2342" t="s">
        <v>2242</v>
      </c>
      <c r="C1835" s="362" t="s">
        <v>3278</v>
      </c>
      <c r="L1835" s="2331"/>
      <c r="M1835" s="2331"/>
      <c r="N1835" s="2342" t="s">
        <v>2242</v>
      </c>
      <c r="O1835" s="2344" t="str">
        <f>'Part VIII Scoring Criteria'!O344</f>
        <v>Yes</v>
      </c>
      <c r="P1835" s="2243"/>
      <c r="R1835" s="2331"/>
      <c r="S1835" s="2331"/>
    </row>
    <row r="1836" spans="1:20" s="807" customFormat="1" ht="12.75" customHeight="1">
      <c r="B1836" s="2342" t="s">
        <v>2243</v>
      </c>
      <c r="C1836" s="362" t="s">
        <v>3277</v>
      </c>
      <c r="L1836" s="2331"/>
      <c r="M1836" s="2331"/>
      <c r="N1836" s="2342" t="s">
        <v>2243</v>
      </c>
      <c r="O1836" s="2344" t="str">
        <f>'Part VIII Scoring Criteria'!O345</f>
        <v>Yes</v>
      </c>
      <c r="P1836" s="2243"/>
      <c r="R1836" s="2331"/>
      <c r="S1836" s="2331"/>
    </row>
    <row r="1837" spans="1:20" s="807" customFormat="1" ht="11.25">
      <c r="B1837" s="2336" t="s">
        <v>2244</v>
      </c>
      <c r="C1837" s="1889" t="s">
        <v>6606</v>
      </c>
      <c r="D1837" s="2331"/>
      <c r="E1837" s="2331"/>
      <c r="F1837" s="2331"/>
      <c r="G1837" s="2331"/>
      <c r="H1837" s="2331"/>
      <c r="I1837" s="2331"/>
      <c r="J1837" s="2331"/>
      <c r="K1837" s="2331"/>
      <c r="L1837" s="2331"/>
      <c r="M1837" s="2331"/>
      <c r="N1837" s="2336" t="s">
        <v>2244</v>
      </c>
      <c r="O1837" s="2355" t="str">
        <f>'Part VIII Scoring Criteria'!O346</f>
        <v>Yes</v>
      </c>
      <c r="P1837" s="2337"/>
    </row>
    <row r="1838" spans="1:20" ht="3" customHeight="1">
      <c r="C1838" s="2331"/>
      <c r="D1838" s="2331"/>
      <c r="E1838" s="2331"/>
      <c r="F1838" s="2331"/>
      <c r="G1838" s="2331"/>
      <c r="H1838" s="2331"/>
      <c r="I1838" s="2331"/>
      <c r="J1838" s="2331"/>
      <c r="K1838" s="2331"/>
      <c r="L1838" s="2331"/>
      <c r="M1838" s="2331"/>
      <c r="N1838" s="1750"/>
      <c r="O1838" s="1750"/>
      <c r="P1838" s="1750"/>
    </row>
    <row r="1839" spans="1:20" ht="12.75" customHeight="1">
      <c r="A1839" s="2516" t="s">
        <v>1842</v>
      </c>
      <c r="B1839" s="1505" t="s">
        <v>3352</v>
      </c>
      <c r="L1839" s="2433" t="str">
        <f>IF(O1839&lt;=M1839,"","* * Check Score! * *")</f>
        <v/>
      </c>
      <c r="M1839" s="1902">
        <v>3</v>
      </c>
      <c r="N1839" s="2342" t="s">
        <v>1842</v>
      </c>
      <c r="O1839" s="2438">
        <f>'Part VIII Scoring Criteria'!O348</f>
        <v>0</v>
      </c>
      <c r="P1839" s="2293">
        <f>'Part VIII Scoring Criteria'!P348</f>
        <v>0</v>
      </c>
      <c r="Q1839" s="2462" t="str">
        <f>IF(O1839&lt;=M1839,"","*CHECK!*")</f>
        <v/>
      </c>
      <c r="R1839" s="1821" t="s">
        <v>4064</v>
      </c>
      <c r="S1839" s="1821"/>
      <c r="T1839" s="2071"/>
    </row>
    <row r="1840" spans="1:20" ht="12.75" customHeight="1">
      <c r="A1840" s="2516"/>
      <c r="B1840" s="2491" t="s">
        <v>6718</v>
      </c>
      <c r="C1840" s="1889"/>
      <c r="D1840" s="1889"/>
      <c r="E1840" s="1889"/>
      <c r="F1840" s="1889"/>
      <c r="G1840" s="1889"/>
      <c r="H1840" s="1889"/>
      <c r="I1840" s="1889"/>
      <c r="O1840" s="2344" t="str">
        <f>'Part VIII Scoring Criteria'!O349</f>
        <v>No</v>
      </c>
      <c r="P1840" s="2243"/>
      <c r="R1840" s="1821"/>
      <c r="S1840" s="1821"/>
      <c r="T1840" s="2071"/>
    </row>
    <row r="1841" spans="1:20" ht="12.75" customHeight="1">
      <c r="A1841" s="2516"/>
      <c r="B1841" s="2517" t="s">
        <v>6717</v>
      </c>
      <c r="C1841" s="1889"/>
      <c r="D1841" s="1889"/>
      <c r="E1841" s="1889"/>
      <c r="F1841" s="1889"/>
      <c r="G1841" s="1889"/>
      <c r="H1841" s="1889"/>
      <c r="I1841" s="1889"/>
      <c r="J1841" s="2333" t="s">
        <v>1849</v>
      </c>
      <c r="K1841" s="2333"/>
      <c r="M1841" s="2333" t="s">
        <v>1849</v>
      </c>
      <c r="N1841" s="2333"/>
      <c r="O1841" s="2333"/>
      <c r="P1841" s="2333"/>
      <c r="R1841" s="2518"/>
      <c r="S1841" s="2518"/>
      <c r="T1841" s="2071"/>
    </row>
    <row r="1842" spans="1:20" s="2366" customFormat="1" ht="12.75" customHeight="1">
      <c r="A1842" s="2287"/>
      <c r="B1842" s="2424" t="s">
        <v>6790</v>
      </c>
      <c r="C1842" s="362" t="s">
        <v>1389</v>
      </c>
      <c r="I1842" s="2342" t="s">
        <v>2241</v>
      </c>
      <c r="J1842" s="2281">
        <f>'Part VIII Scoring Criteria'!J351</f>
        <v>0</v>
      </c>
      <c r="K1842" s="2281"/>
      <c r="L1842" s="2342" t="s">
        <v>2241</v>
      </c>
      <c r="M1842" s="2271"/>
      <c r="N1842" s="2271"/>
      <c r="O1842" s="2271"/>
      <c r="P1842" s="2271"/>
      <c r="R1842" s="2433"/>
    </row>
    <row r="1843" spans="1:20" ht="12.75" customHeight="1">
      <c r="A1843" s="2308"/>
      <c r="B1843" s="2336" t="s">
        <v>2242</v>
      </c>
      <c r="C1843" s="362" t="s">
        <v>3159</v>
      </c>
      <c r="I1843" s="2336" t="s">
        <v>2242</v>
      </c>
      <c r="J1843" s="2281">
        <f>'Part VIII Scoring Criteria'!J352</f>
        <v>0</v>
      </c>
      <c r="K1843" s="2281"/>
      <c r="L1843" s="2336" t="s">
        <v>2242</v>
      </c>
      <c r="M1843" s="2271"/>
      <c r="N1843" s="2271"/>
      <c r="O1843" s="2271"/>
      <c r="P1843" s="2271"/>
      <c r="R1843" s="2433"/>
    </row>
    <row r="1844" spans="1:20" ht="12.75" customHeight="1">
      <c r="B1844" s="2342" t="s">
        <v>2243</v>
      </c>
      <c r="C1844" s="362" t="s">
        <v>3959</v>
      </c>
      <c r="I1844" s="2342" t="s">
        <v>2243</v>
      </c>
      <c r="J1844" s="2281">
        <f>'Part VIII Scoring Criteria'!J353</f>
        <v>0</v>
      </c>
      <c r="K1844" s="2281"/>
      <c r="L1844" s="2342" t="s">
        <v>2243</v>
      </c>
      <c r="M1844" s="2271"/>
      <c r="N1844" s="2271"/>
      <c r="O1844" s="2271"/>
      <c r="P1844" s="2271"/>
      <c r="R1844" s="2433"/>
    </row>
    <row r="1845" spans="1:20" ht="12.75" customHeight="1">
      <c r="A1845" s="2308"/>
      <c r="B1845" s="2342" t="s">
        <v>2244</v>
      </c>
      <c r="C1845" s="362" t="s">
        <v>3075</v>
      </c>
      <c r="I1845" s="2342" t="s">
        <v>2244</v>
      </c>
      <c r="J1845" s="2281">
        <f>'Part VIII Scoring Criteria'!J354</f>
        <v>0</v>
      </c>
      <c r="K1845" s="2281"/>
      <c r="L1845" s="2342" t="s">
        <v>2244</v>
      </c>
      <c r="M1845" s="2271"/>
      <c r="N1845" s="2271"/>
      <c r="O1845" s="2271"/>
      <c r="P1845" s="2271"/>
      <c r="R1845" s="2433"/>
    </row>
    <row r="1846" spans="1:20" s="2366" customFormat="1" ht="12.75" customHeight="1">
      <c r="A1846" s="2287"/>
      <c r="B1846" s="2336" t="s">
        <v>2245</v>
      </c>
      <c r="C1846" s="362" t="s">
        <v>2475</v>
      </c>
      <c r="I1846" s="2336" t="s">
        <v>2245</v>
      </c>
      <c r="J1846" s="2281">
        <f>'Part VIII Scoring Criteria'!J355</f>
        <v>0</v>
      </c>
      <c r="K1846" s="2281"/>
      <c r="L1846" s="2336" t="s">
        <v>2245</v>
      </c>
      <c r="M1846" s="2271"/>
      <c r="N1846" s="2271"/>
      <c r="O1846" s="2271"/>
      <c r="P1846" s="2271"/>
      <c r="R1846" s="2433"/>
    </row>
    <row r="1847" spans="1:20" ht="12.75" customHeight="1">
      <c r="B1847" s="2342" t="s">
        <v>2261</v>
      </c>
      <c r="C1847" s="362" t="s">
        <v>1388</v>
      </c>
      <c r="I1847" s="2342" t="s">
        <v>2261</v>
      </c>
      <c r="J1847" s="2281">
        <f>'Part VIII Scoring Criteria'!J356</f>
        <v>0</v>
      </c>
      <c r="K1847" s="2281"/>
      <c r="L1847" s="2342" t="s">
        <v>2261</v>
      </c>
      <c r="M1847" s="2271"/>
      <c r="N1847" s="2271"/>
      <c r="O1847" s="2271"/>
      <c r="P1847" s="2271"/>
      <c r="R1847" s="2433"/>
    </row>
    <row r="1848" spans="1:20" ht="12.75" customHeight="1">
      <c r="B1848" s="2342" t="s">
        <v>2262</v>
      </c>
      <c r="C1848" s="362" t="s">
        <v>6241</v>
      </c>
      <c r="I1848" s="2342" t="s">
        <v>2262</v>
      </c>
      <c r="J1848" s="2281">
        <f>'Part VIII Scoring Criteria'!J357</f>
        <v>0</v>
      </c>
      <c r="K1848" s="2281"/>
      <c r="L1848" s="2342" t="s">
        <v>2262</v>
      </c>
      <c r="M1848" s="2261"/>
      <c r="N1848" s="2261"/>
      <c r="O1848" s="2261"/>
      <c r="P1848" s="2261"/>
      <c r="R1848" s="2433"/>
    </row>
    <row r="1849" spans="1:20" ht="12.75" customHeight="1">
      <c r="A1849" s="2308"/>
      <c r="B1849" s="2342" t="s">
        <v>2263</v>
      </c>
      <c r="C1849" s="362" t="s">
        <v>3158</v>
      </c>
      <c r="I1849" s="2342" t="s">
        <v>2263</v>
      </c>
      <c r="J1849" s="2281">
        <f>'Part VIII Scoring Criteria'!J358</f>
        <v>0</v>
      </c>
      <c r="K1849" s="2281"/>
      <c r="L1849" s="2342" t="s">
        <v>2263</v>
      </c>
      <c r="M1849" s="2271"/>
      <c r="N1849" s="2271"/>
      <c r="O1849" s="2271"/>
      <c r="P1849" s="2271"/>
      <c r="R1849" s="2433"/>
    </row>
    <row r="1850" spans="1:20" ht="12.75" customHeight="1">
      <c r="B1850" s="2342" t="s">
        <v>2264</v>
      </c>
      <c r="C1850" s="362" t="s">
        <v>6811</v>
      </c>
      <c r="I1850" s="2342" t="s">
        <v>2264</v>
      </c>
      <c r="J1850" s="2281">
        <f>'Part VIII Scoring Criteria'!J359</f>
        <v>0</v>
      </c>
      <c r="K1850" s="2281"/>
      <c r="L1850" s="2342" t="s">
        <v>2264</v>
      </c>
      <c r="M1850" s="2271"/>
      <c r="N1850" s="2271"/>
      <c r="O1850" s="2271"/>
      <c r="P1850" s="2271"/>
      <c r="R1850" s="2433"/>
    </row>
    <row r="1851" spans="1:20" ht="12.75" customHeight="1">
      <c r="B1851" s="2342" t="s">
        <v>3160</v>
      </c>
      <c r="C1851" s="362" t="s">
        <v>3831</v>
      </c>
      <c r="I1851" s="2342" t="s">
        <v>3160</v>
      </c>
      <c r="J1851" s="2281">
        <f>'Part VIII Scoring Criteria'!J360</f>
        <v>0</v>
      </c>
      <c r="K1851" s="2281"/>
      <c r="L1851" s="2342" t="s">
        <v>3160</v>
      </c>
      <c r="M1851" s="2271"/>
      <c r="N1851" s="2271"/>
      <c r="O1851" s="2271"/>
      <c r="P1851" s="2271"/>
      <c r="R1851" s="2433"/>
    </row>
    <row r="1852" spans="1:20" ht="12.75" customHeight="1">
      <c r="B1852" s="2342" t="s">
        <v>6242</v>
      </c>
      <c r="C1852" s="362" t="s">
        <v>6908</v>
      </c>
      <c r="I1852" s="2342" t="s">
        <v>6242</v>
      </c>
      <c r="J1852" s="2281">
        <f>'Part VIII Scoring Criteria'!J361</f>
        <v>0</v>
      </c>
      <c r="K1852" s="2281"/>
      <c r="L1852" s="2342" t="s">
        <v>6242</v>
      </c>
      <c r="M1852" s="2271"/>
      <c r="N1852" s="2271"/>
      <c r="O1852" s="2271"/>
      <c r="P1852" s="2271"/>
      <c r="R1852" s="2433"/>
    </row>
    <row r="1853" spans="1:20" ht="12.75" customHeight="1">
      <c r="B1853" s="2519" t="s">
        <v>6812</v>
      </c>
      <c r="H1853" s="1875" t="s">
        <v>2414</v>
      </c>
      <c r="J1853" s="2271">
        <f>SUM(J1842:K1852)</f>
        <v>0</v>
      </c>
      <c r="K1853" s="2271"/>
      <c r="M1853" s="2271">
        <f>SUM($M1842:$M1852)</f>
        <v>0</v>
      </c>
      <c r="N1853" s="2271"/>
      <c r="O1853" s="2271"/>
      <c r="P1853" s="2271"/>
      <c r="R1853" s="2433"/>
    </row>
    <row r="1854" spans="1:20" ht="6" customHeight="1">
      <c r="M1854" s="1821"/>
      <c r="N1854" s="1821"/>
      <c r="P1854" s="1821"/>
    </row>
    <row r="1855" spans="1:20" s="2366" customFormat="1" ht="12" customHeight="1">
      <c r="A1855" s="359"/>
      <c r="B1855" s="2435" t="s">
        <v>1847</v>
      </c>
      <c r="C1855" s="360" t="s">
        <v>2413</v>
      </c>
      <c r="D1855" s="2039"/>
      <c r="E1855" s="2039"/>
      <c r="F1855" s="1875" t="s">
        <v>6244</v>
      </c>
      <c r="H1855" s="357"/>
      <c r="I1855" s="357"/>
      <c r="J1855" s="2271">
        <f>'Part V-Revenues &amp; Expenses'!$P$67</f>
        <v>120</v>
      </c>
      <c r="K1855" s="2271"/>
      <c r="L1855" s="2029"/>
      <c r="M1855" s="1821"/>
      <c r="N1855" s="1821"/>
      <c r="O1855" s="2520"/>
      <c r="P1855" s="1821"/>
    </row>
    <row r="1856" spans="1:20" ht="13.5" customHeight="1">
      <c r="C1856" s="2039"/>
      <c r="D1856" s="2039"/>
      <c r="E1856" s="2039"/>
      <c r="F1856" s="1873" t="s">
        <v>6245</v>
      </c>
      <c r="J1856" s="2521">
        <f>IF(J1855=0,0,J1853/J1855)</f>
        <v>0</v>
      </c>
      <c r="K1856" s="2521"/>
      <c r="M1856" s="2521">
        <f>IF($J1855=0,0,$M1853/$J1855)</f>
        <v>0</v>
      </c>
      <c r="N1856" s="2521"/>
      <c r="O1856" s="2521"/>
      <c r="P1856" s="2521"/>
    </row>
    <row r="1857" spans="1:22" s="2366" customFormat="1" ht="12.75" customHeight="1">
      <c r="C1857" s="2039"/>
      <c r="D1857" s="2039"/>
      <c r="E1857" s="2039"/>
      <c r="F1857" s="807" t="s">
        <v>6246</v>
      </c>
      <c r="I1857" s="357"/>
      <c r="J1857" s="2149">
        <f>IF(L1834="", IF($J1856&gt;=30000, 3,IF($J1856&gt;=20000, 2,IF($J1856&gt;=10000,1,0))),0)</f>
        <v>0</v>
      </c>
      <c r="K1857" s="2149"/>
      <c r="L1857" s="1505"/>
      <c r="M1857" s="2149">
        <f>IF(R1834="", IF($M1856&gt;=30000, 3,IF($M1856&gt;=20000, 2,IF($M1856&gt;=10000,1,0))),0)</f>
        <v>0</v>
      </c>
      <c r="N1857" s="2149"/>
      <c r="O1857" s="2149"/>
      <c r="P1857" s="2149"/>
    </row>
    <row r="1858" spans="1:22" ht="9" customHeight="1">
      <c r="N1858" s="1750"/>
      <c r="O1858" s="1750"/>
      <c r="P1858" s="1750"/>
    </row>
    <row r="1859" spans="1:22" s="2379" customFormat="1" ht="12.75" customHeight="1">
      <c r="A1859" s="1902" t="s">
        <v>1844</v>
      </c>
      <c r="B1859" s="1884" t="s">
        <v>3161</v>
      </c>
      <c r="D1859" s="362"/>
      <c r="E1859" s="362"/>
      <c r="F1859" s="1901"/>
      <c r="H1859" s="362"/>
      <c r="I1859" s="1901"/>
      <c r="J1859" s="1875"/>
      <c r="K1859" s="1875"/>
      <c r="L1859" s="2433" t="str">
        <f>IF(OR($O1859=$M1859,$O1859=0,$O1859=""),"","* * Check Score! * *")</f>
        <v/>
      </c>
      <c r="M1859" s="1902">
        <v>1</v>
      </c>
      <c r="N1859" s="2342" t="s">
        <v>1844</v>
      </c>
      <c r="O1859" s="2438">
        <f>'Part VIII Scoring Criteria'!O368</f>
        <v>0</v>
      </c>
      <c r="P1859" s="2293">
        <f>'Part VIII Scoring Criteria'!P368</f>
        <v>0</v>
      </c>
      <c r="Q1859" s="2030" t="s">
        <v>4064</v>
      </c>
      <c r="V1859" s="2506"/>
    </row>
    <row r="1860" spans="1:22" s="2366" customFormat="1" ht="12.75" customHeight="1">
      <c r="A1860" s="2239"/>
      <c r="B1860" s="2458" t="s">
        <v>1845</v>
      </c>
      <c r="C1860" s="1889" t="s">
        <v>6611</v>
      </c>
      <c r="D1860" s="2331"/>
      <c r="E1860" s="2331"/>
      <c r="F1860" s="2331"/>
      <c r="G1860" s="2331"/>
      <c r="H1860" s="2331"/>
      <c r="I1860" s="2331"/>
      <c r="J1860" s="2331"/>
      <c r="K1860" s="2331"/>
      <c r="L1860" s="2331"/>
      <c r="M1860" s="2331"/>
      <c r="N1860" s="2458" t="s">
        <v>1845</v>
      </c>
      <c r="O1860" s="2355" t="str">
        <f>'Part VIII Scoring Criteria'!O369</f>
        <v>Yes</v>
      </c>
      <c r="P1860" s="2337"/>
      <c r="V1860" s="2506"/>
    </row>
    <row r="1861" spans="1:22" s="2366" customFormat="1" ht="12.75" customHeight="1">
      <c r="A1861" s="2239"/>
      <c r="B1861" s="2451" t="s">
        <v>1847</v>
      </c>
      <c r="C1861" s="362" t="s">
        <v>3272</v>
      </c>
      <c r="D1861" s="362"/>
      <c r="E1861" s="362"/>
      <c r="F1861" s="362"/>
      <c r="G1861" s="362"/>
      <c r="H1861" s="362"/>
      <c r="I1861" s="362"/>
      <c r="J1861" s="362"/>
      <c r="K1861" s="362"/>
      <c r="M1861" s="362"/>
      <c r="N1861" s="2451" t="s">
        <v>1847</v>
      </c>
      <c r="O1861" s="2344" t="str">
        <f>'Part VIII Scoring Criteria'!O370</f>
        <v>Yes</v>
      </c>
      <c r="P1861" s="2243"/>
      <c r="V1861" s="2506"/>
    </row>
    <row r="1862" spans="1:22" ht="12.75" customHeight="1">
      <c r="B1862" s="2451" t="s">
        <v>2333</v>
      </c>
      <c r="C1862" s="807" t="s">
        <v>3832</v>
      </c>
      <c r="N1862" s="2451" t="s">
        <v>2333</v>
      </c>
      <c r="O1862" s="2344" t="str">
        <f>'Part VIII Scoring Criteria'!O371</f>
        <v>Yes</v>
      </c>
      <c r="P1862" s="2243"/>
    </row>
    <row r="1863" spans="1:22" ht="12" customHeight="1">
      <c r="B1863" s="2256" t="s">
        <v>3244</v>
      </c>
      <c r="N1863" s="1750"/>
      <c r="O1863" s="1750"/>
      <c r="P1863" s="1750"/>
    </row>
    <row r="1864" spans="1:22" s="2366" customFormat="1" ht="225">
      <c r="A1864" s="2327" t="str">
        <f>'Part VIII Scoring Criteria'!A373</f>
        <v>The Gainesville Housing Authority is the owner of the land, and an instrumentality of the Housing Authority is a GP of the partnership.  GHA will provide a long-term ground lease to the partnership.</v>
      </c>
      <c r="B1864" s="2327"/>
      <c r="C1864" s="2327"/>
      <c r="D1864" s="2327"/>
      <c r="E1864" s="2327"/>
      <c r="F1864" s="2327"/>
      <c r="G1864" s="2327"/>
      <c r="H1864" s="2327"/>
      <c r="I1864" s="2327"/>
      <c r="J1864" s="2327"/>
      <c r="K1864" s="2327"/>
      <c r="L1864" s="2327"/>
      <c r="M1864" s="2327"/>
      <c r="N1864" s="2327"/>
      <c r="O1864" s="2327"/>
      <c r="P1864" s="2327"/>
      <c r="Q1864" s="2017" t="s">
        <v>1181</v>
      </c>
    </row>
    <row r="1865" spans="1:22" s="2379" customFormat="1" ht="11.25" customHeight="1">
      <c r="A1865" s="359"/>
      <c r="B1865" s="2136" t="s">
        <v>1730</v>
      </c>
      <c r="C1865" s="359"/>
      <c r="D1865" s="2256"/>
      <c r="E1865" s="2252"/>
      <c r="F1865" s="2252"/>
      <c r="G1865" s="2252"/>
      <c r="H1865" s="2252"/>
      <c r="I1865" s="2252"/>
      <c r="J1865" s="2252"/>
      <c r="K1865" s="2252"/>
      <c r="L1865" s="2252"/>
      <c r="M1865" s="2252"/>
      <c r="N1865" s="2224"/>
      <c r="O1865" s="2224"/>
      <c r="P1865" s="1901"/>
      <c r="Q1865" s="2366"/>
    </row>
    <row r="1866" spans="1:22" s="2366" customFormat="1" ht="11.25" customHeight="1">
      <c r="A1866" s="2331"/>
      <c r="B1866" s="2331"/>
      <c r="C1866" s="2331"/>
      <c r="D1866" s="2331"/>
      <c r="E1866" s="2331"/>
      <c r="F1866" s="2331"/>
      <c r="G1866" s="2331"/>
      <c r="H1866" s="2331"/>
      <c r="I1866" s="2331"/>
      <c r="J1866" s="2331"/>
      <c r="K1866" s="2331"/>
      <c r="L1866" s="2331"/>
      <c r="M1866" s="2331"/>
      <c r="N1866" s="2331"/>
      <c r="O1866" s="2331"/>
      <c r="P1866" s="2331"/>
      <c r="Q1866" s="2017"/>
    </row>
    <row r="1867" spans="1:22" s="2366" customFormat="1" ht="3" customHeight="1">
      <c r="A1867" s="359"/>
      <c r="B1867" s="359"/>
      <c r="C1867" s="2330"/>
      <c r="D1867" s="2330"/>
      <c r="E1867" s="2330"/>
      <c r="F1867" s="2330"/>
      <c r="G1867" s="2330"/>
      <c r="H1867" s="2330"/>
      <c r="I1867" s="2330"/>
      <c r="J1867" s="2330"/>
      <c r="K1867" s="2330"/>
      <c r="L1867" s="2330"/>
      <c r="M1867" s="2330"/>
      <c r="N1867" s="2410"/>
      <c r="O1867" s="2410"/>
      <c r="P1867" s="1901"/>
    </row>
    <row r="1868" spans="1:22" s="2366" customFormat="1" ht="13.5" customHeight="1">
      <c r="A1868" s="2404" t="s">
        <v>3381</v>
      </c>
      <c r="B1868" s="2253" t="s">
        <v>2471</v>
      </c>
      <c r="D1868" s="1875"/>
      <c r="G1868" s="2268" t="s">
        <v>6909</v>
      </c>
      <c r="I1868" s="1322" t="s">
        <v>6257</v>
      </c>
      <c r="J1868" s="1322" t="str">
        <f>IF(OR($M$34="9% Credit Competitive Round only", $M$34="9% Credit &amp; HOME"),"9%",IF(OR($M$34="4% Credit/TE Bond", $M$34="4% Credit/TE Bond &amp; HOME", $M$34="4% Credit/TE Bond &amp; HOME NOFA", $M$34="4% Credit &amp; NHTF", $M$34="4% Credit &amp; NHTF &amp; HOME"),"4%",""))</f>
        <v/>
      </c>
      <c r="K1868" s="1322" t="s">
        <v>363</v>
      </c>
      <c r="L1868" s="1322" t="str">
        <f>M1545</f>
        <v>Preservation</v>
      </c>
      <c r="M1868" s="1901">
        <f>'Part VIII Scoring Criteria'!M377</f>
        <v>0</v>
      </c>
      <c r="N1868" s="2342"/>
      <c r="O1868" s="2293">
        <f>'Part VIII Scoring Criteria'!O377</f>
        <v>0</v>
      </c>
      <c r="P1868" s="1901">
        <f>'Part VIII Scoring Criteria'!P377</f>
        <v>0</v>
      </c>
      <c r="Q1868" s="1901" t="s">
        <v>416</v>
      </c>
      <c r="R1868" s="2522" t="str">
        <f>IF(AND(O1868&gt;0,NOT($M$54="New Supply")), "Ineligible to score in this section, not New Supply!","")</f>
        <v/>
      </c>
    </row>
    <row r="1869" spans="1:22" s="2457" customFormat="1" ht="1.5" customHeight="1">
      <c r="B1869" s="2458"/>
      <c r="F1869" s="2337"/>
      <c r="G1869" s="1902"/>
      <c r="M1869" s="2484"/>
      <c r="N1869" s="2484"/>
      <c r="O1869" s="2484"/>
      <c r="P1869" s="2484"/>
      <c r="Q1869" s="2029"/>
    </row>
    <row r="1870" spans="1:22" s="2457" customFormat="1" ht="12.75" customHeight="1">
      <c r="A1870" s="2502"/>
      <c r="B1870" s="2491" t="s">
        <v>3076</v>
      </c>
      <c r="D1870" s="2211" t="str">
        <f>'Part VIII Scoring Criteria'!D379</f>
        <v>&lt;Select applicable status&gt;</v>
      </c>
      <c r="E1870" s="2211"/>
      <c r="F1870" s="2211"/>
      <c r="G1870" s="2211"/>
      <c r="H1870" s="2211"/>
      <c r="I1870" s="2211"/>
      <c r="J1870" s="1889" t="s">
        <v>2522</v>
      </c>
      <c r="L1870" s="2302">
        <f>'Part II-Sources of Funds'!$I$53</f>
        <v>0</v>
      </c>
      <c r="M1870" s="2484"/>
      <c r="N1870" s="2484"/>
      <c r="O1870" s="2484"/>
      <c r="P1870" s="2484"/>
      <c r="Q1870" s="2029"/>
    </row>
    <row r="1871" spans="1:22" s="2457" customFormat="1" ht="1.5" customHeight="1">
      <c r="B1871" s="2458"/>
      <c r="M1871" s="2484"/>
      <c r="N1871" s="2484"/>
      <c r="O1871" s="2484"/>
      <c r="P1871" s="2484"/>
      <c r="Q1871" s="2029"/>
    </row>
    <row r="1872" spans="1:22" s="2457" customFormat="1" ht="12.75" customHeight="1">
      <c r="A1872" s="2523" t="s">
        <v>1842</v>
      </c>
      <c r="B1872" s="362" t="s">
        <v>3960</v>
      </c>
      <c r="C1872" s="1889"/>
      <c r="D1872" s="1889"/>
      <c r="E1872" s="1889"/>
      <c r="F1872" s="1889"/>
      <c r="G1872" s="1889"/>
      <c r="H1872" s="1889"/>
      <c r="I1872" s="1889"/>
      <c r="M1872" s="1886">
        <v>2</v>
      </c>
      <c r="N1872" s="2336" t="s">
        <v>1842</v>
      </c>
      <c r="O1872" s="2438">
        <v>0</v>
      </c>
      <c r="P1872" s="2438"/>
      <c r="Q1872" s="2462" t="str">
        <f>IF(OR($O1872=$M1872,$O1872=0,$O1872=""),"","*CHECK!*")</f>
        <v/>
      </c>
      <c r="R1872" s="2030" t="s">
        <v>4064</v>
      </c>
    </row>
    <row r="1873" spans="1:19" s="2457" customFormat="1" ht="12" customHeight="1">
      <c r="A1873" s="2484"/>
      <c r="B1873" s="362" t="s">
        <v>6910</v>
      </c>
      <c r="C1873" s="2292"/>
      <c r="D1873" s="2292"/>
      <c r="E1873" s="2292"/>
      <c r="F1873" s="2292"/>
      <c r="G1873" s="2292"/>
      <c r="H1873" s="2292"/>
      <c r="I1873" s="2292"/>
      <c r="J1873" s="2292"/>
      <c r="K1873" s="2292"/>
      <c r="L1873" s="2292"/>
      <c r="M1873" s="2035" t="s">
        <v>6911</v>
      </c>
      <c r="N1873" s="2035"/>
      <c r="Q1873" s="2029"/>
    </row>
    <row r="1874" spans="1:19" s="2457" customFormat="1" ht="12" customHeight="1">
      <c r="B1874" s="2292"/>
      <c r="C1874" s="2292"/>
      <c r="D1874" s="2292"/>
      <c r="E1874" s="2292"/>
      <c r="F1874" s="2292"/>
      <c r="G1874" s="2292"/>
      <c r="H1874" s="2292"/>
      <c r="I1874" s="2292"/>
      <c r="J1874" s="2292"/>
      <c r="K1874" s="2292"/>
      <c r="L1874" s="2292"/>
      <c r="M1874" s="2035"/>
      <c r="N1874" s="2035"/>
      <c r="O1874" s="2524">
        <f>'Part V-Revenues &amp; Expenses'!$P$123</f>
        <v>0</v>
      </c>
      <c r="P1874" s="2524"/>
      <c r="Q1874" s="2029"/>
    </row>
    <row r="1875" spans="1:19" s="2457" customFormat="1" ht="12" customHeight="1">
      <c r="B1875" s="2292"/>
      <c r="C1875" s="2292"/>
      <c r="D1875" s="2292"/>
      <c r="E1875" s="2292"/>
      <c r="F1875" s="2292"/>
      <c r="G1875" s="2292"/>
      <c r="H1875" s="2292"/>
      <c r="I1875" s="2292"/>
      <c r="J1875" s="2292"/>
      <c r="K1875" s="2292"/>
      <c r="L1875" s="2292"/>
      <c r="M1875" s="2161" t="s">
        <v>2520</v>
      </c>
      <c r="N1875" s="2484"/>
      <c r="O1875" s="2524">
        <f>'Part V-Revenues &amp; Expenses'!$P$67</f>
        <v>120</v>
      </c>
      <c r="P1875" s="2524"/>
      <c r="Q1875" s="2029"/>
    </row>
    <row r="1876" spans="1:19" s="2457" customFormat="1" ht="12" customHeight="1">
      <c r="B1876" s="2292"/>
      <c r="C1876" s="2292"/>
      <c r="D1876" s="2292"/>
      <c r="E1876" s="2292"/>
      <c r="F1876" s="2292"/>
      <c r="G1876" s="2292"/>
      <c r="H1876" s="2292"/>
      <c r="I1876" s="2292"/>
      <c r="J1876" s="2292"/>
      <c r="K1876" s="2292"/>
      <c r="L1876" s="2292"/>
      <c r="M1876" s="2161" t="s">
        <v>2521</v>
      </c>
      <c r="N1876" s="2484"/>
      <c r="O1876" s="2275">
        <f>IF(O1875=0,0,O1874/O1875)</f>
        <v>0</v>
      </c>
      <c r="P1876" s="2275"/>
      <c r="Q1876" s="2029"/>
    </row>
    <row r="1877" spans="1:19" s="2366" customFormat="1" ht="15.75" customHeight="1">
      <c r="A1877" s="807"/>
      <c r="B1877" s="2070" t="str">
        <f>'Part VIII Scoring Criteria'!D379</f>
        <v>&lt;Select applicable status&gt;</v>
      </c>
      <c r="C1877" s="2070"/>
      <c r="D1877" s="2070"/>
      <c r="E1877" s="2070"/>
      <c r="F1877" s="2070"/>
      <c r="G1877" s="2070"/>
      <c r="H1877" s="2070"/>
      <c r="I1877" s="2070"/>
      <c r="J1877" s="2070"/>
      <c r="K1877" s="2070"/>
      <c r="L1877" s="2070"/>
      <c r="M1877" s="2070"/>
      <c r="N1877" s="2070"/>
      <c r="O1877" s="2070"/>
      <c r="P1877" s="2070"/>
      <c r="Q1877" s="2017" t="s">
        <v>1181</v>
      </c>
      <c r="R1877" s="2017"/>
      <c r="S1877" s="2017"/>
    </row>
    <row r="1878" spans="1:19" s="2457" customFormat="1" ht="1.5" customHeight="1">
      <c r="A1878" s="2243"/>
      <c r="B1878" s="2458"/>
      <c r="F1878" s="2337"/>
      <c r="G1878" s="1902"/>
      <c r="M1878" s="2484"/>
      <c r="N1878" s="2484"/>
      <c r="O1878" s="2484"/>
      <c r="P1878" s="2484"/>
      <c r="Q1878" s="2029"/>
    </row>
    <row r="1879" spans="1:19" s="2457" customFormat="1" ht="12" customHeight="1">
      <c r="A1879" s="2525" t="s">
        <v>6912</v>
      </c>
      <c r="B1879" s="1889" t="s">
        <v>3961</v>
      </c>
      <c r="C1879" s="1889"/>
      <c r="H1879" s="1889"/>
      <c r="M1879" s="2484">
        <v>2</v>
      </c>
      <c r="N1879" s="2336" t="s">
        <v>1844</v>
      </c>
      <c r="O1879" s="2438">
        <v>0</v>
      </c>
      <c r="P1879" s="2438"/>
      <c r="Q1879" s="2462" t="str">
        <f>IF(OR($O1879=$M1879,$O1879=0,$O1879=""),"","*CHECK!*")</f>
        <v/>
      </c>
      <c r="R1879" s="2030" t="s">
        <v>4064</v>
      </c>
    </row>
    <row r="1880" spans="1:19" s="2457" customFormat="1" ht="11.25" customHeight="1">
      <c r="A1880" s="2525"/>
      <c r="B1880" s="1889" t="s">
        <v>6813</v>
      </c>
      <c r="C1880" s="1889"/>
      <c r="D1880" s="1889"/>
      <c r="E1880" s="1889"/>
      <c r="F1880" s="1889"/>
      <c r="G1880" s="1889"/>
      <c r="H1880" s="1889"/>
      <c r="I1880" s="1889"/>
      <c r="J1880" s="1889"/>
      <c r="K1880" s="1889"/>
      <c r="L1880" s="1889"/>
      <c r="Q1880" s="2029"/>
    </row>
    <row r="1881" spans="1:19" s="2457" customFormat="1" ht="11.25" customHeight="1">
      <c r="A1881" s="2525"/>
      <c r="E1881" s="2524"/>
      <c r="G1881" s="403" t="s">
        <v>3833</v>
      </c>
      <c r="H1881" s="2302">
        <f>'Part V-Revenues &amp; Expenses'!$P$125</f>
        <v>0</v>
      </c>
      <c r="I1881" s="2485" t="s">
        <v>2520</v>
      </c>
      <c r="J1881" s="2302">
        <f>'Part V-Revenues &amp; Expenses'!$P$67</f>
        <v>120</v>
      </c>
      <c r="K1881" s="1322" t="s">
        <v>2521</v>
      </c>
      <c r="L1881" s="2495">
        <f>IF(J1881=0,0,H1881/J1881)</f>
        <v>0</v>
      </c>
      <c r="N1881" s="2275"/>
      <c r="Q1881" s="2029"/>
    </row>
    <row r="1882" spans="1:19" s="2366" customFormat="1" ht="11.25" customHeight="1">
      <c r="A1882" s="359"/>
      <c r="B1882" s="2256" t="s">
        <v>3244</v>
      </c>
      <c r="C1882" s="359"/>
      <c r="D1882" s="1505"/>
      <c r="E1882" s="1505"/>
      <c r="F1882" s="1505"/>
      <c r="G1882" s="1505"/>
      <c r="H1882" s="362"/>
      <c r="I1882" s="362"/>
      <c r="J1882" s="362"/>
      <c r="K1882" s="362"/>
      <c r="M1882" s="1901"/>
      <c r="N1882" s="1750"/>
      <c r="O1882" s="2293"/>
      <c r="P1882" s="1750"/>
    </row>
    <row r="1883" spans="1:19" s="2366" customFormat="1" ht="67.5">
      <c r="A1883" s="2327" t="str">
        <f>'Part VIII Scoring Criteria'!A392</f>
        <v>The applicant is not claiming points in this section.</v>
      </c>
      <c r="B1883" s="2327"/>
      <c r="C1883" s="2327"/>
      <c r="D1883" s="2327"/>
      <c r="E1883" s="2327"/>
      <c r="F1883" s="2327"/>
      <c r="G1883" s="2327"/>
      <c r="H1883" s="2327"/>
      <c r="I1883" s="2327"/>
      <c r="J1883" s="2327"/>
      <c r="K1883" s="2327"/>
      <c r="L1883" s="2327"/>
      <c r="M1883" s="2327"/>
      <c r="N1883" s="2327"/>
      <c r="O1883" s="2327"/>
      <c r="P1883" s="2327"/>
      <c r="Q1883" s="2017" t="s">
        <v>1181</v>
      </c>
      <c r="R1883" s="2017"/>
    </row>
    <row r="1884" spans="1:19" s="2366" customFormat="1" ht="10.5" customHeight="1">
      <c r="B1884" s="2328" t="s">
        <v>1730</v>
      </c>
      <c r="C1884" s="359"/>
      <c r="D1884" s="2328"/>
      <c r="E1884" s="2330"/>
      <c r="F1884" s="2330"/>
      <c r="G1884" s="2330"/>
      <c r="H1884" s="2330"/>
      <c r="I1884" s="2330"/>
      <c r="J1884" s="2330"/>
      <c r="K1884" s="2330"/>
      <c r="L1884" s="2330"/>
      <c r="M1884" s="2330"/>
      <c r="N1884" s="2410"/>
      <c r="O1884" s="2410"/>
      <c r="P1884" s="1901"/>
    </row>
    <row r="1885" spans="1:19" s="2366" customFormat="1" ht="22.15" customHeight="1">
      <c r="A1885" s="2331"/>
      <c r="B1885" s="2331"/>
      <c r="C1885" s="2331"/>
      <c r="D1885" s="2331"/>
      <c r="E1885" s="2331"/>
      <c r="F1885" s="2331"/>
      <c r="G1885" s="2331"/>
      <c r="H1885" s="2331"/>
      <c r="I1885" s="2331"/>
      <c r="J1885" s="2331"/>
      <c r="K1885" s="2331"/>
      <c r="L1885" s="2331"/>
      <c r="M1885" s="2331"/>
      <c r="N1885" s="2331"/>
      <c r="O1885" s="2331"/>
      <c r="P1885" s="2331"/>
      <c r="Q1885" s="2017"/>
    </row>
    <row r="1886" spans="1:19" s="2366" customFormat="1" ht="6" customHeight="1">
      <c r="A1886" s="359"/>
      <c r="B1886" s="359"/>
      <c r="C1886" s="2330"/>
      <c r="D1886" s="2330"/>
      <c r="E1886" s="2330"/>
      <c r="F1886" s="2330"/>
      <c r="G1886" s="2330"/>
      <c r="H1886" s="2330"/>
      <c r="I1886" s="2330"/>
      <c r="J1886" s="2330"/>
      <c r="K1886" s="2330"/>
      <c r="L1886" s="2330"/>
      <c r="M1886" s="2330"/>
      <c r="N1886" s="2410"/>
      <c r="O1886" s="2410"/>
      <c r="P1886" s="1901"/>
    </row>
    <row r="1887" spans="1:19" s="2379" customFormat="1" ht="14.25" customHeight="1">
      <c r="A1887" s="2502" t="s">
        <v>3382</v>
      </c>
      <c r="B1887" s="2253" t="s">
        <v>4041</v>
      </c>
      <c r="D1887" s="2256"/>
      <c r="E1887" s="2256"/>
      <c r="F1887" s="362"/>
      <c r="G1887" s="362"/>
      <c r="I1887" s="362"/>
      <c r="J1887" s="362"/>
      <c r="K1887" s="362"/>
      <c r="L1887" s="2433" t="str">
        <f>IF(OR($O1887=$M1887,$O1887&lt;=0,$O1887=""),"","* * Check Score! * *")</f>
        <v/>
      </c>
      <c r="M1887" s="1901">
        <v>10</v>
      </c>
      <c r="N1887" s="1901"/>
      <c r="O1887" s="2293">
        <f>'Part VIII Scoring Criteria'!O396</f>
        <v>10</v>
      </c>
      <c r="P1887" s="2293">
        <f>'Part VIII Scoring Criteria'!P396</f>
        <v>10</v>
      </c>
      <c r="Q1887" s="1901" t="s">
        <v>416</v>
      </c>
    </row>
    <row r="1888" spans="1:19" s="2379" customFormat="1" ht="1.5" customHeight="1">
      <c r="A1888" s="2502"/>
      <c r="B1888" s="2253"/>
      <c r="D1888" s="2256"/>
      <c r="E1888" s="2256"/>
      <c r="F1888" s="362"/>
      <c r="G1888" s="362"/>
      <c r="I1888" s="362"/>
      <c r="J1888" s="362"/>
      <c r="K1888" s="362"/>
      <c r="L1888" s="2433"/>
      <c r="M1888" s="1901"/>
      <c r="N1888" s="1901"/>
      <c r="O1888" s="1901"/>
      <c r="P1888" s="1901"/>
      <c r="Q1888" s="1901"/>
    </row>
    <row r="1889" spans="1:21" s="2379" customFormat="1" ht="12.75" customHeight="1">
      <c r="A1889" s="2502"/>
      <c r="B1889" s="362" t="s">
        <v>3181</v>
      </c>
      <c r="D1889" s="2256"/>
      <c r="E1889" s="2256"/>
      <c r="F1889" s="362"/>
      <c r="G1889" s="362"/>
      <c r="I1889" s="362"/>
      <c r="J1889" s="362"/>
      <c r="K1889" s="362"/>
      <c r="L1889" s="2433"/>
      <c r="M1889" s="1901"/>
      <c r="N1889" s="1901"/>
      <c r="O1889" s="2293">
        <v>10</v>
      </c>
      <c r="P1889" s="2293">
        <v>10</v>
      </c>
      <c r="Q1889" s="1901"/>
    </row>
    <row r="1890" spans="1:21" s="2379" customFormat="1" ht="12.75" customHeight="1">
      <c r="A1890" s="2502"/>
      <c r="B1890" s="362" t="s">
        <v>3182</v>
      </c>
      <c r="D1890" s="2256"/>
      <c r="E1890" s="2256"/>
      <c r="F1890" s="362"/>
      <c r="G1890" s="362"/>
      <c r="I1890" s="362"/>
      <c r="J1890" s="362"/>
      <c r="K1890" s="362"/>
      <c r="L1890" s="2433"/>
      <c r="M1890" s="1901"/>
      <c r="N1890" s="1901"/>
      <c r="O1890" s="2438">
        <f>'Part VIII Scoring Criteria'!O399</f>
        <v>0</v>
      </c>
      <c r="P1890" s="2293"/>
      <c r="Q1890" s="1901"/>
    </row>
    <row r="1891" spans="1:21" s="2379" customFormat="1" ht="12.75" customHeight="1">
      <c r="A1891" s="2502"/>
      <c r="B1891" s="362" t="s">
        <v>3183</v>
      </c>
      <c r="D1891" s="2256"/>
      <c r="E1891" s="2256"/>
      <c r="F1891" s="362"/>
      <c r="G1891" s="362"/>
      <c r="I1891" s="362"/>
      <c r="J1891" s="362"/>
      <c r="K1891" s="362"/>
      <c r="L1891" s="2433"/>
      <c r="M1891" s="1901"/>
      <c r="N1891" s="1901"/>
      <c r="O1891" s="2438">
        <f>'Part VIII Scoring Criteria'!O400</f>
        <v>0</v>
      </c>
      <c r="P1891" s="2293"/>
      <c r="Q1891" s="1901"/>
    </row>
    <row r="1892" spans="1:21" s="2379" customFormat="1" ht="12.75" customHeight="1">
      <c r="A1892" s="2256"/>
      <c r="B1892" s="2256" t="s">
        <v>1730</v>
      </c>
      <c r="C1892" s="359"/>
      <c r="D1892" s="2256"/>
      <c r="E1892" s="2252"/>
      <c r="F1892" s="2252"/>
      <c r="G1892" s="2252"/>
      <c r="H1892" s="2252"/>
      <c r="I1892" s="2252"/>
      <c r="J1892" s="2252"/>
      <c r="K1892" s="2252"/>
      <c r="L1892" s="2252"/>
      <c r="M1892" s="2252"/>
      <c r="N1892" s="2224"/>
      <c r="O1892" s="2224"/>
      <c r="P1892" s="1901"/>
    </row>
    <row r="1893" spans="1:21" s="2366" customFormat="1" ht="12.75" customHeight="1">
      <c r="A1893" s="2331"/>
      <c r="B1893" s="2331"/>
      <c r="C1893" s="2331"/>
      <c r="D1893" s="2331"/>
      <c r="E1893" s="2331"/>
      <c r="F1893" s="2331"/>
      <c r="G1893" s="2331"/>
      <c r="H1893" s="2331"/>
      <c r="I1893" s="2331"/>
      <c r="J1893" s="2331"/>
      <c r="K1893" s="2331"/>
      <c r="L1893" s="2331"/>
      <c r="M1893" s="2331"/>
      <c r="N1893" s="2331"/>
      <c r="O1893" s="2331"/>
      <c r="P1893" s="2331"/>
      <c r="Q1893" s="2017" t="s">
        <v>1181</v>
      </c>
      <c r="R1893" s="2017"/>
    </row>
    <row r="1894" spans="1:21" s="2366" customFormat="1" ht="6" customHeight="1">
      <c r="A1894" s="2502"/>
      <c r="B1894" s="359"/>
      <c r="C1894" s="2330"/>
      <c r="D1894" s="2330"/>
      <c r="E1894" s="2330"/>
      <c r="F1894" s="2330"/>
      <c r="G1894" s="2330"/>
      <c r="H1894" s="2330"/>
      <c r="I1894" s="2330"/>
      <c r="J1894" s="2330"/>
      <c r="K1894" s="2330"/>
      <c r="L1894" s="2330"/>
      <c r="M1894" s="2330"/>
      <c r="N1894" s="2410"/>
      <c r="O1894" s="2410"/>
      <c r="P1894" s="1901"/>
    </row>
    <row r="1895" spans="1:21" s="2366" customFormat="1" ht="13.5" customHeight="1">
      <c r="A1895" s="2502" t="s">
        <v>3383</v>
      </c>
      <c r="B1895" s="2253" t="s">
        <v>6614</v>
      </c>
      <c r="C1895" s="2330"/>
      <c r="D1895" s="2330"/>
      <c r="E1895" s="2330"/>
      <c r="F1895" s="2330"/>
      <c r="G1895" s="2268"/>
      <c r="H1895" s="2330"/>
      <c r="K1895" s="2330"/>
      <c r="L1895" s="2330"/>
      <c r="M1895" s="1901">
        <f>'Part VIII Scoring Criteria'!M404</f>
        <v>3</v>
      </c>
      <c r="N1895" s="2410"/>
      <c r="O1895" s="2293">
        <f>'Part VIII Scoring Criteria'!O404</f>
        <v>3</v>
      </c>
      <c r="P1895" s="2293">
        <f>'Part VIII Scoring Criteria'!P404</f>
        <v>2</v>
      </c>
      <c r="Q1895" s="1901" t="s">
        <v>416</v>
      </c>
      <c r="R1895" s="2030"/>
    </row>
    <row r="1896" spans="1:21" s="2366" customFormat="1" ht="9" customHeight="1">
      <c r="A1896" s="2502"/>
      <c r="B1896" s="362" t="s">
        <v>6615</v>
      </c>
      <c r="C1896" s="2330"/>
      <c r="D1896" s="2330"/>
      <c r="E1896" s="2330"/>
      <c r="F1896" s="2330"/>
      <c r="G1896" s="2330"/>
      <c r="H1896" s="2330"/>
      <c r="I1896" s="2330"/>
      <c r="J1896" s="2330"/>
      <c r="K1896" s="2330"/>
      <c r="L1896" s="2330"/>
      <c r="M1896" s="2330"/>
      <c r="N1896" s="2410"/>
      <c r="O1896" s="2410"/>
      <c r="P1896" s="1901"/>
    </row>
    <row r="1897" spans="1:21" s="2366" customFormat="1" ht="12" customHeight="1">
      <c r="A1897" s="1902" t="s">
        <v>1842</v>
      </c>
      <c r="B1897" s="1505" t="s">
        <v>6616</v>
      </c>
      <c r="C1897" s="359"/>
      <c r="D1897" s="2379"/>
      <c r="E1897" s="362"/>
      <c r="F1897" s="362"/>
      <c r="G1897" s="362"/>
      <c r="H1897" s="362"/>
      <c r="I1897" s="2379"/>
      <c r="J1897" s="2379"/>
      <c r="K1897" s="2243"/>
      <c r="L1897" s="2526"/>
      <c r="M1897" s="1902">
        <v>1</v>
      </c>
      <c r="N1897" s="2527" t="s">
        <v>1842</v>
      </c>
      <c r="O1897" s="2438">
        <f>'Part VIII Scoring Criteria'!O406</f>
        <v>1</v>
      </c>
      <c r="P1897" s="2293"/>
      <c r="Q1897" s="2462" t="str">
        <f>IF(OR($O1897=$M1897,$O1897=0,$O1897=""),"","*CHECK!*")</f>
        <v/>
      </c>
      <c r="R1897" s="2030" t="s">
        <v>2461</v>
      </c>
    </row>
    <row r="1898" spans="1:21" s="1889" customFormat="1" ht="12" customHeight="1">
      <c r="A1898" s="1902" t="s">
        <v>1844</v>
      </c>
      <c r="B1898" s="1505" t="s">
        <v>6617</v>
      </c>
      <c r="C1898" s="2292"/>
      <c r="D1898" s="2292"/>
      <c r="E1898" s="2292"/>
      <c r="F1898" s="2292"/>
      <c r="G1898" s="362"/>
      <c r="H1898" s="2292"/>
      <c r="I1898" s="2292"/>
      <c r="J1898" s="2292"/>
      <c r="K1898" s="2292"/>
      <c r="L1898" s="2292"/>
      <c r="M1898" s="1902">
        <v>1</v>
      </c>
      <c r="N1898" s="2527" t="s">
        <v>1844</v>
      </c>
      <c r="O1898" s="2438">
        <f>'Part VIII Scoring Criteria'!O407</f>
        <v>0</v>
      </c>
      <c r="P1898" s="2293"/>
      <c r="Q1898" s="2462" t="str">
        <f>IF(OR($O1898=$M1898,$O1898=0,$O1898=""),"","*CHECK!*")</f>
        <v/>
      </c>
      <c r="R1898" s="2030" t="s">
        <v>2461</v>
      </c>
    </row>
    <row r="1899" spans="1:21" ht="12" customHeight="1">
      <c r="A1899" s="1902" t="s">
        <v>698</v>
      </c>
      <c r="B1899" s="1505" t="s">
        <v>6247</v>
      </c>
      <c r="C1899" s="359"/>
      <c r="D1899" s="359"/>
      <c r="E1899" s="359"/>
      <c r="F1899" s="359"/>
      <c r="G1899" s="359"/>
      <c r="H1899" s="359"/>
      <c r="I1899" s="359"/>
      <c r="J1899" s="359"/>
      <c r="K1899" s="359"/>
      <c r="L1899" s="359"/>
      <c r="M1899" s="1902">
        <v>1</v>
      </c>
      <c r="N1899" s="2527" t="s">
        <v>698</v>
      </c>
      <c r="O1899" s="2438">
        <f>'Part VIII Scoring Criteria'!O408</f>
        <v>0</v>
      </c>
      <c r="P1899" s="2293"/>
      <c r="Q1899" s="2462" t="str">
        <f>IF(OR($O1899=$M1899,$O1899=0,$O1899=""),"","*CHECK!*")</f>
        <v/>
      </c>
      <c r="R1899" s="2030" t="s">
        <v>2461</v>
      </c>
      <c r="S1899" s="2366"/>
      <c r="T1899" s="2366"/>
      <c r="U1899" s="2366"/>
    </row>
    <row r="1900" spans="1:21" s="359" customFormat="1" ht="12" customHeight="1">
      <c r="A1900" s="1902" t="s">
        <v>1963</v>
      </c>
      <c r="B1900" s="1505" t="s">
        <v>6618</v>
      </c>
      <c r="H1900" s="362"/>
      <c r="M1900" s="1902">
        <v>2</v>
      </c>
      <c r="N1900" s="2527" t="s">
        <v>1963</v>
      </c>
      <c r="O1900" s="2293">
        <f>'Part VIII Scoring Criteria'!O409</f>
        <v>2</v>
      </c>
      <c r="P1900" s="2293">
        <f>'Part VIII Scoring Criteria'!P409</f>
        <v>2</v>
      </c>
      <c r="Q1900" s="2462" t="str">
        <f>IF(OR($O1900=$M1900,$O1900=0,$O1900=""),"","*CHECK!*")</f>
        <v/>
      </c>
    </row>
    <row r="1901" spans="1:21" s="2379" customFormat="1" ht="12" customHeight="1">
      <c r="A1901" s="2502"/>
      <c r="C1901" s="362" t="s">
        <v>3181</v>
      </c>
      <c r="D1901" s="2256"/>
      <c r="E1901" s="2256"/>
      <c r="I1901" s="362"/>
      <c r="J1901" s="362"/>
      <c r="K1901" s="362"/>
      <c r="L1901" s="2433"/>
      <c r="M1901" s="1901"/>
      <c r="N1901" s="1901"/>
      <c r="O1901" s="2293">
        <v>2</v>
      </c>
      <c r="P1901" s="2293">
        <v>2</v>
      </c>
      <c r="Q1901" s="1901"/>
    </row>
    <row r="1902" spans="1:21" s="2379" customFormat="1" ht="12" customHeight="1">
      <c r="A1902" s="2502"/>
      <c r="C1902" s="362" t="s">
        <v>3182</v>
      </c>
      <c r="D1902" s="2256"/>
      <c r="E1902" s="2256"/>
      <c r="F1902" s="362"/>
      <c r="G1902" s="362"/>
      <c r="I1902" s="362"/>
      <c r="J1902" s="362"/>
      <c r="K1902" s="362"/>
      <c r="L1902" s="2433"/>
      <c r="M1902" s="1901"/>
      <c r="N1902" s="1901"/>
      <c r="O1902" s="2438">
        <f>'Part VIII Scoring Criteria'!O411</f>
        <v>0</v>
      </c>
      <c r="P1902" s="2293"/>
      <c r="Q1902" s="1901"/>
      <c r="R1902" s="2030" t="s">
        <v>2461</v>
      </c>
    </row>
    <row r="1903" spans="1:21" s="2366" customFormat="1" ht="10.5" customHeight="1">
      <c r="A1903" s="359"/>
      <c r="B1903" s="2256" t="s">
        <v>3244</v>
      </c>
      <c r="C1903" s="359"/>
      <c r="D1903" s="1505"/>
      <c r="E1903" s="1505"/>
      <c r="F1903" s="1505"/>
      <c r="G1903" s="1505"/>
      <c r="H1903" s="362"/>
      <c r="I1903" s="362"/>
      <c r="J1903" s="362"/>
      <c r="K1903" s="362"/>
      <c r="M1903" s="1901"/>
      <c r="N1903" s="1750"/>
      <c r="O1903" s="2293"/>
      <c r="P1903" s="1750"/>
    </row>
    <row r="1904" spans="1:21" s="2366" customFormat="1" ht="409.5">
      <c r="A1904" s="2327" t="str">
        <f>'Part VIII Scoring Criteria'!A413</f>
        <v xml:space="preserve">In December of 2022 the Housing Authority of Gainesville was awarded a Rental Assistance Demonstration (RAD) Conversion. The purpose of this award is to convert public housing to project-based assistance under Section 8 of the Housing Act of 1937. Our development consists of 75 RAD Units. This is allowing for a conversion of 62.5% of the units to PBRA units through the RAD Conversion. This is being completed in conjunction with the Housing Authority of the City of Gainesville. The corresponding CHAP Portfolio Award is enclosed in our exhibits. </v>
      </c>
      <c r="B1904" s="2327"/>
      <c r="C1904" s="2327"/>
      <c r="D1904" s="2327"/>
      <c r="E1904" s="2327"/>
      <c r="F1904" s="2327"/>
      <c r="G1904" s="2327"/>
      <c r="H1904" s="2327"/>
      <c r="I1904" s="2327"/>
      <c r="J1904" s="2327"/>
      <c r="K1904" s="2327"/>
      <c r="L1904" s="2327"/>
      <c r="M1904" s="2327"/>
      <c r="N1904" s="2327"/>
      <c r="O1904" s="2327"/>
      <c r="P1904" s="2327"/>
      <c r="Q1904" s="2017" t="s">
        <v>1181</v>
      </c>
      <c r="R1904" s="2017"/>
    </row>
    <row r="1905" spans="1:18" s="2366" customFormat="1" ht="10.5" customHeight="1">
      <c r="B1905" s="2328" t="s">
        <v>1730</v>
      </c>
      <c r="C1905" s="359"/>
      <c r="D1905" s="2328"/>
      <c r="E1905" s="2330"/>
      <c r="F1905" s="2330"/>
      <c r="G1905" s="2330"/>
      <c r="H1905" s="2330"/>
      <c r="I1905" s="2330"/>
      <c r="J1905" s="2330"/>
      <c r="K1905" s="2330"/>
      <c r="L1905" s="2330"/>
      <c r="M1905" s="2330"/>
      <c r="N1905" s="2410"/>
      <c r="O1905" s="2410"/>
      <c r="P1905" s="1901"/>
    </row>
    <row r="1906" spans="1:18" s="2366" customFormat="1" ht="9.75" customHeight="1">
      <c r="A1906" s="2331"/>
      <c r="B1906" s="2331"/>
      <c r="C1906" s="2331"/>
      <c r="D1906" s="2331"/>
      <c r="E1906" s="2331"/>
      <c r="F1906" s="2331"/>
      <c r="G1906" s="2331"/>
      <c r="H1906" s="2331"/>
      <c r="I1906" s="2331"/>
      <c r="J1906" s="2331"/>
      <c r="K1906" s="2331"/>
      <c r="L1906" s="2331"/>
      <c r="M1906" s="2331"/>
      <c r="N1906" s="2331"/>
      <c r="O1906" s="2331"/>
      <c r="P1906" s="2331"/>
      <c r="Q1906" s="2017"/>
    </row>
    <row r="1907" spans="1:18" s="2366" customFormat="1" ht="2.25" customHeight="1">
      <c r="A1907" s="2502"/>
      <c r="B1907" s="359"/>
      <c r="C1907" s="2330"/>
      <c r="D1907" s="2330"/>
      <c r="E1907" s="2330"/>
      <c r="F1907" s="2330"/>
      <c r="G1907" s="2330"/>
      <c r="H1907" s="2330"/>
      <c r="I1907" s="2330"/>
      <c r="J1907" s="2330"/>
      <c r="K1907" s="2330"/>
      <c r="L1907" s="2330"/>
      <c r="M1907" s="2330"/>
      <c r="N1907" s="2410"/>
      <c r="O1907" s="2410"/>
      <c r="P1907" s="1901"/>
    </row>
    <row r="1908" spans="1:18" s="2379" customFormat="1" ht="11.25" customHeight="1">
      <c r="A1908" s="2502" t="s">
        <v>3384</v>
      </c>
      <c r="B1908" s="2253" t="s">
        <v>6248</v>
      </c>
      <c r="D1908" s="2256"/>
      <c r="E1908" s="2256"/>
      <c r="F1908" s="362"/>
      <c r="L1908" s="2462"/>
      <c r="M1908" s="1901">
        <f>'Part VIII Scoring Criteria'!M417</f>
        <v>6</v>
      </c>
      <c r="N1908" s="1901"/>
      <c r="O1908" s="2438">
        <f>'Part VIII Scoring Criteria'!O417</f>
        <v>6</v>
      </c>
      <c r="P1908" s="2293">
        <f>'Part VIII Scoring Criteria'!P417</f>
        <v>0</v>
      </c>
      <c r="Q1908" s="1901" t="s">
        <v>416</v>
      </c>
      <c r="R1908" s="2030" t="s">
        <v>2461</v>
      </c>
    </row>
    <row r="1909" spans="1:18" s="2366" customFormat="1" ht="10.5" customHeight="1">
      <c r="A1909" s="359"/>
      <c r="B1909" s="2256" t="s">
        <v>3244</v>
      </c>
      <c r="C1909" s="359"/>
      <c r="D1909" s="1505"/>
      <c r="E1909" s="1505"/>
      <c r="F1909" s="1505"/>
      <c r="G1909" s="1505"/>
      <c r="H1909" s="362"/>
      <c r="I1909" s="362"/>
      <c r="J1909" s="362"/>
      <c r="K1909" s="362"/>
      <c r="M1909" s="1901"/>
      <c r="N1909" s="1750"/>
      <c r="O1909" s="2293"/>
      <c r="P1909" s="1750"/>
    </row>
    <row r="1910" spans="1:18" s="2366" customFormat="1" ht="409.5">
      <c r="A1910" s="2327" t="str">
        <f>'Part VIII Scoring Criteria'!A419</f>
        <v xml:space="preserve">The Gainesville Housing Authority is using this project as replacement housing for their Public Housing Project in Harrison Square Apartments which is adjacent to the subject site. Occupancy has been maintained at Harrison Square at 95% or greater for the last 2+ years. We are providing with the Application 24 consecutive months of occupancy rates and substantiating rent rolls. </v>
      </c>
      <c r="B1910" s="2327"/>
      <c r="C1910" s="2327"/>
      <c r="D1910" s="2327"/>
      <c r="E1910" s="2327"/>
      <c r="F1910" s="2327"/>
      <c r="G1910" s="2327"/>
      <c r="H1910" s="2327"/>
      <c r="I1910" s="2327"/>
      <c r="J1910" s="2327"/>
      <c r="K1910" s="2327"/>
      <c r="L1910" s="2327"/>
      <c r="M1910" s="2327"/>
      <c r="N1910" s="2327"/>
      <c r="O1910" s="2327"/>
      <c r="P1910" s="2327"/>
      <c r="Q1910" s="2017" t="s">
        <v>1181</v>
      </c>
      <c r="R1910" s="2017"/>
    </row>
    <row r="1911" spans="1:18" s="2379" customFormat="1" ht="10.5" customHeight="1">
      <c r="A1911" s="2256"/>
      <c r="B1911" s="2256" t="s">
        <v>1730</v>
      </c>
      <c r="C1911" s="359"/>
      <c r="D1911" s="2256"/>
      <c r="E1911" s="2252"/>
      <c r="F1911" s="2252"/>
      <c r="G1911" s="2252"/>
      <c r="H1911" s="2252"/>
      <c r="I1911" s="2252"/>
      <c r="J1911" s="2252"/>
      <c r="K1911" s="2252"/>
      <c r="L1911" s="2252"/>
      <c r="M1911" s="2252"/>
      <c r="N1911" s="2224"/>
      <c r="O1911" s="2224"/>
      <c r="P1911" s="1901"/>
    </row>
    <row r="1912" spans="1:18" s="2366" customFormat="1" ht="10.9" customHeight="1">
      <c r="A1912" s="2331"/>
      <c r="B1912" s="2331"/>
      <c r="C1912" s="2331"/>
      <c r="D1912" s="2331"/>
      <c r="E1912" s="2331"/>
      <c r="F1912" s="2331"/>
      <c r="G1912" s="2331"/>
      <c r="H1912" s="2331"/>
      <c r="I1912" s="2331"/>
      <c r="J1912" s="2331"/>
      <c r="K1912" s="2331"/>
      <c r="L1912" s="2331"/>
      <c r="M1912" s="2331"/>
      <c r="N1912" s="2331"/>
      <c r="O1912" s="2331"/>
      <c r="P1912" s="2331"/>
      <c r="Q1912" s="2017"/>
      <c r="R1912" s="2017"/>
    </row>
    <row r="1913" spans="1:18" s="2366" customFormat="1" ht="2.25" customHeight="1">
      <c r="A1913" s="2502"/>
      <c r="B1913" s="359"/>
      <c r="C1913" s="2330"/>
      <c r="D1913" s="2330"/>
      <c r="E1913" s="2330"/>
      <c r="F1913" s="2330"/>
      <c r="G1913" s="2330"/>
      <c r="H1913" s="2330"/>
      <c r="I1913" s="2330"/>
      <c r="J1913" s="2330"/>
      <c r="K1913" s="2330"/>
      <c r="L1913" s="2330"/>
      <c r="M1913" s="2330"/>
      <c r="N1913" s="2410"/>
      <c r="O1913" s="2410"/>
      <c r="P1913" s="1901"/>
    </row>
    <row r="1914" spans="1:18" s="2379" customFormat="1" ht="11.25" customHeight="1">
      <c r="A1914" s="2502" t="s">
        <v>3385</v>
      </c>
      <c r="B1914" s="2253" t="s">
        <v>6619</v>
      </c>
      <c r="D1914" s="2256"/>
      <c r="E1914" s="2256"/>
      <c r="F1914" s="362"/>
      <c r="G1914" s="362"/>
      <c r="L1914" s="2462" t="str">
        <f>IF(OR($O1914=$M1914,$O1914=0,$O1914=""),"","*CHECK!*")</f>
        <v/>
      </c>
      <c r="M1914" s="1901">
        <f>'Part VIII Scoring Criteria'!M423</f>
        <v>6</v>
      </c>
      <c r="N1914" s="1901"/>
      <c r="O1914" s="1901"/>
      <c r="P1914" s="2293">
        <f>'Part VIII Scoring Criteria'!P423</f>
        <v>0</v>
      </c>
      <c r="Q1914" s="1901" t="s">
        <v>416</v>
      </c>
      <c r="R1914" s="2030" t="s">
        <v>2461</v>
      </c>
    </row>
    <row r="1915" spans="1:18" s="2379" customFormat="1" ht="10.5" customHeight="1">
      <c r="A1915" s="2256"/>
      <c r="B1915" s="2256" t="s">
        <v>1730</v>
      </c>
      <c r="C1915" s="359"/>
      <c r="D1915" s="2256"/>
      <c r="E1915" s="2252"/>
      <c r="F1915" s="2252"/>
      <c r="G1915" s="2252"/>
      <c r="H1915" s="2252"/>
      <c r="I1915" s="2252"/>
      <c r="J1915" s="2252"/>
      <c r="K1915" s="2252"/>
      <c r="L1915" s="2252"/>
      <c r="M1915" s="2252"/>
      <c r="N1915" s="2224"/>
      <c r="O1915" s="2224"/>
      <c r="P1915" s="1901"/>
    </row>
    <row r="1916" spans="1:18" s="2366" customFormat="1" ht="10.9" customHeight="1">
      <c r="A1916" s="2331"/>
      <c r="B1916" s="2331"/>
      <c r="C1916" s="2331"/>
      <c r="D1916" s="2331"/>
      <c r="E1916" s="2331"/>
      <c r="F1916" s="2331"/>
      <c r="G1916" s="2331"/>
      <c r="H1916" s="2331"/>
      <c r="I1916" s="2331"/>
      <c r="J1916" s="2331"/>
      <c r="K1916" s="2331"/>
      <c r="L1916" s="2331"/>
      <c r="M1916" s="2331"/>
      <c r="N1916" s="2331"/>
      <c r="O1916" s="2331"/>
      <c r="P1916" s="2331"/>
      <c r="Q1916" s="2017"/>
      <c r="R1916" s="2017"/>
    </row>
    <row r="1917" spans="1:18" s="2366" customFormat="1" ht="2.25" customHeight="1">
      <c r="A1917" s="2502"/>
      <c r="B1917" s="359"/>
      <c r="C1917" s="2330"/>
      <c r="D1917" s="2330"/>
      <c r="E1917" s="2330"/>
      <c r="F1917" s="2330"/>
      <c r="G1917" s="2330"/>
      <c r="H1917" s="2330"/>
      <c r="I1917" s="2330"/>
      <c r="J1917" s="2330"/>
      <c r="K1917" s="2330"/>
      <c r="L1917" s="2330"/>
      <c r="M1917" s="2330"/>
      <c r="N1917" s="2410"/>
      <c r="O1917" s="2410"/>
      <c r="P1917" s="1901"/>
    </row>
    <row r="1918" spans="1:18" s="2379" customFormat="1" ht="11.25" customHeight="1">
      <c r="A1918" s="2502" t="s">
        <v>3808</v>
      </c>
      <c r="B1918" s="2253" t="s">
        <v>6620</v>
      </c>
      <c r="D1918" s="2256"/>
      <c r="L1918" s="2462" t="str">
        <f>IF(OR($O1918=$M1918,$O1918=0,$O1918=""),"","*CHECK!*")</f>
        <v/>
      </c>
      <c r="M1918" s="1901">
        <f>'Part VIII Scoring Criteria'!M427</f>
        <v>4</v>
      </c>
      <c r="N1918" s="1901"/>
      <c r="O1918" s="2438">
        <f>'Part VIII Scoring Criteria'!O427</f>
        <v>4</v>
      </c>
      <c r="P1918" s="2293">
        <f>'Part VIII Scoring Criteria'!P427</f>
        <v>0</v>
      </c>
      <c r="Q1918" s="1901" t="s">
        <v>416</v>
      </c>
      <c r="R1918" s="2030" t="s">
        <v>2461</v>
      </c>
    </row>
    <row r="1919" spans="1:18" s="2366" customFormat="1" ht="10.5" customHeight="1">
      <c r="A1919" s="359"/>
      <c r="B1919" s="2256" t="s">
        <v>3244</v>
      </c>
      <c r="C1919" s="359"/>
      <c r="D1919" s="1505"/>
      <c r="E1919" s="1505"/>
      <c r="F1919" s="1505"/>
      <c r="G1919" s="1505"/>
      <c r="H1919" s="362"/>
      <c r="I1919" s="362"/>
      <c r="J1919" s="362"/>
      <c r="K1919" s="362"/>
      <c r="M1919" s="1901"/>
      <c r="N1919" s="1750"/>
      <c r="O1919" s="2293"/>
      <c r="P1919" s="1750"/>
    </row>
    <row r="1920" spans="1:18" s="2366" customFormat="1" ht="360">
      <c r="A1920" s="2327" t="str">
        <f>'Part VIII Scoring Criteria'!A429</f>
        <v>Our development consists of 120 total units and more than half of those units (75) will be PBRA/PBV Section 18 units based on the RAD Conversion. This RAD Conversion is in conjunction with the Housing Authority of the City of Gainesville. 75 of the units will be Replacement Housing of the RAD Conversion.</v>
      </c>
      <c r="B1920" s="2327"/>
      <c r="C1920" s="2327"/>
      <c r="D1920" s="2327"/>
      <c r="E1920" s="2327"/>
      <c r="F1920" s="2327"/>
      <c r="G1920" s="2327"/>
      <c r="H1920" s="2327"/>
      <c r="I1920" s="2327"/>
      <c r="J1920" s="2327"/>
      <c r="K1920" s="2327"/>
      <c r="L1920" s="2327"/>
      <c r="M1920" s="2327"/>
      <c r="N1920" s="2327"/>
      <c r="O1920" s="2327"/>
      <c r="P1920" s="2327"/>
      <c r="Q1920" s="2017" t="s">
        <v>1181</v>
      </c>
      <c r="R1920" s="2017"/>
    </row>
    <row r="1921" spans="1:27" s="2379" customFormat="1" ht="10.5" customHeight="1">
      <c r="A1921" s="2256"/>
      <c r="B1921" s="2256" t="s">
        <v>1730</v>
      </c>
      <c r="C1921" s="359"/>
      <c r="D1921" s="2256"/>
      <c r="E1921" s="2252"/>
      <c r="F1921" s="2252"/>
      <c r="G1921" s="2252"/>
      <c r="H1921" s="2252"/>
      <c r="I1921" s="2252"/>
      <c r="J1921" s="2252"/>
      <c r="K1921" s="2252"/>
      <c r="L1921" s="2252"/>
      <c r="M1921" s="2252"/>
      <c r="N1921" s="2224"/>
      <c r="O1921" s="2224"/>
      <c r="P1921" s="1901"/>
    </row>
    <row r="1922" spans="1:27" s="2366" customFormat="1" ht="10.9" customHeight="1">
      <c r="A1922" s="2331"/>
      <c r="B1922" s="2331"/>
      <c r="C1922" s="2331"/>
      <c r="D1922" s="2331"/>
      <c r="E1922" s="2331"/>
      <c r="F1922" s="2331"/>
      <c r="G1922" s="2331"/>
      <c r="H1922" s="2331"/>
      <c r="I1922" s="2331"/>
      <c r="J1922" s="2331"/>
      <c r="K1922" s="2331"/>
      <c r="L1922" s="2331"/>
      <c r="M1922" s="2331"/>
      <c r="N1922" s="2331"/>
      <c r="O1922" s="2331"/>
      <c r="P1922" s="2331"/>
      <c r="Q1922" s="2017"/>
      <c r="R1922" s="2017"/>
    </row>
    <row r="1923" spans="1:27" s="2366" customFormat="1" ht="2.25" customHeight="1">
      <c r="A1923" s="2502"/>
      <c r="B1923" s="359"/>
      <c r="C1923" s="2330"/>
      <c r="D1923" s="2330"/>
      <c r="E1923" s="2330"/>
      <c r="F1923" s="2330"/>
      <c r="G1923" s="2330"/>
      <c r="H1923" s="2330"/>
      <c r="I1923" s="2330"/>
      <c r="J1923" s="2330"/>
      <c r="K1923" s="2330"/>
      <c r="L1923" s="2330"/>
      <c r="M1923" s="2330"/>
      <c r="N1923" s="2410"/>
      <c r="O1923" s="2410"/>
      <c r="P1923" s="1901"/>
    </row>
    <row r="1924" spans="1:27" s="2379" customFormat="1" ht="11.25" customHeight="1">
      <c r="A1924" s="2502" t="s">
        <v>6565</v>
      </c>
      <c r="B1924" s="2253" t="s">
        <v>6621</v>
      </c>
      <c r="D1924" s="2256"/>
      <c r="G1924" s="2268" t="s">
        <v>6909</v>
      </c>
      <c r="L1924" s="2462" t="str">
        <f>IF(OR($O1924&lt;=$M1924,$O1924=0,$O1924=""),"","*CHECK!*")</f>
        <v/>
      </c>
      <c r="M1924" s="1901">
        <f>'Part VIII Scoring Criteria'!M433</f>
        <v>6</v>
      </c>
      <c r="N1924" s="1901"/>
      <c r="O1924" s="2293">
        <f>'Part VIII Scoring Criteria'!O433</f>
        <v>4</v>
      </c>
      <c r="P1924" s="2293">
        <f>'Part VIII Scoring Criteria'!P433</f>
        <v>0</v>
      </c>
      <c r="Q1924" s="1901" t="s">
        <v>416</v>
      </c>
      <c r="R1924" s="2030" t="s">
        <v>2461</v>
      </c>
    </row>
    <row r="1925" spans="1:27" s="2366" customFormat="1" ht="12" customHeight="1">
      <c r="A1925" s="1902" t="s">
        <v>1842</v>
      </c>
      <c r="B1925" s="1505" t="s">
        <v>6140</v>
      </c>
      <c r="C1925" s="357"/>
      <c r="E1925" s="807"/>
      <c r="F1925" s="362"/>
      <c r="G1925" s="362"/>
      <c r="H1925" s="362"/>
      <c r="K1925" s="2243"/>
      <c r="L1925" s="2515"/>
      <c r="M1925" s="1902">
        <v>6</v>
      </c>
      <c r="N1925" s="2527" t="s">
        <v>1842</v>
      </c>
      <c r="O1925" s="2438">
        <f>'Part VIII Scoring Criteria'!O434</f>
        <v>0</v>
      </c>
      <c r="P1925" s="2293"/>
      <c r="Q1925" s="2462" t="str">
        <f>IF(OR($O1925&lt;=$M1925,$O1925=0,$O1925=""),"","*CHECK!*")</f>
        <v/>
      </c>
      <c r="R1925" s="2030" t="s">
        <v>2461</v>
      </c>
    </row>
    <row r="1926" spans="1:27" s="1889" customFormat="1" ht="12" customHeight="1">
      <c r="A1926" s="1886" t="s">
        <v>1844</v>
      </c>
      <c r="B1926" s="1887" t="s">
        <v>6141</v>
      </c>
      <c r="C1926" s="2331"/>
      <c r="D1926" s="2331"/>
      <c r="E1926" s="2331"/>
      <c r="F1926" s="2331"/>
      <c r="H1926" s="2331"/>
      <c r="I1926" s="2331"/>
      <c r="J1926" s="2292"/>
      <c r="K1926" s="2292"/>
      <c r="L1926" s="2292"/>
      <c r="M1926" s="1902">
        <v>4</v>
      </c>
      <c r="N1926" s="2527" t="s">
        <v>1844</v>
      </c>
      <c r="O1926" s="2438">
        <f>'Part VIII Scoring Criteria'!O435</f>
        <v>4</v>
      </c>
      <c r="P1926" s="2293"/>
      <c r="Q1926" s="2462" t="str">
        <f>IF(OR($O1926&lt;=$M1926,$O1926=0,$O1926=""),"","*CHECK!*")</f>
        <v/>
      </c>
      <c r="R1926" s="2030" t="s">
        <v>2461</v>
      </c>
    </row>
    <row r="1927" spans="1:27" s="2366" customFormat="1" ht="10.5" customHeight="1">
      <c r="A1927" s="359"/>
      <c r="B1927" s="2256" t="s">
        <v>3244</v>
      </c>
      <c r="C1927" s="359"/>
      <c r="D1927" s="1505"/>
      <c r="E1927" s="1505"/>
      <c r="F1927" s="1505"/>
      <c r="G1927" s="1505"/>
      <c r="H1927" s="362"/>
      <c r="I1927" s="362"/>
      <c r="J1927" s="362"/>
      <c r="K1927" s="362"/>
      <c r="M1927" s="1901"/>
      <c r="N1927" s="1750"/>
      <c r="O1927" s="2293"/>
      <c r="P1927" s="1750"/>
    </row>
    <row r="1928" spans="1:27" s="2366" customFormat="1" ht="393.75">
      <c r="A1928" s="2327" t="str">
        <f>'Part VIII Scoring Criteria'!A437</f>
        <v>The project is Replacement Housing for GHA's Public Housing property Harrison Square Apartments. Harrison Square Apartments was constructed in 1971 and has had minimal rehabilitation since the time it was built. Evidence is provided with the application illustrating the age of the property is substantiating the points claimed.</v>
      </c>
      <c r="B1928" s="2327"/>
      <c r="C1928" s="2327"/>
      <c r="D1928" s="2327"/>
      <c r="E1928" s="2327"/>
      <c r="F1928" s="2327"/>
      <c r="G1928" s="2327"/>
      <c r="H1928" s="2327"/>
      <c r="I1928" s="2327"/>
      <c r="J1928" s="2327"/>
      <c r="K1928" s="2327"/>
      <c r="L1928" s="2327"/>
      <c r="M1928" s="2327"/>
      <c r="N1928" s="2327"/>
      <c r="O1928" s="2327"/>
      <c r="P1928" s="2327"/>
      <c r="Q1928" s="2017" t="s">
        <v>1181</v>
      </c>
      <c r="R1928" s="2017"/>
    </row>
    <row r="1929" spans="1:27" s="2379" customFormat="1" ht="10.5" customHeight="1">
      <c r="A1929" s="2256"/>
      <c r="B1929" s="2256" t="s">
        <v>1730</v>
      </c>
      <c r="C1929" s="359"/>
      <c r="D1929" s="2256"/>
      <c r="E1929" s="2252"/>
      <c r="F1929" s="2252"/>
      <c r="G1929" s="2252"/>
      <c r="H1929" s="2252"/>
      <c r="I1929" s="2252"/>
      <c r="J1929" s="2252"/>
      <c r="K1929" s="2252"/>
      <c r="L1929" s="2252"/>
      <c r="M1929" s="2252"/>
      <c r="N1929" s="2224"/>
      <c r="O1929" s="2224"/>
      <c r="P1929" s="1901"/>
    </row>
    <row r="1930" spans="1:27" s="2366" customFormat="1" ht="10.5" customHeight="1">
      <c r="A1930" s="2331"/>
      <c r="B1930" s="2331"/>
      <c r="C1930" s="2331"/>
      <c r="D1930" s="2331"/>
      <c r="E1930" s="2331"/>
      <c r="F1930" s="2331"/>
      <c r="G1930" s="2331"/>
      <c r="H1930" s="2331"/>
      <c r="I1930" s="2331"/>
      <c r="J1930" s="2331"/>
      <c r="K1930" s="2331"/>
      <c r="L1930" s="2331"/>
      <c r="M1930" s="2331"/>
      <c r="N1930" s="2331"/>
      <c r="O1930" s="2331"/>
      <c r="P1930" s="2331"/>
      <c r="Q1930" s="2017"/>
      <c r="R1930" s="2017"/>
    </row>
    <row r="1931" spans="1:27" ht="13.5" customHeight="1">
      <c r="N1931" s="1750"/>
      <c r="O1931" s="1750"/>
      <c r="P1931" s="1750"/>
      <c r="Q1931" s="2039" t="s">
        <v>6913</v>
      </c>
      <c r="R1931" s="2039"/>
      <c r="S1931" s="2039"/>
      <c r="T1931" s="2039"/>
      <c r="U1931" s="2039"/>
      <c r="V1931" s="2039"/>
      <c r="W1931" s="2039"/>
      <c r="X1931" s="2039"/>
      <c r="Y1931" s="2039"/>
      <c r="Z1931" s="2039"/>
      <c r="AA1931" s="2039"/>
    </row>
    <row r="1932" spans="1:27" s="359" customFormat="1" ht="12.75" customHeight="1">
      <c r="A1932" s="2386" t="s">
        <v>402</v>
      </c>
      <c r="B1932" s="2528"/>
      <c r="D1932" s="357"/>
      <c r="E1932" s="357"/>
      <c r="F1932" s="2366"/>
      <c r="I1932" s="2386"/>
      <c r="J1932" s="2386"/>
      <c r="K1932" s="2386"/>
      <c r="L1932" s="2379"/>
      <c r="M1932" s="2529">
        <f>IF(AND(P1527="9%",M1545="New Supply"),G1553,IF(AND(P1527="4%",M1545="New Supply"),H1553,IF(AND(P1527="9%",M1545="Rehabilitation"),J1553,IF(AND(P1527="4%",M1545="Rehabilitation"),I1553,K1553))))</f>
        <v>63</v>
      </c>
      <c r="N1932" s="2529"/>
      <c r="O1932" s="2530">
        <f>O1554+O1579+O1593+O1603+O1642+O1659+O1695+O1715+O1723+O1732+O1742+O1751+O1764+O1775+O1800+O1824+O1832+O1868+O1887+O1895+O1908+O1918+O1924</f>
        <v>45</v>
      </c>
      <c r="P1932" s="2530">
        <f>-P1501+P1554+P1579+P1593+P1603+P1642+P1659+P1680+P1695+P1715+P1723+P1732+P1742+P1751+P1764+P1775+P1800+P1808+P1824+P1832+P1868+P1887+P1895+P1914+P1918+P1924</f>
        <v>22</v>
      </c>
      <c r="Q1932" s="2039"/>
      <c r="R1932" s="2039"/>
      <c r="S1932" s="2039"/>
      <c r="T1932" s="2039"/>
      <c r="U1932" s="2039"/>
      <c r="V1932" s="2039"/>
      <c r="W1932" s="2039"/>
      <c r="X1932" s="2039"/>
      <c r="Y1932" s="2039"/>
      <c r="Z1932" s="2039"/>
      <c r="AA1932" s="2039"/>
    </row>
    <row r="1933" spans="1:27" s="2366" customFormat="1" ht="15">
      <c r="A1933" s="359"/>
      <c r="C1933" s="2330"/>
      <c r="D1933" s="2330"/>
      <c r="E1933" s="2330"/>
      <c r="F1933" s="2330"/>
      <c r="G1933" s="2330"/>
      <c r="H1933" s="2330"/>
      <c r="I1933" s="2330"/>
      <c r="J1933" s="2330"/>
      <c r="K1933" s="2330"/>
      <c r="L1933" s="2330"/>
      <c r="M1933" s="2330"/>
      <c r="N1933" s="2330"/>
      <c r="O1933" s="2330"/>
      <c r="P1933" s="2330"/>
      <c r="Q1933" s="2039"/>
      <c r="R1933" s="2039"/>
      <c r="S1933" s="2039"/>
      <c r="T1933" s="2039"/>
      <c r="U1933" s="2039"/>
      <c r="V1933" s="2039"/>
      <c r="W1933" s="2039"/>
      <c r="X1933" s="2039"/>
      <c r="Y1933" s="2039"/>
      <c r="Z1933" s="2039"/>
      <c r="AA1933" s="2039"/>
    </row>
    <row r="1934" spans="1:27" ht="6.75" customHeight="1">
      <c r="A1934" s="2366"/>
      <c r="B1934" s="2528"/>
      <c r="C1934" s="2366"/>
      <c r="F1934" s="1875"/>
      <c r="G1934" s="1875"/>
      <c r="H1934" s="2401"/>
      <c r="I1934" s="2401"/>
      <c r="L1934" s="2366"/>
      <c r="N1934" s="1901"/>
      <c r="O1934" s="1901"/>
      <c r="P1934" s="2293"/>
      <c r="Q1934" s="2039"/>
      <c r="R1934" s="2039"/>
      <c r="S1934" s="2039"/>
      <c r="T1934" s="2039"/>
      <c r="U1934" s="2039"/>
      <c r="V1934" s="2039"/>
      <c r="W1934" s="2039"/>
      <c r="X1934" s="2039"/>
      <c r="Y1934" s="2039"/>
      <c r="Z1934" s="2039"/>
      <c r="AA1934" s="2039"/>
    </row>
    <row r="1935" spans="1:27" s="2366" customFormat="1" ht="15">
      <c r="A1935" s="2256" t="s">
        <v>6791</v>
      </c>
      <c r="B1935" s="2531"/>
      <c r="C1935" s="2531"/>
      <c r="D1935" s="2531"/>
      <c r="E1935" s="2531"/>
      <c r="F1935" s="2531"/>
      <c r="G1935" s="2531"/>
      <c r="H1935" s="2531"/>
      <c r="I1935" s="2531"/>
      <c r="J1935" s="2531"/>
      <c r="K1935" s="2531"/>
      <c r="L1935" s="2531"/>
      <c r="M1935" s="2531"/>
      <c r="N1935" s="2531"/>
      <c r="O1935" s="2531"/>
      <c r="P1935" s="2531"/>
      <c r="Q1935" s="2039"/>
      <c r="R1935" s="2039"/>
      <c r="S1935" s="2039"/>
      <c r="T1935" s="2039"/>
      <c r="U1935" s="2039"/>
      <c r="V1935" s="2039"/>
      <c r="W1935" s="2039"/>
      <c r="X1935" s="2039"/>
      <c r="Y1935" s="2039"/>
      <c r="Z1935" s="2039"/>
      <c r="AA1935" s="2039"/>
    </row>
    <row r="1936" spans="1:27" s="2366" customFormat="1" ht="409.5">
      <c r="A1936" s="2327" t="str">
        <f>'Part VIII Scoring Criteria'!A445</f>
        <v>All justification comments have been provided above.  The application is to provide replacement housing for the Gainesville Housing Authority's RAD Conversion.  The project will have 75 households relocating from an adjacent public housing site, and converting through the HUD RAD program.  The property has provided a HAP financing commitment from GHA, which includes the HUD CHAP for their existing property.  This will be some of GHA's last public housing conversions, and they are reserving all of their RAD Faircloth vouchers for the second phase of this development which shall include</v>
      </c>
      <c r="B1936" s="2327"/>
      <c r="C1936" s="2327"/>
      <c r="D1936" s="2327"/>
      <c r="E1936" s="2327"/>
      <c r="F1936" s="2327"/>
      <c r="G1936" s="2327"/>
      <c r="H1936" s="2327"/>
      <c r="I1936" s="2327"/>
      <c r="J1936" s="2327"/>
      <c r="K1936" s="2327"/>
      <c r="L1936" s="2327"/>
      <c r="M1936" s="2327"/>
      <c r="N1936" s="2327"/>
      <c r="O1936" s="2327"/>
      <c r="P1936" s="2327"/>
      <c r="Q1936" s="2039"/>
      <c r="R1936" s="2039"/>
      <c r="S1936" s="2039"/>
      <c r="T1936" s="2039"/>
      <c r="U1936" s="2039"/>
      <c r="V1936" s="2039"/>
      <c r="W1936" s="2039"/>
      <c r="X1936" s="2039"/>
      <c r="Y1936" s="2039"/>
    </row>
  </sheetData>
  <sheetProtection algorithmName="SHA-512" hashValue="pp5NyQ2/hfcWZpF1vD8nSFSYEUS00uDG7ULVcM94ha3oG9U15zBAf9tRlmGegvCLFpk0JO5P7IaxUkis3zG+0Q==" saltValue="pMrTpeakggCXy78oQGle7w==" spinCount="100000" sheet="1" objects="1" scenarios="1"/>
  <conditionalFormatting sqref="A644:A648">
    <cfRule type="cellIs" dxfId="67" priority="53" operator="equal">
      <formula>"Finish Row!"</formula>
    </cfRule>
  </conditionalFormatting>
  <conditionalFormatting sqref="A649:A686">
    <cfRule type="cellIs" dxfId="66" priority="68" stopIfTrue="1" operator="equal">
      <formula>1</formula>
    </cfRule>
  </conditionalFormatting>
  <conditionalFormatting sqref="A919">
    <cfRule type="expression" dxfId="65" priority="45">
      <formula>"or(B28&lt;$G$6,C28&lt;$G$6,D28&lt;$G$6,E28&lt;$G$6,F28&lt;$G$6,G28&lt;$G$6,H28&lt;$G$6,I28&lt;$G$6,J28&lt;$G$6,K28&lt;$G$6,)"</formula>
    </cfRule>
  </conditionalFormatting>
  <conditionalFormatting sqref="A926">
    <cfRule type="expression" dxfId="64" priority="48">
      <formula>"or(B28&lt;$G$6,C28&lt;$G$6,D28&lt;$G$6,E28&lt;$G$6,F28&lt;$G$6,G28&lt;$G$6,H28&lt;$G$6,I28&lt;$G$6,J28&lt;$G$6,K28&lt;$G$6,)"</formula>
    </cfRule>
  </conditionalFormatting>
  <conditionalFormatting sqref="A951">
    <cfRule type="expression" dxfId="63" priority="44">
      <formula>"or(B28&lt;$G$6,C28&lt;$G$6,D28&lt;$G$6,E28&lt;$G$6,F28&lt;$G$6,G28&lt;$G$6,H28&lt;$G$6,I28&lt;$G$6,J28&lt;$G$6,K28&lt;$G$6,)"</formula>
    </cfRule>
  </conditionalFormatting>
  <conditionalFormatting sqref="A958">
    <cfRule type="expression" dxfId="62" priority="47">
      <formula>"or(B28&lt;$G$6,C28&lt;$G$6,D28&lt;$G$6,E28&lt;$G$6,F28&lt;$G$6,G28&lt;$G$6,H28&lt;$G$6,I28&lt;$G$6,J28&lt;$G$6,K28&lt;$G$6,)"</formula>
    </cfRule>
  </conditionalFormatting>
  <conditionalFormatting sqref="A983">
    <cfRule type="expression" dxfId="61" priority="43">
      <formula>"or(B28&lt;$G$6,C28&lt;$G$6,D28&lt;$G$6,E28&lt;$G$6,F28&lt;$G$6,G28&lt;$G$6,H28&lt;$G$6,I28&lt;$G$6,J28&lt;$G$6,K28&lt;$G$6,)"</formula>
    </cfRule>
  </conditionalFormatting>
  <conditionalFormatting sqref="A990">
    <cfRule type="expression" dxfId="60" priority="46">
      <formula>"or(B28&lt;$G$6,C28&lt;$G$6,D28&lt;$G$6,E28&lt;$G$6,F28&lt;$G$6,G28&lt;$G$6,H28&lt;$G$6,I28&lt;$G$6,J28&lt;$G$6,K28&lt;$G$6,)"</formula>
    </cfRule>
  </conditionalFormatting>
  <conditionalFormatting sqref="A1013">
    <cfRule type="expression" dxfId="59" priority="42">
      <formula>"or(B28&lt;$G$6,C28&lt;$G$6,D28&lt;$G$6,E28&lt;$G$6,F28&lt;$G$6,G28&lt;$G$6,H28&lt;$G$6,I28&lt;$G$6,J28&lt;$G$6,K28&lt;$G$6,)"</formula>
    </cfRule>
  </conditionalFormatting>
  <conditionalFormatting sqref="B688:C688">
    <cfRule type="cellIs" dxfId="58" priority="61" operator="greaterThan">
      <formula>60.0000001</formula>
    </cfRule>
  </conditionalFormatting>
  <conditionalFormatting sqref="B282:D284">
    <cfRule type="cellIs" dxfId="57" priority="90" stopIfTrue="1" operator="equal">
      <formula>"Make a selection FIRST --&gt;"</formula>
    </cfRule>
  </conditionalFormatting>
  <conditionalFormatting sqref="C904">
    <cfRule type="containsText" dxfId="56" priority="41" operator="containsText" text="Must be &gt;= 7%!">
      <formula>NOT(ISERROR(SEARCH("Must be &gt;= 7%!",C904)))</formula>
    </cfRule>
  </conditionalFormatting>
  <conditionalFormatting sqref="D287">
    <cfRule type="cellIs" dxfId="55" priority="87" operator="greaterThan">
      <formula>50.000001%</formula>
    </cfRule>
  </conditionalFormatting>
  <conditionalFormatting sqref="F1595">
    <cfRule type="expression" dxfId="54" priority="39">
      <formula>AND($O$204&gt;0,$O$204&lt;4,OR($I$204="Statutory Redevelopment Plan",$I$204="Redevelopment Zone",$I$204="Local Redevelopment Plan"))</formula>
    </cfRule>
  </conditionalFormatting>
  <conditionalFormatting sqref="G347">
    <cfRule type="cellIs" priority="82" stopIfTrue="1" operator="equal">
      <formula>"""Exceeds the limit! Re-check amounts."""</formula>
    </cfRule>
  </conditionalFormatting>
  <conditionalFormatting sqref="G902">
    <cfRule type="expression" dxfId="53" priority="49">
      <formula>$G$7&lt;$G$6</formula>
    </cfRule>
  </conditionalFormatting>
  <conditionalFormatting sqref="H649:I649">
    <cfRule type="expression" priority="66" stopIfTrue="1">
      <formula>AND($B649="PHA", $H649&gt;0)</formula>
    </cfRule>
  </conditionalFormatting>
  <conditionalFormatting sqref="I1581">
    <cfRule type="containsText" dxfId="52" priority="16" operator="containsText" text="&lt;&lt; Select Election or Income Averaging &gt;&gt;">
      <formula>NOT(ISERROR(SEARCH("&lt;&lt; Select Election or Income Averaging &gt;&gt;",I1581)))</formula>
    </cfRule>
  </conditionalFormatting>
  <conditionalFormatting sqref="I1619">
    <cfRule type="containsText" dxfId="51" priority="11" operator="containsText" text="Pick A1 or A2!">
      <formula>NOT(ISERROR(SEARCH("Pick A1 or A2!",I1619)))</formula>
    </cfRule>
  </conditionalFormatting>
  <conditionalFormatting sqref="I613:M613">
    <cfRule type="cellIs" dxfId="50" priority="73" operator="equal">
      <formula>"Select Fuel"</formula>
    </cfRule>
    <cfRule type="cellIs" dxfId="49" priority="75" operator="equal">
      <formula>"&lt;&lt;Select Fuel &gt;&gt;"</formula>
    </cfRule>
    <cfRule type="cellIs" dxfId="48" priority="76" operator="equal">
      <formula>"""&lt;&lt;Select Fuel &gt;&gt;"""</formula>
    </cfRule>
  </conditionalFormatting>
  <conditionalFormatting sqref="I630:M630">
    <cfRule type="cellIs" dxfId="47" priority="69" operator="equal">
      <formula>"Select Fuel"</formula>
    </cfRule>
    <cfRule type="cellIs" dxfId="46" priority="71" operator="equal">
      <formula>"&lt;&lt;Select Fuel &gt;&gt;"</formula>
    </cfRule>
    <cfRule type="cellIs" dxfId="45" priority="72" operator="equal">
      <formula>"""&lt;&lt;Select Fuel &gt;&gt;"""</formula>
    </cfRule>
  </conditionalFormatting>
  <conditionalFormatting sqref="J288">
    <cfRule type="cellIs" dxfId="44" priority="88" operator="equal">
      <formula>"No"</formula>
    </cfRule>
  </conditionalFormatting>
  <conditionalFormatting sqref="J290">
    <cfRule type="cellIs" dxfId="43" priority="89" operator="equal">
      <formula>"No"</formula>
    </cfRule>
  </conditionalFormatting>
  <conditionalFormatting sqref="J649:J686">
    <cfRule type="expression" priority="65" stopIfTrue="1">
      <formula>AND($B649="PHA", $H649&gt;0)</formula>
    </cfRule>
  </conditionalFormatting>
  <conditionalFormatting sqref="J501:L501">
    <cfRule type="cellIs" dxfId="42" priority="81" stopIfTrue="1" operator="greaterThan">
      <formula>$J$187</formula>
    </cfRule>
  </conditionalFormatting>
  <conditionalFormatting sqref="K349:K350 N349:N350 Q349:Q350">
    <cfRule type="cellIs" dxfId="41" priority="79" operator="greaterThan">
      <formula>$G$40</formula>
    </cfRule>
  </conditionalFormatting>
  <conditionalFormatting sqref="K1619">
    <cfRule type="containsText" dxfId="40" priority="10" operator="containsText" text="Pick A1 or A2!">
      <formula>NOT(ISERROR(SEARCH("Pick A1 or A2!",K1619)))</formula>
    </cfRule>
  </conditionalFormatting>
  <conditionalFormatting sqref="K731:P769 K694:P705">
    <cfRule type="cellIs" dxfId="39" priority="62" operator="equal">
      <formula>0</formula>
    </cfRule>
  </conditionalFormatting>
  <conditionalFormatting sqref="K768:P773">
    <cfRule type="cellIs" dxfId="38" priority="50" operator="equal">
      <formula>0</formula>
    </cfRule>
  </conditionalFormatting>
  <conditionalFormatting sqref="K774:P806">
    <cfRule type="cellIs" dxfId="37" priority="59" operator="equal">
      <formula>0</formula>
    </cfRule>
  </conditionalFormatting>
  <conditionalFormatting sqref="L1584:L1585">
    <cfRule type="containsText" dxfId="36" priority="23" operator="containsText" text="CHOOSE EITHER A OR B, NOT BOTH!">
      <formula>NOT(ISERROR(SEARCH("CHOOSE EITHER A OR B, NOT BOTH!",L1584)))</formula>
    </cfRule>
  </conditionalFormatting>
  <conditionalFormatting sqref="L1674">
    <cfRule type="cellIs" dxfId="35" priority="30" stopIfTrue="1" operator="equal">
      <formula>"* * Check Score! * *"</formula>
    </cfRule>
  </conditionalFormatting>
  <conditionalFormatting sqref="L1745">
    <cfRule type="cellIs" dxfId="34" priority="12" operator="equal">
      <formula>"Choose option 1 or 2 or 3 or 4!!!"</formula>
    </cfRule>
  </conditionalFormatting>
  <conditionalFormatting sqref="L1753:L1754">
    <cfRule type="cellIs" dxfId="33" priority="31" stopIfTrue="1" operator="equal">
      <formula>"* * Check Score! * *"</formula>
    </cfRule>
  </conditionalFormatting>
  <conditionalFormatting sqref="L1756">
    <cfRule type="cellIs" dxfId="32" priority="32" stopIfTrue="1" operator="equal">
      <formula>"* * Check Score! * *"</formula>
    </cfRule>
  </conditionalFormatting>
  <conditionalFormatting sqref="L1758">
    <cfRule type="cellIs" dxfId="31" priority="25" stopIfTrue="1" operator="equal">
      <formula>"* * Check Score! * *"</formula>
    </cfRule>
  </conditionalFormatting>
  <conditionalFormatting sqref="L1839">
    <cfRule type="cellIs" dxfId="30" priority="29" stopIfTrue="1" operator="equal">
      <formula>"* * Check Score! * *"</formula>
    </cfRule>
  </conditionalFormatting>
  <conditionalFormatting sqref="L1859">
    <cfRule type="cellIs" dxfId="29" priority="28" stopIfTrue="1" operator="equal">
      <formula>"* * Check Score! * *"</formula>
    </cfRule>
  </conditionalFormatting>
  <conditionalFormatting sqref="L740:O740">
    <cfRule type="cellIs" dxfId="28" priority="56" operator="equal">
      <formula>"&lt;&lt; Select LIHTC Election &gt;&gt;"</formula>
    </cfRule>
    <cfRule type="containsText" dxfId="27" priority="58" operator="containsText" text="&lt;&lt; Select Election or Income Averaging &gt;&gt;">
      <formula>NOT(ISERROR(SEARCH("&lt;&lt; Select Election or Income Averaging &gt;&gt;",L740)))</formula>
    </cfRule>
  </conditionalFormatting>
  <conditionalFormatting sqref="L783:O783">
    <cfRule type="containsText" dxfId="26" priority="57" operator="containsText" text="&lt;&lt; Select Election or Income Averaging &gt;&gt;">
      <formula>NOT(ISERROR(SEARCH("&lt;&lt; Select Election or Income Averaging &gt;&gt;",L783)))</formula>
    </cfRule>
    <cfRule type="cellIs" dxfId="25" priority="55" operator="equal">
      <formula>"&lt;&lt; Select LIHTC Election &gt;&gt;"</formula>
    </cfRule>
  </conditionalFormatting>
  <conditionalFormatting sqref="M1625">
    <cfRule type="containsText" dxfId="24" priority="14" operator="containsText" text="Pick A1 or A2!">
      <formula>NOT(ISERROR(SEARCH("Pick A1 or A2!",M1625)))</formula>
    </cfRule>
  </conditionalFormatting>
  <conditionalFormatting sqref="N1824:N1825">
    <cfRule type="cellIs" dxfId="23" priority="36" stopIfTrue="1" operator="equal">
      <formula>"* * Check Score! * *"</formula>
    </cfRule>
  </conditionalFormatting>
  <conditionalFormatting sqref="O1579">
    <cfRule type="containsText" dxfId="22" priority="15" operator="containsText" text="AorB?">
      <formula>NOT(ISERROR(SEARCH("AorB?",O1579)))</formula>
    </cfRule>
  </conditionalFormatting>
  <conditionalFormatting sqref="O1584:O1585">
    <cfRule type="cellIs" dxfId="21" priority="18" operator="notEqual">
      <formula>$M1584</formula>
    </cfRule>
  </conditionalFormatting>
  <conditionalFormatting sqref="O1596:O1597">
    <cfRule type="cellIs" priority="33" operator="notEqual">
      <formula>$M1596</formula>
    </cfRule>
  </conditionalFormatting>
  <conditionalFormatting sqref="O1623">
    <cfRule type="cellIs" dxfId="20" priority="22" operator="notEqual">
      <formula>$M1623</formula>
    </cfRule>
  </conditionalFormatting>
  <conditionalFormatting sqref="O1629">
    <cfRule type="cellIs" dxfId="19" priority="40" operator="notEqual">
      <formula>$M1629</formula>
    </cfRule>
  </conditionalFormatting>
  <conditionalFormatting sqref="O1631 O1633">
    <cfRule type="cellIs" dxfId="18" priority="21" operator="notEqual">
      <formula>$M1631</formula>
    </cfRule>
  </conditionalFormatting>
  <conditionalFormatting sqref="O1662">
    <cfRule type="cellIs" dxfId="17" priority="2" operator="notEqual">
      <formula>$M1662</formula>
    </cfRule>
  </conditionalFormatting>
  <conditionalFormatting sqref="O1670:O1672">
    <cfRule type="cellIs" dxfId="16" priority="7" operator="notEqual">
      <formula>$M1670</formula>
    </cfRule>
  </conditionalFormatting>
  <conditionalFormatting sqref="O1674">
    <cfRule type="cellIs" dxfId="15" priority="19" operator="notEqual">
      <formula>$M1674</formula>
    </cfRule>
  </conditionalFormatting>
  <conditionalFormatting sqref="O1697">
    <cfRule type="cellIs" dxfId="14" priority="5" operator="greaterThan">
      <formula>$M1697</formula>
    </cfRule>
  </conditionalFormatting>
  <conditionalFormatting sqref="O1701">
    <cfRule type="cellIs" dxfId="13" priority="4" operator="greaterThan">
      <formula>$M1701</formula>
    </cfRule>
  </conditionalFormatting>
  <conditionalFormatting sqref="O1732">
    <cfRule type="cellIs" dxfId="12" priority="3" operator="notEqual">
      <formula>$M1732</formula>
    </cfRule>
  </conditionalFormatting>
  <conditionalFormatting sqref="O1642:P1642">
    <cfRule type="cellIs" dxfId="11" priority="38" operator="greaterThan">
      <formula>M1642</formula>
    </cfRule>
  </conditionalFormatting>
  <conditionalFormatting sqref="O484:V484">
    <cfRule type="cellIs" dxfId="10" priority="78" operator="equal">
      <formula>"QAP Cost Limit TDC exceeds Project Cost Limit!"</formula>
    </cfRule>
  </conditionalFormatting>
  <conditionalFormatting sqref="P817">
    <cfRule type="cellIs" dxfId="9" priority="64" operator="greaterThan">
      <formula>0.02</formula>
    </cfRule>
  </conditionalFormatting>
  <conditionalFormatting sqref="P1662">
    <cfRule type="cellIs" dxfId="8" priority="1" operator="notEqual">
      <formula>$M1662</formula>
    </cfRule>
  </conditionalFormatting>
  <conditionalFormatting sqref="P1670:P1672">
    <cfRule type="cellIs" dxfId="7" priority="6" operator="notEqual">
      <formula>$M1670</formula>
    </cfRule>
  </conditionalFormatting>
  <conditionalFormatting sqref="P289:Q289">
    <cfRule type="cellIs" dxfId="6" priority="86" operator="notEqual">
      <formula>0</formula>
    </cfRule>
  </conditionalFormatting>
  <conditionalFormatting sqref="Q649:Q686">
    <cfRule type="expression" dxfId="5" priority="63">
      <formula>AND($P$11="New Construction",$Q$11="Yes")</formula>
    </cfRule>
  </conditionalFormatting>
  <conditionalFormatting sqref="Q1627">
    <cfRule type="cellIs" dxfId="4" priority="37" stopIfTrue="1" operator="equal">
      <formula>"* * Check Score! * *"</formula>
    </cfRule>
  </conditionalFormatting>
  <conditionalFormatting sqref="R1812:R1815">
    <cfRule type="cellIs" dxfId="3" priority="17" stopIfTrue="1" operator="equal">
      <formula>"* * Check Score! * *"</formula>
    </cfRule>
  </conditionalFormatting>
  <conditionalFormatting sqref="U707">
    <cfRule type="cellIs" dxfId="2" priority="52" stopIfTrue="1" operator="greaterThan">
      <formula>0</formula>
    </cfRule>
  </conditionalFormatting>
  <conditionalFormatting sqref="U729:U730 U739:U741 U750 U764">
    <cfRule type="cellIs" dxfId="1" priority="67" stopIfTrue="1" operator="greaterThan">
      <formula>0</formula>
    </cfRule>
  </conditionalFormatting>
  <conditionalFormatting sqref="U793">
    <cfRule type="cellIs" dxfId="0" priority="60" stopIfTrue="1" operator="greaterThan">
      <formula>0</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2" zoomScaleNormal="100" workbookViewId="0">
      <selection activeCell="S66" sqref="S66:T66"/>
    </sheetView>
  </sheetViews>
  <sheetFormatPr defaultColWidth="9.140625" defaultRowHeight="13.5"/>
  <cols>
    <col min="1" max="1" width="4.140625" style="142" customWidth="1"/>
    <col min="2" max="17" width="8.140625" style="142" customWidth="1"/>
    <col min="18" max="18" width="3.140625" style="142" customWidth="1"/>
    <col min="19" max="19" width="13.5703125" style="142" customWidth="1"/>
    <col min="20" max="20" width="98.85546875" style="142" customWidth="1"/>
    <col min="21" max="24" width="9.140625" style="142"/>
    <col min="25" max="25" width="16.5703125" style="1743" bestFit="1" customWidth="1"/>
    <col min="26" max="26" width="9.140625" style="1743"/>
    <col min="27" max="51" width="9.140625" style="142"/>
    <col min="52" max="52" width="9.140625" style="1677"/>
    <col min="53" max="16384" width="9.140625" style="142"/>
  </cols>
  <sheetData>
    <row r="1" spans="1:52" s="1743" customFormat="1" ht="12" hidden="1" customHeight="1">
      <c r="A1" s="1741"/>
      <c r="B1" s="1741" t="s">
        <v>6315</v>
      </c>
      <c r="C1" s="1741"/>
      <c r="D1" s="1741"/>
      <c r="E1" s="1741" t="s">
        <v>6334</v>
      </c>
      <c r="F1" s="1741"/>
      <c r="G1" s="1742"/>
      <c r="H1" s="1742" t="s">
        <v>6335</v>
      </c>
      <c r="I1" s="1742" t="s">
        <v>6336</v>
      </c>
      <c r="J1" s="1742"/>
      <c r="K1" s="1742" t="s">
        <v>6337</v>
      </c>
      <c r="L1" s="1742" t="s">
        <v>6338</v>
      </c>
      <c r="M1" s="1743" t="s">
        <v>6339</v>
      </c>
      <c r="N1" s="1743" t="s">
        <v>6340</v>
      </c>
      <c r="P1" s="1743" t="s">
        <v>6341</v>
      </c>
      <c r="Z1" s="1708">
        <v>1</v>
      </c>
    </row>
    <row r="2" spans="1:52" s="223" customFormat="1" ht="14.1" customHeight="1">
      <c r="A2" s="2697" t="str">
        <f>CONCATENATE("PART TWO - SOURCES OF FUNDS (Proposed)","  -  ",'Part I-Project Identification'!$O$7," ",'Part I-Project Identification'!$F$29,", ",'Part I-Project Identification'!$F$30,", ",'Part I-Project Identification'!$J$30," County")</f>
        <v>PART TWO - SOURCES OF FUNDS (Proposed)  -  2022-522 Harrison Village Apartments, Gainesville, Hall County</v>
      </c>
      <c r="B2" s="2698"/>
      <c r="C2" s="2698"/>
      <c r="D2" s="2698"/>
      <c r="E2" s="2698"/>
      <c r="F2" s="2698"/>
      <c r="G2" s="2698"/>
      <c r="H2" s="2698"/>
      <c r="I2" s="2698"/>
      <c r="J2" s="2698"/>
      <c r="K2" s="2698"/>
      <c r="L2" s="2698"/>
      <c r="M2" s="2698"/>
      <c r="N2" s="2698"/>
      <c r="O2" s="2698"/>
      <c r="P2" s="2698"/>
      <c r="Q2" s="2699"/>
      <c r="S2" s="2817" t="str">
        <f>$A$2</f>
        <v>PART TWO - SOURCES OF FUNDS (Proposed)  -  2022-522 Harrison Village Apartments, Gainesville, Hall County</v>
      </c>
      <c r="T2" s="2817"/>
      <c r="Y2" s="1744"/>
      <c r="Z2" s="1708">
        <v>2</v>
      </c>
      <c r="AZ2" s="1678"/>
    </row>
    <row r="3" spans="1:52" ht="17.45" customHeight="1">
      <c r="A3" s="145"/>
      <c r="B3" s="145"/>
      <c r="C3" s="145"/>
      <c r="D3" s="145"/>
      <c r="E3" s="145"/>
      <c r="F3" s="145"/>
      <c r="G3" s="1002"/>
      <c r="H3" s="1002"/>
      <c r="I3" s="1002"/>
      <c r="J3" s="1002"/>
      <c r="K3" s="1002"/>
      <c r="L3" s="1002"/>
      <c r="Y3" s="1744"/>
      <c r="Z3" s="1708">
        <v>3</v>
      </c>
      <c r="AZ3" s="1678"/>
    </row>
    <row r="4" spans="1:52" s="223" customFormat="1" ht="13.35" customHeight="1">
      <c r="A4" s="243" t="s">
        <v>573</v>
      </c>
      <c r="B4" s="243" t="s">
        <v>2295</v>
      </c>
      <c r="C4" s="144"/>
      <c r="D4" s="144"/>
      <c r="E4" s="144"/>
      <c r="F4" s="144"/>
      <c r="G4" s="144"/>
      <c r="L4" s="2832" t="str">
        <f>'Part I-Project Identification'!$A$6</f>
        <v>Sept 20, 2022 Core Application - 4% Only</v>
      </c>
      <c r="M4" s="2833"/>
      <c r="N4" s="2833"/>
      <c r="O4" s="2833"/>
      <c r="P4" s="2834"/>
      <c r="S4" s="258" t="str">
        <f>B4</f>
        <v>GOVERNMENT FUNDING SOURCES  (check all that apply)</v>
      </c>
      <c r="Y4" s="1744"/>
      <c r="Z4" s="1708">
        <v>4</v>
      </c>
      <c r="AZ4" s="1678"/>
    </row>
    <row r="5" spans="1:52" s="223" customFormat="1" ht="15.75" customHeight="1">
      <c r="A5" s="253"/>
      <c r="B5" s="375"/>
      <c r="C5" s="253"/>
      <c r="D5" s="144"/>
      <c r="E5" s="144"/>
      <c r="F5" s="144"/>
      <c r="G5" s="144"/>
      <c r="S5" s="2778" t="s">
        <v>2449</v>
      </c>
      <c r="T5" s="2778"/>
      <c r="Y5" s="1744"/>
      <c r="Z5" s="1708">
        <v>5</v>
      </c>
      <c r="AZ5" s="1678"/>
    </row>
    <row r="6" spans="1:52" s="223" customFormat="1" ht="16.5" customHeight="1">
      <c r="A6" s="375"/>
      <c r="B6" s="1234" t="s">
        <v>2652</v>
      </c>
      <c r="C6" s="224" t="s">
        <v>2220</v>
      </c>
      <c r="D6" s="144"/>
      <c r="E6" s="1234" t="s">
        <v>2655</v>
      </c>
      <c r="F6" s="224" t="s">
        <v>6085</v>
      </c>
      <c r="G6" s="144"/>
      <c r="I6" s="2821"/>
      <c r="J6" s="2822"/>
      <c r="L6" s="1234" t="s">
        <v>2655</v>
      </c>
      <c r="M6" s="224" t="s">
        <v>1438</v>
      </c>
      <c r="Q6" s="1622"/>
      <c r="S6" s="2764"/>
      <c r="T6" s="2765"/>
      <c r="Y6" s="1744"/>
      <c r="Z6" s="1708">
        <v>6</v>
      </c>
      <c r="AZ6" s="1678"/>
    </row>
    <row r="7" spans="1:52" s="223" customFormat="1" ht="16.5" customHeight="1">
      <c r="A7" s="375"/>
      <c r="B7" s="823" t="s">
        <v>2655</v>
      </c>
      <c r="C7" s="224" t="s">
        <v>3882</v>
      </c>
      <c r="D7" s="144"/>
      <c r="E7" s="818" t="s">
        <v>2655</v>
      </c>
      <c r="F7" s="224" t="s">
        <v>6086</v>
      </c>
      <c r="I7" s="2823"/>
      <c r="J7" s="2824"/>
      <c r="L7" s="823" t="s">
        <v>2655</v>
      </c>
      <c r="M7" s="224" t="s">
        <v>514</v>
      </c>
      <c r="P7" s="1622"/>
      <c r="Q7" s="1622"/>
      <c r="S7" s="2725"/>
      <c r="T7" s="2726"/>
      <c r="Y7" s="1744"/>
      <c r="Z7" s="1708">
        <v>7</v>
      </c>
      <c r="AZ7" s="1678"/>
    </row>
    <row r="8" spans="1:52" s="223" customFormat="1" ht="16.5" customHeight="1">
      <c r="A8" s="144"/>
      <c r="B8" s="823" t="s">
        <v>2655</v>
      </c>
      <c r="C8" s="224" t="s">
        <v>6672</v>
      </c>
      <c r="F8" s="223" t="s">
        <v>6675</v>
      </c>
      <c r="H8" s="2835" t="s">
        <v>3069</v>
      </c>
      <c r="I8" s="2836"/>
      <c r="J8" s="2837"/>
      <c r="L8" s="823" t="s">
        <v>2655</v>
      </c>
      <c r="M8" s="224" t="s">
        <v>6677</v>
      </c>
      <c r="P8" s="1622"/>
      <c r="Q8" s="1622"/>
      <c r="S8" s="2725"/>
      <c r="T8" s="2726"/>
      <c r="Y8" s="1744"/>
      <c r="Z8" s="1708">
        <v>8</v>
      </c>
      <c r="AZ8" s="1678"/>
    </row>
    <row r="9" spans="1:52" s="223" customFormat="1" ht="16.5" customHeight="1">
      <c r="A9" s="375"/>
      <c r="B9" s="823" t="s">
        <v>2655</v>
      </c>
      <c r="C9" s="223" t="s">
        <v>3305</v>
      </c>
      <c r="E9" s="1237" t="s">
        <v>2655</v>
      </c>
      <c r="F9" s="2827" t="s">
        <v>6671</v>
      </c>
      <c r="G9" s="2828"/>
      <c r="H9" s="2825"/>
      <c r="I9" s="2825"/>
      <c r="J9" s="2826"/>
      <c r="L9" s="823" t="s">
        <v>2655</v>
      </c>
      <c r="M9" s="224" t="s">
        <v>3883</v>
      </c>
      <c r="Q9" s="1622"/>
      <c r="S9" s="2727"/>
      <c r="T9" s="2728"/>
      <c r="Y9" s="1744"/>
      <c r="Z9" s="1708">
        <v>9</v>
      </c>
      <c r="AZ9" s="1678"/>
    </row>
    <row r="10" spans="1:52" s="223" customFormat="1" ht="16.5" customHeight="1">
      <c r="A10" s="375"/>
      <c r="B10" s="823" t="s">
        <v>2655</v>
      </c>
      <c r="C10" s="224" t="s">
        <v>2395</v>
      </c>
      <c r="F10" s="2829" t="s">
        <v>3773</v>
      </c>
      <c r="G10" s="2830"/>
      <c r="H10" s="2830"/>
      <c r="I10" s="2830"/>
      <c r="J10" s="2831"/>
      <c r="L10" s="823" t="s">
        <v>2655</v>
      </c>
      <c r="M10" s="224" t="s">
        <v>3196</v>
      </c>
      <c r="P10" s="1622"/>
      <c r="Q10" s="1622"/>
      <c r="S10" s="2764"/>
      <c r="T10" s="2765"/>
      <c r="Y10" s="1744"/>
      <c r="Z10" s="1708">
        <v>10</v>
      </c>
      <c r="AZ10" s="1678"/>
    </row>
    <row r="11" spans="1:52" s="223" customFormat="1" ht="16.5" customHeight="1">
      <c r="A11" s="375"/>
      <c r="B11" s="823" t="s">
        <v>2655</v>
      </c>
      <c r="C11" s="224" t="s">
        <v>2396</v>
      </c>
      <c r="E11" s="1237" t="s">
        <v>2655</v>
      </c>
      <c r="F11" s="2825" t="s">
        <v>6673</v>
      </c>
      <c r="G11" s="2825"/>
      <c r="H11" s="2825"/>
      <c r="I11" s="2825"/>
      <c r="J11" s="2826"/>
      <c r="L11" s="823" t="s">
        <v>2655</v>
      </c>
      <c r="M11" s="223" t="s">
        <v>2399</v>
      </c>
      <c r="S11" s="2725"/>
      <c r="T11" s="2726"/>
      <c r="Y11" s="1744"/>
      <c r="Z11" s="1708">
        <v>11</v>
      </c>
      <c r="AZ11" s="1678"/>
    </row>
    <row r="12" spans="1:52" s="223" customFormat="1" ht="16.5" customHeight="1">
      <c r="A12" s="375"/>
      <c r="B12" s="823" t="s">
        <v>2655</v>
      </c>
      <c r="C12" s="224" t="s">
        <v>3197</v>
      </c>
      <c r="F12" s="2818" t="s">
        <v>3774</v>
      </c>
      <c r="G12" s="2819"/>
      <c r="H12" s="2838"/>
      <c r="I12" s="2838"/>
      <c r="J12" s="2839"/>
      <c r="L12" s="823" t="s">
        <v>2655</v>
      </c>
      <c r="M12" s="223" t="s">
        <v>3223</v>
      </c>
      <c r="S12" s="2725"/>
      <c r="T12" s="2726"/>
      <c r="Y12" s="1744"/>
      <c r="Z12" s="1708">
        <v>12</v>
      </c>
      <c r="AZ12" s="1678"/>
    </row>
    <row r="13" spans="1:52" s="223" customFormat="1" ht="16.5" customHeight="1">
      <c r="A13" s="375"/>
      <c r="B13" s="823" t="s">
        <v>2652</v>
      </c>
      <c r="C13" s="224" t="s">
        <v>6674</v>
      </c>
      <c r="E13" s="1234" t="s">
        <v>2655</v>
      </c>
      <c r="F13" s="224" t="s">
        <v>6676</v>
      </c>
      <c r="H13" s="2818" t="s">
        <v>3296</v>
      </c>
      <c r="I13" s="2819"/>
      <c r="J13" s="2820"/>
      <c r="L13" s="823" t="s">
        <v>2655</v>
      </c>
      <c r="M13" s="223" t="s">
        <v>6084</v>
      </c>
      <c r="S13" s="2725"/>
      <c r="T13" s="2726"/>
      <c r="Y13" s="1744"/>
      <c r="Z13" s="1708">
        <v>13</v>
      </c>
      <c r="AZ13" s="1678"/>
    </row>
    <row r="14" spans="1:52" s="223" customFormat="1" ht="16.5" customHeight="1">
      <c r="A14" s="375"/>
      <c r="B14" s="823" t="s">
        <v>2655</v>
      </c>
      <c r="C14" s="223" t="s">
        <v>2398</v>
      </c>
      <c r="E14" s="823" t="s">
        <v>2655</v>
      </c>
      <c r="F14" s="224" t="s">
        <v>3304</v>
      </c>
      <c r="L14" s="823" t="s">
        <v>2652</v>
      </c>
      <c r="M14" s="223" t="s">
        <v>6716</v>
      </c>
      <c r="S14" s="2727"/>
      <c r="T14" s="2728"/>
      <c r="Y14" s="1744"/>
      <c r="Z14" s="1708">
        <v>14</v>
      </c>
      <c r="AZ14" s="1678"/>
    </row>
    <row r="15" spans="1:52" s="223" customFormat="1" ht="16.5" customHeight="1">
      <c r="A15" s="375"/>
      <c r="B15" s="823" t="s">
        <v>2655</v>
      </c>
      <c r="C15" s="223" t="s">
        <v>3222</v>
      </c>
      <c r="E15" s="823" t="s">
        <v>2655</v>
      </c>
      <c r="F15" s="224" t="s">
        <v>6087</v>
      </c>
      <c r="L15" s="823" t="s">
        <v>2655</v>
      </c>
      <c r="M15" s="1623" t="s">
        <v>6088</v>
      </c>
      <c r="Y15" s="1744"/>
      <c r="Z15" s="1708">
        <v>15</v>
      </c>
      <c r="AZ15" s="1678"/>
    </row>
    <row r="16" spans="1:52" s="223" customFormat="1" ht="16.5" customHeight="1">
      <c r="A16" s="375"/>
      <c r="B16" s="818" t="s">
        <v>2655</v>
      </c>
      <c r="C16" s="224" t="s">
        <v>1674</v>
      </c>
      <c r="E16" s="818" t="s">
        <v>2652</v>
      </c>
      <c r="F16" s="224" t="s">
        <v>6507</v>
      </c>
      <c r="I16" s="2840">
        <v>28000000</v>
      </c>
      <c r="J16" s="2841"/>
      <c r="L16" s="818" t="s">
        <v>2655</v>
      </c>
      <c r="M16" s="1623" t="s">
        <v>6083</v>
      </c>
      <c r="Y16" s="1744"/>
      <c r="Z16" s="1708">
        <v>16</v>
      </c>
      <c r="AZ16" s="1678"/>
    </row>
    <row r="17" spans="1:52" s="223" customFormat="1" ht="17.100000000000001" customHeight="1">
      <c r="A17" s="375"/>
      <c r="B17" s="223" t="s">
        <v>3884</v>
      </c>
      <c r="C17" s="144"/>
      <c r="D17" s="144"/>
      <c r="E17" s="144"/>
      <c r="F17" s="144"/>
      <c r="G17" s="144"/>
      <c r="H17" s="144"/>
      <c r="I17" s="144"/>
      <c r="J17" s="144"/>
      <c r="K17" s="144"/>
      <c r="L17" s="144"/>
      <c r="M17" s="142"/>
      <c r="N17" s="144"/>
      <c r="O17" s="144"/>
      <c r="P17" s="144"/>
      <c r="Q17" s="144"/>
      <c r="Y17" s="1744"/>
      <c r="Z17" s="1708">
        <v>17</v>
      </c>
      <c r="AZ17" s="1678"/>
    </row>
    <row r="18" spans="1:52" s="223" customFormat="1" ht="12" customHeight="1">
      <c r="A18" s="375"/>
      <c r="L18" s="144"/>
      <c r="M18" s="145"/>
      <c r="N18" s="144"/>
      <c r="O18" s="144"/>
      <c r="P18" s="144"/>
      <c r="Q18" s="144"/>
      <c r="Y18" s="1745"/>
      <c r="Z18" s="1708">
        <v>18</v>
      </c>
      <c r="AZ18" s="1679"/>
    </row>
    <row r="19" spans="1:52" s="258" customFormat="1" ht="15" customHeight="1">
      <c r="A19" s="243" t="s">
        <v>689</v>
      </c>
      <c r="B19" s="222" t="s">
        <v>2166</v>
      </c>
      <c r="C19" s="144"/>
      <c r="D19" s="144"/>
      <c r="E19" s="144"/>
      <c r="F19" s="144"/>
      <c r="G19" s="144"/>
      <c r="L19" s="144"/>
      <c r="M19" s="144"/>
      <c r="N19" s="2773"/>
      <c r="O19" s="2773"/>
      <c r="P19" s="144"/>
      <c r="Q19" s="144"/>
      <c r="S19" s="258" t="str">
        <f>B19</f>
        <v>CONSTRUCTION FINANCING</v>
      </c>
      <c r="Y19" s="1745"/>
      <c r="Z19" s="1708">
        <v>19</v>
      </c>
      <c r="AZ19" s="1679"/>
    </row>
    <row r="20" spans="1:52" s="258" customFormat="1" ht="5.25" customHeight="1">
      <c r="A20" s="243"/>
      <c r="B20" s="222"/>
      <c r="C20" s="144"/>
      <c r="K20" s="144"/>
      <c r="L20" s="144"/>
      <c r="M20" s="144"/>
      <c r="N20" s="248"/>
      <c r="O20" s="248"/>
      <c r="P20" s="144"/>
      <c r="Q20" s="144"/>
      <c r="Y20" s="1745"/>
      <c r="Z20" s="1708">
        <v>20</v>
      </c>
      <c r="AZ20" s="1678"/>
    </row>
    <row r="21" spans="1:52" s="223" customFormat="1" ht="17.100000000000001" customHeight="1">
      <c r="A21" s="144"/>
      <c r="B21" s="246" t="s">
        <v>1734</v>
      </c>
      <c r="C21" s="144"/>
      <c r="D21" s="144"/>
      <c r="E21" s="144"/>
      <c r="F21" s="144"/>
      <c r="G21" s="144"/>
      <c r="H21" s="2842" t="s">
        <v>1221</v>
      </c>
      <c r="I21" s="2842"/>
      <c r="J21" s="2842"/>
      <c r="K21" s="2842"/>
      <c r="L21" s="2777" t="s">
        <v>3850</v>
      </c>
      <c r="M21" s="2777"/>
      <c r="N21" s="2777" t="s">
        <v>1411</v>
      </c>
      <c r="O21" s="2777"/>
      <c r="P21" s="2777" t="s">
        <v>1524</v>
      </c>
      <c r="Q21" s="2777"/>
      <c r="S21" s="2778" t="s">
        <v>2449</v>
      </c>
      <c r="T21" s="2778"/>
      <c r="Y21" s="1744"/>
      <c r="Z21" s="1708">
        <v>21</v>
      </c>
      <c r="AZ21" s="1678" t="s">
        <v>6349</v>
      </c>
    </row>
    <row r="22" spans="1:52" s="223" customFormat="1" ht="15.75" customHeight="1">
      <c r="A22" s="144"/>
      <c r="B22" s="2781" t="s">
        <v>1487</v>
      </c>
      <c r="C22" s="2782"/>
      <c r="D22" s="2782"/>
      <c r="E22" s="821"/>
      <c r="F22" s="821"/>
      <c r="G22" s="821"/>
      <c r="H22" s="2750" t="s">
        <v>6994</v>
      </c>
      <c r="I22" s="2751"/>
      <c r="J22" s="2751"/>
      <c r="K22" s="2752"/>
      <c r="L22" s="2800">
        <v>24830535</v>
      </c>
      <c r="M22" s="2801"/>
      <c r="N22" s="2802">
        <v>7.7499999999999999E-2</v>
      </c>
      <c r="O22" s="2803"/>
      <c r="P22" s="2804">
        <v>24</v>
      </c>
      <c r="Q22" s="2805"/>
      <c r="S22" s="2764"/>
      <c r="T22" s="2765"/>
      <c r="Y22" s="1744" t="s">
        <v>6349</v>
      </c>
      <c r="Z22" s="1708">
        <v>22</v>
      </c>
      <c r="AZ22" s="1678" t="s">
        <v>6350</v>
      </c>
    </row>
    <row r="23" spans="1:52" s="223" customFormat="1" ht="15.75" customHeight="1">
      <c r="A23" s="144"/>
      <c r="B23" s="2766" t="s">
        <v>1488</v>
      </c>
      <c r="C23" s="2767"/>
      <c r="D23" s="2767"/>
      <c r="E23" s="144"/>
      <c r="F23" s="144"/>
      <c r="G23" s="144"/>
      <c r="H23" s="2712"/>
      <c r="I23" s="2713"/>
      <c r="J23" s="2713"/>
      <c r="K23" s="2714"/>
      <c r="L23" s="2788"/>
      <c r="M23" s="2789"/>
      <c r="N23" s="2811"/>
      <c r="O23" s="2812"/>
      <c r="P23" s="2813"/>
      <c r="Q23" s="2814"/>
      <c r="S23" s="2725"/>
      <c r="T23" s="2726"/>
      <c r="Y23" s="1744" t="s">
        <v>6350</v>
      </c>
      <c r="Z23" s="1708">
        <v>23</v>
      </c>
      <c r="AZ23" s="1678" t="s">
        <v>6351</v>
      </c>
    </row>
    <row r="24" spans="1:52" s="223" customFormat="1" ht="15.75" customHeight="1">
      <c r="A24" s="144"/>
      <c r="B24" s="2815" t="s">
        <v>1489</v>
      </c>
      <c r="C24" s="2816"/>
      <c r="D24" s="2816"/>
      <c r="E24" s="826"/>
      <c r="F24" s="826"/>
      <c r="G24" s="826"/>
      <c r="H24" s="2730"/>
      <c r="I24" s="2731"/>
      <c r="J24" s="2731"/>
      <c r="K24" s="2732"/>
      <c r="L24" s="2792"/>
      <c r="M24" s="2793"/>
      <c r="N24" s="2843"/>
      <c r="O24" s="2844"/>
      <c r="P24" s="2845"/>
      <c r="Q24" s="2846"/>
      <c r="S24" s="2725"/>
      <c r="T24" s="2726"/>
      <c r="Y24" s="1744" t="s">
        <v>6351</v>
      </c>
      <c r="Z24" s="1708">
        <v>24</v>
      </c>
      <c r="AZ24" s="1678" t="s">
        <v>6352</v>
      </c>
    </row>
    <row r="25" spans="1:52" s="223" customFormat="1" ht="15.75" customHeight="1">
      <c r="A25" s="144"/>
      <c r="B25" s="2781" t="s">
        <v>2048</v>
      </c>
      <c r="C25" s="2782"/>
      <c r="D25" s="2782"/>
      <c r="E25" s="144"/>
      <c r="F25" s="144"/>
      <c r="G25" s="144"/>
      <c r="H25" s="2806"/>
      <c r="I25" s="2807"/>
      <c r="J25" s="2807"/>
      <c r="K25" s="2808"/>
      <c r="L25" s="2809"/>
      <c r="M25" s="2810"/>
      <c r="N25" s="2790"/>
      <c r="O25" s="2791"/>
      <c r="P25" s="2773"/>
      <c r="Q25" s="2773"/>
      <c r="S25" s="2725"/>
      <c r="T25" s="2726"/>
      <c r="Y25" s="1744" t="s">
        <v>6352</v>
      </c>
      <c r="Z25" s="1708">
        <v>25</v>
      </c>
      <c r="AZ25" s="1678" t="s">
        <v>6353</v>
      </c>
    </row>
    <row r="26" spans="1:52" s="223" customFormat="1" ht="15.75" customHeight="1">
      <c r="A26" s="144"/>
      <c r="B26" s="2766" t="s">
        <v>745</v>
      </c>
      <c r="C26" s="2767"/>
      <c r="D26" s="2767"/>
      <c r="E26" s="144"/>
      <c r="H26" s="2712"/>
      <c r="I26" s="2713"/>
      <c r="J26" s="2713"/>
      <c r="K26" s="2714"/>
      <c r="L26" s="2788"/>
      <c r="M26" s="2789"/>
      <c r="N26" s="2790"/>
      <c r="O26" s="2791"/>
      <c r="P26" s="2773"/>
      <c r="Q26" s="2773"/>
      <c r="S26" s="2725"/>
      <c r="T26" s="2726"/>
      <c r="Y26" s="1744" t="s">
        <v>6353</v>
      </c>
      <c r="Z26" s="1708">
        <v>26</v>
      </c>
      <c r="AZ26" s="1678" t="s">
        <v>6354</v>
      </c>
    </row>
    <row r="27" spans="1:52" s="223" customFormat="1" ht="15.75" customHeight="1">
      <c r="A27" s="144"/>
      <c r="B27" s="2766" t="s">
        <v>595</v>
      </c>
      <c r="C27" s="2767"/>
      <c r="D27" s="2767"/>
      <c r="E27" s="144"/>
      <c r="H27" s="2712"/>
      <c r="I27" s="2713"/>
      <c r="J27" s="2713"/>
      <c r="K27" s="2714"/>
      <c r="L27" s="2788"/>
      <c r="M27" s="2789"/>
      <c r="N27" s="2790"/>
      <c r="O27" s="2791"/>
      <c r="P27" s="2773"/>
      <c r="Q27" s="2773"/>
      <c r="S27" s="2725"/>
      <c r="T27" s="2726"/>
      <c r="Y27" s="1744" t="s">
        <v>6354</v>
      </c>
      <c r="Z27" s="1708">
        <v>27</v>
      </c>
      <c r="AZ27" s="1678" t="s">
        <v>6355</v>
      </c>
    </row>
    <row r="28" spans="1:52" s="223" customFormat="1" ht="15.75" customHeight="1">
      <c r="A28" s="144"/>
      <c r="B28" s="2766" t="s">
        <v>746</v>
      </c>
      <c r="C28" s="2767"/>
      <c r="D28" s="2767"/>
      <c r="E28" s="144"/>
      <c r="H28" s="2712" t="s">
        <v>6928</v>
      </c>
      <c r="I28" s="2713"/>
      <c r="J28" s="2713"/>
      <c r="K28" s="2714"/>
      <c r="L28" s="2788">
        <v>4163254</v>
      </c>
      <c r="M28" s="2789"/>
      <c r="N28" s="144"/>
      <c r="Q28" s="144"/>
      <c r="S28" s="2727"/>
      <c r="T28" s="2728"/>
      <c r="Y28" s="1744" t="s">
        <v>6355</v>
      </c>
      <c r="Z28" s="1708">
        <v>28</v>
      </c>
      <c r="AZ28" s="1678" t="s">
        <v>6356</v>
      </c>
    </row>
    <row r="29" spans="1:52" s="223" customFormat="1" ht="15.75" customHeight="1">
      <c r="A29" s="144"/>
      <c r="B29" s="2766" t="s">
        <v>747</v>
      </c>
      <c r="C29" s="2767"/>
      <c r="D29" s="2767"/>
      <c r="E29" s="144"/>
      <c r="H29" s="2712" t="s">
        <v>6928</v>
      </c>
      <c r="I29" s="2713"/>
      <c r="J29" s="2713"/>
      <c r="K29" s="2714"/>
      <c r="L29" s="2788">
        <v>3591166</v>
      </c>
      <c r="M29" s="2789"/>
      <c r="N29" s="144"/>
      <c r="Q29" s="144"/>
      <c r="S29" s="2764"/>
      <c r="T29" s="2765"/>
      <c r="Y29" s="1744" t="s">
        <v>6356</v>
      </c>
      <c r="Z29" s="1708">
        <v>29</v>
      </c>
      <c r="AZ29" s="1678" t="s">
        <v>6357</v>
      </c>
    </row>
    <row r="30" spans="1:52" s="223" customFormat="1" ht="15.75" customHeight="1">
      <c r="A30" s="144"/>
      <c r="B30" s="820" t="s">
        <v>232</v>
      </c>
      <c r="C30" s="144"/>
      <c r="D30" s="2740"/>
      <c r="E30" s="2740"/>
      <c r="F30" s="2740"/>
      <c r="G30" s="2740"/>
      <c r="H30" s="2712"/>
      <c r="I30" s="2713"/>
      <c r="J30" s="2713"/>
      <c r="K30" s="2714"/>
      <c r="L30" s="2788"/>
      <c r="M30" s="2789"/>
      <c r="N30" s="144"/>
      <c r="Q30" s="144"/>
      <c r="S30" s="2725"/>
      <c r="T30" s="2726"/>
      <c r="Y30" s="1744" t="s">
        <v>6357</v>
      </c>
      <c r="Z30" s="1708">
        <v>30</v>
      </c>
      <c r="AZ30" s="1678" t="s">
        <v>6358</v>
      </c>
    </row>
    <row r="31" spans="1:52" s="223" customFormat="1" ht="15.75" customHeight="1">
      <c r="A31" s="144"/>
      <c r="B31" s="820" t="s">
        <v>232</v>
      </c>
      <c r="C31" s="144"/>
      <c r="D31" s="2741"/>
      <c r="E31" s="2741"/>
      <c r="F31" s="2741"/>
      <c r="G31" s="2741"/>
      <c r="H31" s="2712"/>
      <c r="I31" s="2713"/>
      <c r="J31" s="2713"/>
      <c r="K31" s="2714"/>
      <c r="L31" s="2788"/>
      <c r="M31" s="2789"/>
      <c r="N31" s="144"/>
      <c r="S31" s="2725"/>
      <c r="T31" s="2726"/>
      <c r="Y31" s="1744" t="s">
        <v>6358</v>
      </c>
      <c r="Z31" s="1708">
        <v>31</v>
      </c>
      <c r="AZ31" s="1678" t="s">
        <v>6359</v>
      </c>
    </row>
    <row r="32" spans="1:52" s="223" customFormat="1" ht="15.75" customHeight="1">
      <c r="A32" s="144"/>
      <c r="B32" s="825" t="s">
        <v>232</v>
      </c>
      <c r="C32" s="826"/>
      <c r="D32" s="2729"/>
      <c r="E32" s="2729"/>
      <c r="F32" s="2729"/>
      <c r="G32" s="2729"/>
      <c r="H32" s="2730"/>
      <c r="I32" s="2731"/>
      <c r="J32" s="2731"/>
      <c r="K32" s="2732"/>
      <c r="L32" s="2792"/>
      <c r="M32" s="2793"/>
      <c r="N32" s="144"/>
      <c r="S32" s="2725"/>
      <c r="T32" s="2726"/>
      <c r="Y32" s="1744" t="s">
        <v>6359</v>
      </c>
      <c r="Z32" s="1708">
        <v>32</v>
      </c>
      <c r="AZ32" s="1678"/>
    </row>
    <row r="33" spans="1:52" s="223" customFormat="1" ht="16.5" customHeight="1">
      <c r="A33" s="144"/>
      <c r="B33" s="222" t="s">
        <v>1222</v>
      </c>
      <c r="C33" s="144"/>
      <c r="D33" s="144"/>
      <c r="E33" s="144"/>
      <c r="F33" s="144"/>
      <c r="G33" s="144"/>
      <c r="H33" s="144"/>
      <c r="I33" s="144"/>
      <c r="L33" s="2794">
        <f>SUM(L22:L32)</f>
        <v>32584955</v>
      </c>
      <c r="M33" s="2795"/>
      <c r="N33" s="145"/>
      <c r="S33" s="2725"/>
      <c r="T33" s="2726"/>
      <c r="Y33" s="1744"/>
      <c r="Z33" s="1708">
        <v>33</v>
      </c>
      <c r="AZ33" s="1678"/>
    </row>
    <row r="34" spans="1:52" s="223" customFormat="1" ht="16.5" customHeight="1">
      <c r="A34" s="144"/>
      <c r="B34" s="246" t="s">
        <v>1223</v>
      </c>
      <c r="C34" s="144"/>
      <c r="D34" s="144"/>
      <c r="E34" s="144"/>
      <c r="F34" s="144"/>
      <c r="G34" s="144"/>
      <c r="H34" s="144"/>
      <c r="I34" s="144"/>
      <c r="L34" s="2796">
        <f>'Part III-A-Uses of Funds'!$G$146-'Part III-A-Uses of Funds'!$G$103-'Part III-A-Uses of Funds'!$G$109-'Part III-A-Uses of Funds'!$G$130-'Part III-A-Uses of Funds'!$G$131-'Part III-A-Uses of Funds'!$G$132-'Part III-A-Uses of Funds'!$G$127+'Part III-A-Uses of Funds'!$F$123</f>
        <v>32584955</v>
      </c>
      <c r="M34" s="2797"/>
      <c r="N34" s="657"/>
      <c r="S34" s="2725"/>
      <c r="T34" s="2726"/>
      <c r="Y34" s="1744"/>
      <c r="Z34" s="1708">
        <v>34</v>
      </c>
      <c r="AZ34" s="1678"/>
    </row>
    <row r="35" spans="1:52" s="223" customFormat="1" ht="16.5" customHeight="1">
      <c r="A35" s="144"/>
      <c r="B35" s="246" t="s">
        <v>2003</v>
      </c>
      <c r="C35" s="144"/>
      <c r="D35" s="144"/>
      <c r="E35" s="144"/>
      <c r="F35" s="144"/>
      <c r="G35" s="144"/>
      <c r="H35" s="144"/>
      <c r="I35" s="144"/>
      <c r="L35" s="2798">
        <f>L33-L34</f>
        <v>0</v>
      </c>
      <c r="M35" s="2799"/>
      <c r="N35" s="657"/>
      <c r="S35" s="2727"/>
      <c r="T35" s="2728"/>
      <c r="Y35" s="1744"/>
      <c r="Z35" s="1708">
        <v>35</v>
      </c>
      <c r="AZ35" s="1677"/>
    </row>
    <row r="36" spans="1:52" ht="9.6" customHeight="1">
      <c r="A36" s="253"/>
      <c r="B36" s="222"/>
      <c r="C36" s="145"/>
      <c r="D36" s="145"/>
      <c r="E36" s="145"/>
      <c r="F36" s="145"/>
      <c r="G36" s="145"/>
      <c r="H36" s="145"/>
      <c r="I36" s="145"/>
      <c r="J36" s="145"/>
      <c r="K36" s="145"/>
      <c r="L36" s="145"/>
      <c r="M36" s="248"/>
      <c r="N36" s="248"/>
      <c r="Z36" s="1708">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8">
        <v>37</v>
      </c>
      <c r="AZ37" s="1678"/>
    </row>
    <row r="38" spans="1:52" s="223" customFormat="1" ht="13.35" customHeight="1">
      <c r="A38" s="144"/>
      <c r="B38" s="144"/>
      <c r="C38" s="144"/>
      <c r="D38" s="144"/>
      <c r="E38" s="144"/>
      <c r="F38" s="248"/>
      <c r="G38" s="248"/>
      <c r="H38" s="2773"/>
      <c r="I38" s="2773"/>
      <c r="K38" s="252" t="s">
        <v>1949</v>
      </c>
      <c r="L38" s="248" t="s">
        <v>1219</v>
      </c>
      <c r="M38" s="248" t="s">
        <v>1224</v>
      </c>
      <c r="P38" s="2774" t="s">
        <v>31</v>
      </c>
      <c r="Q38" s="2774"/>
      <c r="S38" s="258"/>
      <c r="Y38" s="1744"/>
      <c r="Z38" s="1708">
        <v>38</v>
      </c>
      <c r="AZ38" s="1678"/>
    </row>
    <row r="39" spans="1:52" s="223" customFormat="1" ht="13.35" customHeight="1">
      <c r="A39" s="144"/>
      <c r="B39" s="827" t="s">
        <v>1734</v>
      </c>
      <c r="C39" s="826"/>
      <c r="D39" s="826"/>
      <c r="E39" s="2776" t="s">
        <v>1221</v>
      </c>
      <c r="F39" s="2776"/>
      <c r="G39" s="2776"/>
      <c r="H39" s="2776"/>
      <c r="I39" s="2777" t="s">
        <v>3849</v>
      </c>
      <c r="J39" s="2777"/>
      <c r="K39" s="446" t="s">
        <v>1676</v>
      </c>
      <c r="L39" s="446" t="s">
        <v>2047</v>
      </c>
      <c r="M39" s="446" t="s">
        <v>2047</v>
      </c>
      <c r="N39" s="2777" t="s">
        <v>69</v>
      </c>
      <c r="O39" s="2777"/>
      <c r="P39" s="2775"/>
      <c r="Q39" s="2775"/>
      <c r="S39" s="2778" t="s">
        <v>2449</v>
      </c>
      <c r="T39" s="2778"/>
      <c r="Y39" s="1744"/>
      <c r="Z39" s="1708">
        <v>39</v>
      </c>
      <c r="AZ39" s="1678" t="s">
        <v>6360</v>
      </c>
    </row>
    <row r="40" spans="1:52" s="223" customFormat="1" ht="15" customHeight="1">
      <c r="A40" s="144"/>
      <c r="B40" s="2781" t="s">
        <v>2403</v>
      </c>
      <c r="C40" s="2782"/>
      <c r="D40" s="2782"/>
      <c r="E40" s="2750" t="s">
        <v>6995</v>
      </c>
      <c r="F40" s="2751"/>
      <c r="G40" s="2751"/>
      <c r="H40" s="2752"/>
      <c r="I40" s="2745">
        <v>10500000</v>
      </c>
      <c r="J40" s="2746"/>
      <c r="K40" s="654">
        <v>6.2050000000000001E-2</v>
      </c>
      <c r="L40" s="822">
        <v>17</v>
      </c>
      <c r="M40" s="822">
        <v>40</v>
      </c>
      <c r="N40" s="2783" t="s">
        <v>6929</v>
      </c>
      <c r="O40" s="2783"/>
      <c r="P40" s="2744">
        <f>IF(OR(I40&lt;=0,I40=""),"",IF(N40="Cash Flow",0,IF(N40="Amortizing",-PMT(K40/12,M40*12,I40,0,0)*12,"")))</f>
        <v>711358.87799951679</v>
      </c>
      <c r="Q40" s="2744"/>
      <c r="S40" s="2764"/>
      <c r="T40" s="2765"/>
      <c r="Y40" s="1744" t="s">
        <v>6360</v>
      </c>
      <c r="Z40" s="1708">
        <v>40</v>
      </c>
      <c r="AZ40" s="1678" t="s">
        <v>6361</v>
      </c>
    </row>
    <row r="41" spans="1:52" s="223" customFormat="1" ht="15" customHeight="1">
      <c r="A41" s="144"/>
      <c r="B41" s="2766" t="s">
        <v>2404</v>
      </c>
      <c r="C41" s="2767"/>
      <c r="D41" s="2767"/>
      <c r="E41" s="2712"/>
      <c r="F41" s="2713"/>
      <c r="G41" s="2713"/>
      <c r="H41" s="2714"/>
      <c r="I41" s="2715"/>
      <c r="J41" s="2761"/>
      <c r="K41" s="655"/>
      <c r="L41" s="823"/>
      <c r="M41" s="823"/>
      <c r="N41" s="2779"/>
      <c r="O41" s="2779"/>
      <c r="P41" s="2780" t="str">
        <f>IF(OR(I41&lt;=0,I41=""),"",IF(N41="Cash Flow",0,IF(N41="Amortizing",-PMT(K41/12,M41*12,I41,0,0)*12,"")))</f>
        <v/>
      </c>
      <c r="Q41" s="2780"/>
      <c r="S41" s="2725"/>
      <c r="T41" s="2726"/>
      <c r="Y41" s="1744" t="s">
        <v>6361</v>
      </c>
      <c r="Z41" s="1708">
        <v>41</v>
      </c>
      <c r="AZ41" s="1678" t="s">
        <v>6362</v>
      </c>
    </row>
    <row r="42" spans="1:52" s="223" customFormat="1" ht="15" customHeight="1">
      <c r="A42" s="144"/>
      <c r="B42" s="2766" t="s">
        <v>2405</v>
      </c>
      <c r="C42" s="2767"/>
      <c r="D42" s="2767"/>
      <c r="E42" s="2712"/>
      <c r="F42" s="2713"/>
      <c r="G42" s="2713"/>
      <c r="H42" s="2714"/>
      <c r="I42" s="2715"/>
      <c r="J42" s="2761"/>
      <c r="K42" s="655"/>
      <c r="L42" s="823"/>
      <c r="M42" s="823"/>
      <c r="N42" s="2779"/>
      <c r="O42" s="2779"/>
      <c r="P42" s="2780" t="str">
        <f>IF(OR(I42&lt;=0,I42=""),"",IF(N42="Cash Flow",0,IF(N42="Amortizing",-PMT(K42/12,M42*12,I42,0,0)*12,"")))</f>
        <v/>
      </c>
      <c r="Q42" s="2780"/>
      <c r="S42" s="2725"/>
      <c r="T42" s="2726"/>
      <c r="Y42" s="1744" t="s">
        <v>6362</v>
      </c>
      <c r="Z42" s="1708">
        <v>42</v>
      </c>
      <c r="AZ42" s="1678" t="s">
        <v>6363</v>
      </c>
    </row>
    <row r="43" spans="1:52" s="223" customFormat="1" ht="15" customHeight="1">
      <c r="A43" s="144"/>
      <c r="B43" s="820" t="s">
        <v>690</v>
      </c>
      <c r="C43" s="2755"/>
      <c r="D43" s="2756"/>
      <c r="E43" s="2712"/>
      <c r="F43" s="2713"/>
      <c r="G43" s="2713"/>
      <c r="H43" s="2714"/>
      <c r="I43" s="2757"/>
      <c r="J43" s="2758"/>
      <c r="K43" s="656"/>
      <c r="L43" s="818"/>
      <c r="M43" s="818"/>
      <c r="N43" s="2760"/>
      <c r="O43" s="2760"/>
      <c r="P43" s="2759" t="str">
        <f>IF(OR(I43&lt;=0,I43=""),"",IF(N43="Cash Flow",0,IF(N43="Amortizing",-PMT(K43/12,M43*12,I43,0,0)*12,"")))</f>
        <v/>
      </c>
      <c r="Q43" s="2759"/>
      <c r="S43" s="2725"/>
      <c r="T43" s="2726"/>
      <c r="Y43" s="1744" t="s">
        <v>6363</v>
      </c>
      <c r="Z43" s="1708">
        <v>43</v>
      </c>
      <c r="AZ43" s="1678" t="s">
        <v>6364</v>
      </c>
    </row>
    <row r="44" spans="1:52" s="223" customFormat="1" ht="15" customHeight="1">
      <c r="A44" s="144"/>
      <c r="B44" s="820" t="s">
        <v>3949</v>
      </c>
      <c r="C44" s="144"/>
      <c r="D44" s="824"/>
      <c r="E44" s="2712"/>
      <c r="F44" s="2713"/>
      <c r="G44" s="2713"/>
      <c r="H44" s="2714"/>
      <c r="I44" s="2715"/>
      <c r="J44" s="2761"/>
      <c r="K44" s="364"/>
      <c r="L44" s="819"/>
      <c r="M44" s="819"/>
      <c r="N44" s="2763"/>
      <c r="O44" s="2763"/>
      <c r="P44" s="2762"/>
      <c r="Q44" s="2762"/>
      <c r="S44" s="2725"/>
      <c r="T44" s="2726"/>
      <c r="Y44" s="1744" t="s">
        <v>6364</v>
      </c>
      <c r="Z44" s="1708">
        <v>44</v>
      </c>
      <c r="AZ44" s="1678" t="s">
        <v>6365</v>
      </c>
    </row>
    <row r="45" spans="1:52" s="223" customFormat="1" ht="15" customHeight="1">
      <c r="A45" s="144"/>
      <c r="B45" s="825" t="s">
        <v>220</v>
      </c>
      <c r="C45" s="826"/>
      <c r="D45" s="300" t="str">
        <f>IF(OR(I45="",I45=0,'Part III-A-Uses of Funds'!$G$127="",'Part III-A-Uses of Funds'!$G$127=0),"",I45/'Part III-A-Uses of Funds'!$G$127)</f>
        <v/>
      </c>
      <c r="E45" s="2730"/>
      <c r="F45" s="2731"/>
      <c r="G45" s="2731"/>
      <c r="H45" s="2732"/>
      <c r="I45" s="2784"/>
      <c r="J45" s="2785"/>
      <c r="K45" s="653"/>
      <c r="L45" s="652"/>
      <c r="M45" s="652"/>
      <c r="N45" s="2601"/>
      <c r="O45" s="2602"/>
      <c r="P45" s="2786" t="str">
        <f>IF(OR(I45&lt;=0,I45=""),"",IF(N45="Cash Flow",0,IF(N45="Amortizing",-PMT(K45/12,M45*12,I45,0,0)*12,"")))</f>
        <v/>
      </c>
      <c r="Q45" s="2787"/>
      <c r="S45" s="2725"/>
      <c r="T45" s="2726"/>
      <c r="Y45" s="1744" t="s">
        <v>6365</v>
      </c>
      <c r="Z45" s="1708">
        <v>45</v>
      </c>
      <c r="AZ45" s="1678"/>
    </row>
    <row r="46" spans="1:52" s="223" customFormat="1" ht="3" customHeight="1">
      <c r="A46" s="144"/>
      <c r="B46" s="144"/>
      <c r="C46" s="144"/>
      <c r="D46" s="144"/>
      <c r="E46" s="144"/>
      <c r="F46" s="144"/>
      <c r="G46" s="144"/>
      <c r="H46" s="144"/>
      <c r="I46" s="969"/>
      <c r="J46" s="970"/>
      <c r="K46" s="840"/>
      <c r="L46" s="262"/>
      <c r="M46" s="262"/>
      <c r="N46" s="841"/>
      <c r="O46" s="841"/>
      <c r="P46" s="262"/>
      <c r="Q46" s="262"/>
      <c r="S46" s="2725"/>
      <c r="T46" s="2726"/>
      <c r="Y46" s="1744"/>
      <c r="Z46" s="1708">
        <v>46</v>
      </c>
      <c r="AZ46" s="1678"/>
    </row>
    <row r="47" spans="1:52" s="223" customFormat="1" ht="15" customHeight="1">
      <c r="A47" s="144"/>
      <c r="B47" s="223" t="s">
        <v>3410</v>
      </c>
      <c r="C47" s="144"/>
      <c r="E47" s="223" t="s">
        <v>3368</v>
      </c>
      <c r="F47" s="2719" t="str">
        <f>IF(OR($I$45="",$I$45=0,'Part VI-Pro Forma'!$S$35=0,'Part VI-Pro Forma'!$S$35=""),"",VLOOKUP($L$45,'Part VI-Pro Forma'!$Q$21:$S$40,3))</f>
        <v/>
      </c>
      <c r="G47" s="2720"/>
      <c r="H47" s="485" t="s">
        <v>3409</v>
      </c>
      <c r="I47" s="2719" t="str">
        <f>IF(OR($I$45="",$I$45=0,'Part VI-Pro Forma'!$R$35=0,'Part VI-Pro Forma'!$R$35=""),"",VLOOKUP($L$45,'Part VI-Pro Forma'!$Q$21:$S$35,2))</f>
        <v/>
      </c>
      <c r="J47" s="2720"/>
      <c r="K47" s="485" t="s">
        <v>3411</v>
      </c>
      <c r="L47" s="2742" t="str">
        <f>IF(OR($F$47 = 0,$F$47 =""),"",$I$47/$F$47)</f>
        <v/>
      </c>
      <c r="M47" s="2743"/>
      <c r="N47" s="2723" t="s">
        <v>3853</v>
      </c>
      <c r="O47" s="2724"/>
      <c r="P47" s="2721">
        <f>IF(OR($I$62=0,$I$60&gt;$I$61),0,ABS($I$60-$I$61))</f>
        <v>0</v>
      </c>
      <c r="Q47" s="2722"/>
      <c r="S47" s="2725"/>
      <c r="T47" s="2726"/>
      <c r="Y47" s="1744"/>
      <c r="Z47" s="1708">
        <v>47</v>
      </c>
      <c r="AZ47" s="1678"/>
    </row>
    <row r="48" spans="1:52" s="223" customFormat="1" ht="3" customHeight="1">
      <c r="A48" s="144"/>
      <c r="B48" s="144"/>
      <c r="C48" s="144"/>
      <c r="D48" s="144"/>
      <c r="E48" s="144"/>
      <c r="F48" s="144"/>
      <c r="G48" s="144"/>
      <c r="H48" s="144"/>
      <c r="I48" s="842"/>
      <c r="J48" s="843"/>
      <c r="K48" s="840"/>
      <c r="L48" s="262"/>
      <c r="M48" s="262"/>
      <c r="N48" s="841"/>
      <c r="O48" s="841"/>
      <c r="P48" s="262"/>
      <c r="Q48" s="262"/>
      <c r="S48" s="2727"/>
      <c r="T48" s="2728"/>
      <c r="Y48" s="1744"/>
      <c r="Z48" s="1708">
        <v>48</v>
      </c>
      <c r="AZ48" s="1678" t="s">
        <v>6366</v>
      </c>
    </row>
    <row r="49" spans="1:52" s="223" customFormat="1" ht="15" customHeight="1">
      <c r="A49" s="144"/>
      <c r="B49" s="2747" t="s">
        <v>2048</v>
      </c>
      <c r="C49" s="2748"/>
      <c r="D49" s="2749"/>
      <c r="E49" s="2750"/>
      <c r="F49" s="2751"/>
      <c r="G49" s="2751"/>
      <c r="H49" s="2752"/>
      <c r="I49" s="2753"/>
      <c r="J49" s="2754"/>
      <c r="K49" s="144"/>
      <c r="L49" s="144"/>
      <c r="M49" s="144"/>
      <c r="N49" s="144"/>
      <c r="O49" s="144"/>
      <c r="P49" s="248" t="s">
        <v>483</v>
      </c>
      <c r="Q49" s="144"/>
      <c r="S49" s="2764"/>
      <c r="T49" s="2765"/>
      <c r="Y49" s="1744" t="s">
        <v>6366</v>
      </c>
      <c r="Z49" s="1708">
        <v>49</v>
      </c>
      <c r="AZ49" s="1678" t="s">
        <v>6367</v>
      </c>
    </row>
    <row r="50" spans="1:52" s="223" customFormat="1" ht="15" customHeight="1">
      <c r="A50" s="144"/>
      <c r="B50" s="2766" t="s">
        <v>745</v>
      </c>
      <c r="C50" s="2767"/>
      <c r="D50" s="2768"/>
      <c r="E50" s="2712"/>
      <c r="F50" s="2713"/>
      <c r="G50" s="2713"/>
      <c r="H50" s="2714"/>
      <c r="I50" s="2715"/>
      <c r="J50" s="2761"/>
      <c r="L50" s="2769" t="s">
        <v>484</v>
      </c>
      <c r="M50" s="2769"/>
      <c r="N50" s="2770" t="s">
        <v>485</v>
      </c>
      <c r="O50" s="2770"/>
      <c r="P50" s="313" t="s">
        <v>2358</v>
      </c>
      <c r="Q50" s="144"/>
      <c r="S50" s="2725"/>
      <c r="T50" s="2726"/>
      <c r="Y50" s="1744" t="s">
        <v>6367</v>
      </c>
      <c r="Z50" s="1708">
        <v>50</v>
      </c>
      <c r="AZ50" s="1678" t="s">
        <v>6368</v>
      </c>
    </row>
    <row r="51" spans="1:52" s="223" customFormat="1" ht="15" customHeight="1">
      <c r="A51" s="144"/>
      <c r="B51" s="2766" t="s">
        <v>746</v>
      </c>
      <c r="C51" s="2767"/>
      <c r="D51" s="2768"/>
      <c r="E51" s="2712" t="s">
        <v>6928</v>
      </c>
      <c r="F51" s="2713"/>
      <c r="G51" s="2713"/>
      <c r="H51" s="2714"/>
      <c r="I51" s="2715">
        <v>13877516</v>
      </c>
      <c r="J51" s="2715"/>
      <c r="L51" s="2771">
        <f>'Part III-A-Uses of Funds'!$J$191*10*'Part III-A-Uses of Funds'!$N$182</f>
        <v>13878904</v>
      </c>
      <c r="M51" s="2771"/>
      <c r="N51" s="2772">
        <f>I51-L51</f>
        <v>-1388</v>
      </c>
      <c r="O51" s="2772"/>
      <c r="P51" s="324">
        <f>I51/I61</f>
        <v>0.38179511644510655</v>
      </c>
      <c r="Q51" s="144"/>
      <c r="S51" s="2725"/>
      <c r="T51" s="2726"/>
      <c r="Y51" s="1744" t="s">
        <v>6368</v>
      </c>
      <c r="Z51" s="1708">
        <v>51</v>
      </c>
      <c r="AZ51" s="1678" t="s">
        <v>6369</v>
      </c>
    </row>
    <row r="52" spans="1:52" s="223" customFormat="1" ht="15" customHeight="1">
      <c r="A52" s="144"/>
      <c r="B52" s="2766" t="s">
        <v>747</v>
      </c>
      <c r="C52" s="2767"/>
      <c r="D52" s="2768"/>
      <c r="E52" s="2712" t="s">
        <v>6928</v>
      </c>
      <c r="F52" s="2713"/>
      <c r="G52" s="2713"/>
      <c r="H52" s="2714"/>
      <c r="I52" s="2715">
        <v>11970555</v>
      </c>
      <c r="J52" s="2715"/>
      <c r="L52" s="2771">
        <f>'Part III-A-Uses of Funds'!$J$191*10*'Part III-A-Uses of Funds'!$Q$182</f>
        <v>11953206.069999998</v>
      </c>
      <c r="M52" s="2771"/>
      <c r="N52" s="2772">
        <f>I52-L52</f>
        <v>17348.930000001565</v>
      </c>
      <c r="O52" s="2772"/>
      <c r="P52" s="324">
        <f>I52/I61</f>
        <v>0.32933123191049118</v>
      </c>
      <c r="Q52" s="144"/>
      <c r="S52" s="2725"/>
      <c r="T52" s="2726"/>
      <c r="Y52" s="1744" t="s">
        <v>6369</v>
      </c>
      <c r="Z52" s="1708">
        <v>52</v>
      </c>
      <c r="AZ52" s="1678" t="s">
        <v>6370</v>
      </c>
    </row>
    <row r="53" spans="1:52" s="223" customFormat="1" ht="15" customHeight="1">
      <c r="A53" s="144"/>
      <c r="B53" s="2766" t="s">
        <v>1332</v>
      </c>
      <c r="C53" s="2767"/>
      <c r="D53" s="2768"/>
      <c r="E53" s="2712"/>
      <c r="F53" s="2713"/>
      <c r="G53" s="2713"/>
      <c r="H53" s="2714"/>
      <c r="I53" s="2715"/>
      <c r="J53" s="2715"/>
      <c r="P53" s="325">
        <f>SUM(P51:P52)</f>
        <v>0.71112634835559774</v>
      </c>
      <c r="Q53" s="144"/>
      <c r="S53" s="2727"/>
      <c r="T53" s="2728"/>
      <c r="Y53" s="1744" t="s">
        <v>6370</v>
      </c>
      <c r="Z53" s="1708">
        <v>53</v>
      </c>
      <c r="AZ53" s="1678"/>
    </row>
    <row r="54" spans="1:52" s="223" customFormat="1" ht="15" customHeight="1">
      <c r="A54" s="144"/>
      <c r="B54" s="820" t="s">
        <v>497</v>
      </c>
      <c r="C54" s="144"/>
      <c r="D54" s="824"/>
      <c r="E54" s="2712"/>
      <c r="F54" s="2713"/>
      <c r="G54" s="2713"/>
      <c r="H54" s="2714"/>
      <c r="I54" s="2715"/>
      <c r="J54" s="2715"/>
      <c r="K54" s="144"/>
      <c r="Q54" s="144"/>
      <c r="S54" s="2725"/>
      <c r="T54" s="2726"/>
      <c r="Y54" s="1744"/>
      <c r="Z54" s="1708">
        <v>54</v>
      </c>
      <c r="AZ54" s="1678"/>
    </row>
    <row r="55" spans="1:52" s="223" customFormat="1" ht="15" customHeight="1">
      <c r="A55" s="144"/>
      <c r="B55" s="820" t="s">
        <v>1732</v>
      </c>
      <c r="C55" s="144"/>
      <c r="D55" s="824"/>
      <c r="E55" s="2712"/>
      <c r="F55" s="2713"/>
      <c r="G55" s="2713"/>
      <c r="H55" s="2714"/>
      <c r="I55" s="2715"/>
      <c r="J55" s="2715"/>
      <c r="N55" s="301"/>
      <c r="O55" s="301"/>
      <c r="P55" s="301"/>
      <c r="Q55" s="144"/>
      <c r="S55" s="2725"/>
      <c r="T55" s="2726"/>
      <c r="Y55" s="1744"/>
      <c r="Z55" s="1708">
        <v>55</v>
      </c>
      <c r="AZ55" s="1678"/>
    </row>
    <row r="56" spans="1:52" s="223" customFormat="1" ht="15" customHeight="1">
      <c r="A56" s="144"/>
      <c r="B56" s="820" t="s">
        <v>1733</v>
      </c>
      <c r="C56" s="144"/>
      <c r="D56" s="824"/>
      <c r="E56" s="2712"/>
      <c r="F56" s="2713"/>
      <c r="G56" s="2713"/>
      <c r="H56" s="2714"/>
      <c r="I56" s="2715"/>
      <c r="J56" s="2715"/>
      <c r="M56" s="301"/>
      <c r="N56" s="301"/>
      <c r="O56" s="301"/>
      <c r="P56" s="301"/>
      <c r="Q56" s="144"/>
      <c r="S56" s="2725"/>
      <c r="T56" s="2726"/>
      <c r="Y56" s="1744"/>
      <c r="Z56" s="1708">
        <v>56</v>
      </c>
      <c r="AZ56" s="1678" t="s">
        <v>6371</v>
      </c>
    </row>
    <row r="57" spans="1:52" s="223" customFormat="1" ht="15" customHeight="1">
      <c r="A57" s="144"/>
      <c r="B57" s="820" t="s">
        <v>690</v>
      </c>
      <c r="C57" s="2740"/>
      <c r="D57" s="2740"/>
      <c r="E57" s="2712"/>
      <c r="F57" s="2713"/>
      <c r="G57" s="2713"/>
      <c r="H57" s="2714"/>
      <c r="I57" s="2715"/>
      <c r="J57" s="2715"/>
      <c r="M57" s="301"/>
      <c r="N57" s="301"/>
      <c r="O57" s="301"/>
      <c r="P57" s="301"/>
      <c r="Q57" s="144"/>
      <c r="S57" s="2725"/>
      <c r="T57" s="2726"/>
      <c r="Y57" s="1744" t="s">
        <v>6371</v>
      </c>
      <c r="Z57" s="1708">
        <v>57</v>
      </c>
      <c r="AZ57" s="1678" t="s">
        <v>6372</v>
      </c>
    </row>
    <row r="58" spans="1:52" s="223" customFormat="1" ht="15" customHeight="1">
      <c r="A58" s="144"/>
      <c r="B58" s="820" t="s">
        <v>690</v>
      </c>
      <c r="C58" s="2741"/>
      <c r="D58" s="2741"/>
      <c r="E58" s="2712"/>
      <c r="F58" s="2713"/>
      <c r="G58" s="2713"/>
      <c r="H58" s="2714"/>
      <c r="I58" s="2715"/>
      <c r="J58" s="2715"/>
      <c r="K58" s="144"/>
      <c r="L58" s="248"/>
      <c r="M58" s="301"/>
      <c r="N58" s="301"/>
      <c r="O58" s="301"/>
      <c r="P58" s="301"/>
      <c r="Q58" s="144"/>
      <c r="S58" s="2725"/>
      <c r="T58" s="2726"/>
      <c r="Y58" s="1744" t="s">
        <v>6372</v>
      </c>
      <c r="Z58" s="1708">
        <v>58</v>
      </c>
      <c r="AZ58" s="1678" t="s">
        <v>6373</v>
      </c>
    </row>
    <row r="59" spans="1:52" s="223" customFormat="1" ht="15" customHeight="1">
      <c r="A59" s="144"/>
      <c r="B59" s="825" t="s">
        <v>690</v>
      </c>
      <c r="C59" s="2729"/>
      <c r="D59" s="2729"/>
      <c r="E59" s="2730"/>
      <c r="F59" s="2731"/>
      <c r="G59" s="2731"/>
      <c r="H59" s="2732"/>
      <c r="I59" s="2733"/>
      <c r="J59" s="2733"/>
      <c r="K59" s="144"/>
      <c r="L59" s="248"/>
      <c r="M59" s="301"/>
      <c r="N59" s="301"/>
      <c r="O59" s="301"/>
      <c r="P59" s="301"/>
      <c r="Q59" s="144"/>
      <c r="S59" s="2725"/>
      <c r="T59" s="2726"/>
      <c r="Y59" s="1744" t="s">
        <v>6373</v>
      </c>
      <c r="Z59" s="1708">
        <v>59</v>
      </c>
      <c r="AZ59" s="1678"/>
    </row>
    <row r="60" spans="1:52" s="223" customFormat="1" ht="14.25" customHeight="1">
      <c r="A60" s="144"/>
      <c r="B60" s="246" t="s">
        <v>2049</v>
      </c>
      <c r="C60" s="144"/>
      <c r="D60" s="144"/>
      <c r="E60" s="144"/>
      <c r="F60" s="144"/>
      <c r="G60" s="144"/>
      <c r="I60" s="2734">
        <f>SUM(I40:J45)+SUM(I49:J59)</f>
        <v>36348071</v>
      </c>
      <c r="J60" s="2735"/>
      <c r="K60" s="144"/>
      <c r="L60" s="248"/>
      <c r="M60" s="301"/>
      <c r="N60" s="301"/>
      <c r="O60" s="301"/>
      <c r="P60" s="301"/>
      <c r="Q60" s="144"/>
      <c r="S60" s="2725"/>
      <c r="T60" s="2726"/>
      <c r="Y60" s="1744"/>
      <c r="Z60" s="1708">
        <v>60</v>
      </c>
      <c r="AZ60" s="1678"/>
    </row>
    <row r="61" spans="1:52" s="223" customFormat="1" ht="14.25" customHeight="1" thickBot="1">
      <c r="A61" s="144"/>
      <c r="B61" s="246" t="s">
        <v>2050</v>
      </c>
      <c r="C61" s="144"/>
      <c r="D61" s="144"/>
      <c r="E61" s="144"/>
      <c r="F61" s="144"/>
      <c r="G61" s="144"/>
      <c r="I61" s="2736">
        <f>'Part III-A-Uses of Funds'!$G$146</f>
        <v>36348071</v>
      </c>
      <c r="J61" s="2737"/>
      <c r="K61" s="144"/>
      <c r="L61" s="248"/>
      <c r="M61" s="301"/>
      <c r="N61" s="301"/>
      <c r="O61" s="301"/>
      <c r="P61" s="301"/>
      <c r="Q61" s="144"/>
      <c r="S61" s="2725"/>
      <c r="T61" s="2726"/>
      <c r="Y61" s="1744"/>
      <c r="Z61" s="1708">
        <v>61</v>
      </c>
      <c r="AZ61" s="1678"/>
    </row>
    <row r="62" spans="1:52" s="223" customFormat="1" ht="14.25" customHeight="1" thickBot="1">
      <c r="A62" s="144"/>
      <c r="B62" s="246" t="s">
        <v>1429</v>
      </c>
      <c r="C62" s="144"/>
      <c r="D62" s="144"/>
      <c r="E62" s="144"/>
      <c r="F62" s="144"/>
      <c r="G62" s="144"/>
      <c r="I62" s="2738">
        <f>I60-I61</f>
        <v>0</v>
      </c>
      <c r="J62" s="2739"/>
      <c r="K62" s="144"/>
      <c r="L62" s="248"/>
      <c r="M62" s="301"/>
      <c r="N62" s="301"/>
      <c r="O62" s="301"/>
      <c r="P62" s="301"/>
      <c r="Q62" s="144"/>
      <c r="S62" s="2727"/>
      <c r="T62" s="2728"/>
      <c r="Y62" s="1744"/>
      <c r="Z62" s="1708">
        <v>62</v>
      </c>
      <c r="AZ62" s="1678"/>
    </row>
    <row r="63" spans="1:52" s="223" customFormat="1" ht="13.35" customHeight="1">
      <c r="A63" s="144" t="s">
        <v>3950</v>
      </c>
      <c r="B63" s="246"/>
      <c r="C63" s="144"/>
      <c r="D63" s="144"/>
      <c r="E63" s="144"/>
      <c r="F63" s="144"/>
      <c r="G63" s="144"/>
      <c r="H63" s="297"/>
      <c r="I63" s="297"/>
      <c r="J63" s="145"/>
      <c r="K63" s="144"/>
      <c r="L63" s="248"/>
      <c r="M63" s="301"/>
      <c r="N63" s="301"/>
      <c r="O63" s="301"/>
      <c r="P63" s="301"/>
      <c r="Q63" s="144"/>
      <c r="R63" s="144"/>
      <c r="S63" s="144"/>
      <c r="T63" s="144"/>
      <c r="Y63" s="1744"/>
      <c r="Z63" s="1708">
        <v>63</v>
      </c>
      <c r="AZ63" s="1677"/>
    </row>
    <row r="64" spans="1:52" ht="2.25" customHeight="1">
      <c r="A64" s="145"/>
      <c r="B64" s="145"/>
      <c r="C64" s="145"/>
      <c r="D64" s="145"/>
      <c r="E64" s="145"/>
      <c r="F64" s="145"/>
      <c r="G64" s="145"/>
      <c r="H64" s="145"/>
      <c r="I64" s="145"/>
      <c r="J64" s="145"/>
      <c r="K64" s="145"/>
      <c r="L64" s="145"/>
      <c r="M64" s="145"/>
      <c r="N64" s="145"/>
      <c r="O64" s="145"/>
      <c r="P64" s="145"/>
      <c r="Q64" s="145"/>
      <c r="Z64" s="1708">
        <v>64</v>
      </c>
    </row>
    <row r="65" spans="1:52" ht="12" customHeight="1">
      <c r="A65" s="243" t="s">
        <v>1667</v>
      </c>
      <c r="B65" s="243" t="s">
        <v>530</v>
      </c>
      <c r="C65" s="145"/>
      <c r="D65" s="145"/>
      <c r="E65" s="145"/>
      <c r="F65" s="145"/>
      <c r="G65" s="145"/>
      <c r="H65" s="145"/>
      <c r="I65" s="145"/>
      <c r="J65" s="145"/>
      <c r="M65" s="243" t="s">
        <v>1667</v>
      </c>
      <c r="N65" s="243" t="s">
        <v>74</v>
      </c>
      <c r="O65" s="145"/>
      <c r="P65" s="145"/>
      <c r="Q65" s="145"/>
      <c r="Z65" s="1708">
        <v>65</v>
      </c>
      <c r="AZ65" s="1680"/>
    </row>
    <row r="66" spans="1:52" ht="111.75" customHeight="1">
      <c r="A66" s="2718" t="s">
        <v>7016</v>
      </c>
      <c r="B66" s="2718"/>
      <c r="C66" s="2718"/>
      <c r="D66" s="2718"/>
      <c r="E66" s="2718"/>
      <c r="F66" s="2718"/>
      <c r="G66" s="2718"/>
      <c r="H66" s="2718"/>
      <c r="I66" s="2718"/>
      <c r="J66" s="2718"/>
      <c r="K66" s="2718"/>
      <c r="L66" s="2718"/>
      <c r="M66" s="2717"/>
      <c r="N66" s="2717"/>
      <c r="O66" s="2717"/>
      <c r="P66" s="2717"/>
      <c r="Q66" s="2717"/>
      <c r="S66" s="2716" t="s">
        <v>2453</v>
      </c>
      <c r="T66" s="2716"/>
      <c r="U66" s="367"/>
      <c r="V66" s="367"/>
      <c r="W66" s="367"/>
      <c r="Y66" s="1746"/>
      <c r="Z66" s="1708">
        <v>66</v>
      </c>
      <c r="AZ66" s="1680"/>
    </row>
    <row r="67" spans="1:52" ht="11.25" customHeight="1">
      <c r="S67" s="367"/>
      <c r="T67" s="367"/>
      <c r="U67" s="367"/>
      <c r="V67" s="367"/>
      <c r="W67" s="367"/>
      <c r="Y67" s="1746"/>
    </row>
    <row r="68" spans="1:52" ht="12" customHeight="1"/>
    <row r="69" spans="1:52" ht="12" customHeight="1">
      <c r="B69" s="277"/>
    </row>
    <row r="70" spans="1:52" ht="14.45" customHeight="1">
      <c r="AZ70" s="1678"/>
    </row>
    <row r="71" spans="1:52" s="223" customFormat="1" ht="14.45" customHeight="1">
      <c r="Y71" s="1744"/>
      <c r="Z71" s="1744"/>
      <c r="AZ71" s="1678"/>
    </row>
    <row r="72" spans="1:52" s="223" customFormat="1" ht="14.45" customHeight="1">
      <c r="Y72" s="1744"/>
      <c r="Z72" s="1744"/>
      <c r="AZ72" s="1678"/>
    </row>
    <row r="73" spans="1:52" s="223" customFormat="1" ht="14.45" customHeight="1">
      <c r="Y73" s="1744"/>
      <c r="Z73" s="1744"/>
      <c r="AZ73" s="1677"/>
    </row>
    <row r="74" spans="1:52" ht="14.45" customHeight="1">
      <c r="AZ74" s="1678"/>
    </row>
    <row r="75" spans="1:52" s="223" customFormat="1" ht="14.45" customHeight="1">
      <c r="A75" s="278"/>
      <c r="Y75" s="1744"/>
      <c r="Z75" s="1744"/>
      <c r="AZ75" s="1678"/>
    </row>
    <row r="76" spans="1:52" s="223" customFormat="1" ht="14.45" customHeight="1">
      <c r="A76" s="278"/>
      <c r="Y76" s="1744"/>
      <c r="Z76" s="1744"/>
      <c r="AZ76" s="1678"/>
    </row>
    <row r="77" spans="1:52" s="223" customFormat="1" ht="14.45" customHeight="1">
      <c r="Y77" s="1744"/>
      <c r="Z77" s="1744"/>
      <c r="AZ77" s="1678"/>
    </row>
    <row r="78" spans="1:52" s="223" customFormat="1" ht="14.45" customHeight="1">
      <c r="A78" s="278"/>
      <c r="Y78" s="1744"/>
      <c r="Z78" s="1744"/>
      <c r="AZ78" s="1678"/>
    </row>
    <row r="79" spans="1:52" s="223" customFormat="1" ht="14.45" customHeight="1">
      <c r="A79" s="276"/>
      <c r="Y79" s="1744"/>
      <c r="Z79" s="1744"/>
      <c r="AZ79" s="1678"/>
    </row>
    <row r="80" spans="1:52" s="223" customFormat="1" ht="14.45" customHeight="1">
      <c r="A80" s="276"/>
      <c r="Y80" s="1744"/>
      <c r="Z80" s="1744"/>
      <c r="AZ80" s="1678"/>
    </row>
    <row r="81" spans="1:52" s="223" customFormat="1" ht="14.45" customHeight="1">
      <c r="A81" s="279"/>
      <c r="Y81" s="1744"/>
      <c r="Z81" s="1744"/>
      <c r="AZ81" s="1678"/>
    </row>
    <row r="82" spans="1:52" s="223" customFormat="1" ht="14.45" customHeight="1">
      <c r="A82" s="278"/>
      <c r="Y82" s="1744"/>
      <c r="Z82" s="1744"/>
      <c r="AZ82" s="1678"/>
    </row>
    <row r="83" spans="1:52" s="223" customFormat="1" ht="14.45" customHeight="1">
      <c r="A83" s="276"/>
      <c r="Y83" s="1744"/>
      <c r="Z83" s="1744"/>
      <c r="AZ83" s="1678"/>
    </row>
    <row r="84" spans="1:52" s="223" customFormat="1" ht="14.45" customHeight="1">
      <c r="A84" s="276"/>
      <c r="Y84" s="1744"/>
      <c r="Z84" s="1744"/>
      <c r="AZ84" s="1678"/>
    </row>
    <row r="85" spans="1:52" s="223" customFormat="1" ht="14.45" customHeight="1">
      <c r="A85" s="279"/>
      <c r="Y85" s="1744"/>
      <c r="Z85" s="1744"/>
      <c r="AZ85" s="1678"/>
    </row>
    <row r="86" spans="1:52" s="223" customFormat="1" ht="14.45" customHeight="1">
      <c r="A86" s="278"/>
      <c r="Y86" s="1744"/>
      <c r="Z86" s="1744"/>
      <c r="AZ86" s="1678"/>
    </row>
    <row r="87" spans="1:52" s="223" customFormat="1" ht="14.45" customHeight="1">
      <c r="A87" s="276"/>
      <c r="Y87" s="1744"/>
      <c r="Z87" s="1744"/>
      <c r="AZ87" s="1678"/>
    </row>
    <row r="88" spans="1:52" s="223" customFormat="1" ht="14.45" customHeight="1">
      <c r="A88" s="276"/>
      <c r="Y88" s="1744"/>
      <c r="Z88" s="1744"/>
      <c r="AZ88" s="1678"/>
    </row>
    <row r="89" spans="1:52" s="223" customFormat="1" ht="14.45" customHeight="1">
      <c r="A89" s="279"/>
      <c r="Y89" s="1744"/>
      <c r="Z89" s="1744"/>
      <c r="AZ89" s="1678"/>
    </row>
    <row r="90" spans="1:52" s="223" customFormat="1" ht="14.45" customHeight="1">
      <c r="A90" s="279"/>
      <c r="Y90" s="1744"/>
      <c r="Z90" s="1744"/>
      <c r="AZ90" s="1678"/>
    </row>
    <row r="91" spans="1:52" s="223" customFormat="1" ht="14.45" customHeight="1">
      <c r="A91" s="279"/>
      <c r="Y91" s="1744"/>
      <c r="Z91" s="1744"/>
      <c r="AZ91" s="1678"/>
    </row>
    <row r="92" spans="1:52" s="223" customFormat="1" ht="14.45" customHeight="1">
      <c r="A92" s="279"/>
      <c r="Y92" s="1744"/>
      <c r="Z92" s="1744"/>
      <c r="AZ92" s="1678"/>
    </row>
    <row r="93" spans="1:52" s="223" customFormat="1" ht="14.45" customHeight="1">
      <c r="Y93" s="1744"/>
      <c r="Z93" s="1744"/>
      <c r="AZ93" s="1678"/>
    </row>
    <row r="94" spans="1:52" s="223" customFormat="1" ht="14.45" customHeight="1">
      <c r="Y94" s="1744"/>
      <c r="Z94" s="1744"/>
      <c r="AZ94" s="1677"/>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144"/>
      <c r="L101" s="223"/>
      <c r="M101" s="223"/>
      <c r="N101" s="223"/>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42" priority="6" stopIfTrue="1" operator="equal">
      <formula>"Make a selection FIRST --&gt;"</formula>
    </cfRule>
  </conditionalFormatting>
  <conditionalFormatting sqref="D45">
    <cfRule type="cellIs" dxfId="141" priority="3" operator="greaterThan">
      <formula>50.000001%</formula>
    </cfRule>
  </conditionalFormatting>
  <conditionalFormatting sqref="J46">
    <cfRule type="cellIs" dxfId="140" priority="4" operator="equal">
      <formula>"No"</formula>
    </cfRule>
  </conditionalFormatting>
  <conditionalFormatting sqref="J48">
    <cfRule type="cellIs" dxfId="139" priority="5" operator="equal">
      <formula>"No"</formula>
    </cfRule>
  </conditionalFormatting>
  <conditionalFormatting sqref="P47:Q47">
    <cfRule type="cellIs" dxfId="138"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5546875" defaultRowHeight="12.75"/>
  <cols>
    <col min="1" max="1" width="17.85546875" customWidth="1"/>
    <col min="2" max="5" width="16.85546875" customWidth="1"/>
    <col min="6" max="6" width="4.85546875" bestFit="1" customWidth="1"/>
    <col min="7" max="7" width="11.140625" customWidth="1"/>
    <col min="8" max="8" width="12.140625" bestFit="1" customWidth="1"/>
    <col min="9" max="9" width="12.42578125" bestFit="1" customWidth="1"/>
    <col min="10" max="10" width="11.85546875" bestFit="1" customWidth="1"/>
    <col min="11" max="11" width="15.140625" bestFit="1" customWidth="1"/>
  </cols>
  <sheetData>
    <row r="1" spans="1:17" s="6" customFormat="1" ht="16.350000000000001" customHeight="1">
      <c r="A1" s="2847" t="e">
        <f>CONCATENATE("PART III B: USD 538 LOAN","  -  ",#REF!," ",#REF!,", ",#REF!,", ",#REF!," County")</f>
        <v>#REF!</v>
      </c>
      <c r="B1" s="2848"/>
      <c r="C1" s="2848"/>
      <c r="D1" s="2848"/>
      <c r="E1" s="2848"/>
      <c r="F1" s="2849"/>
      <c r="G1" s="139"/>
      <c r="H1" s="139"/>
      <c r="I1" s="139"/>
      <c r="J1" s="139"/>
      <c r="K1" s="139"/>
      <c r="L1" s="139"/>
      <c r="M1" s="139"/>
      <c r="N1" s="139"/>
      <c r="O1" s="139"/>
      <c r="P1" s="139"/>
      <c r="Q1" s="139"/>
    </row>
    <row r="2" spans="1:17" ht="11.1" customHeight="1">
      <c r="A2" s="162"/>
      <c r="B2" s="162"/>
      <c r="C2" s="162"/>
      <c r="D2" s="162"/>
      <c r="E2" s="162"/>
      <c r="F2" s="162"/>
      <c r="G2" s="162"/>
      <c r="H2" s="162"/>
    </row>
    <row r="3" spans="1:17" ht="14.45" customHeight="1">
      <c r="A3" s="2855" t="s">
        <v>210</v>
      </c>
      <c r="B3" s="2855"/>
      <c r="C3" s="2855"/>
      <c r="D3" s="2855"/>
      <c r="E3" s="2855"/>
      <c r="F3" s="2855"/>
      <c r="G3" s="162"/>
      <c r="H3" s="162"/>
    </row>
    <row r="4" spans="1:17" ht="6" customHeight="1"/>
    <row r="5" spans="1:17">
      <c r="A5" s="26" t="s">
        <v>2084</v>
      </c>
      <c r="B5" s="26"/>
      <c r="C5" s="213"/>
      <c r="D5" s="214">
        <f>IF(C5&gt;1500000,1500000,0)</f>
        <v>0</v>
      </c>
      <c r="E5" s="215">
        <f>IF(C5&gt;1500000,C5-1500000,0)</f>
        <v>0</v>
      </c>
    </row>
    <row r="6" spans="1:17">
      <c r="A6" s="26" t="s">
        <v>2268</v>
      </c>
      <c r="B6" s="41" t="s">
        <v>475</v>
      </c>
      <c r="C6" s="216">
        <v>0</v>
      </c>
      <c r="D6" s="32" t="s">
        <v>476</v>
      </c>
      <c r="E6" s="26"/>
    </row>
    <row r="7" spans="1:17">
      <c r="A7" s="26"/>
      <c r="B7" s="41" t="s">
        <v>2284</v>
      </c>
      <c r="C7" s="217"/>
      <c r="D7" s="32" t="s">
        <v>1550</v>
      </c>
      <c r="E7" s="26"/>
    </row>
    <row r="8" spans="1:17" ht="13.35" customHeight="1">
      <c r="A8" s="26" t="s">
        <v>2272</v>
      </c>
      <c r="B8" s="26"/>
      <c r="C8" s="216">
        <v>0</v>
      </c>
      <c r="D8" s="32" t="s">
        <v>1551</v>
      </c>
      <c r="E8" s="26"/>
    </row>
    <row r="9" spans="1:17">
      <c r="A9" s="26" t="s">
        <v>1308</v>
      </c>
      <c r="B9" s="26"/>
      <c r="C9" s="218"/>
      <c r="D9" s="26"/>
      <c r="E9" s="26"/>
    </row>
    <row r="10" spans="1:17">
      <c r="A10" s="26" t="s">
        <v>1309</v>
      </c>
      <c r="B10" s="26"/>
      <c r="C10" s="218"/>
      <c r="D10" s="26"/>
      <c r="E10" s="26"/>
    </row>
    <row r="11" spans="1:17">
      <c r="A11" s="26" t="s">
        <v>1306</v>
      </c>
      <c r="B11" s="26"/>
      <c r="C11" s="219" t="e">
        <f>PMT(C7/12,C10*12,-C5,0,0)*12</f>
        <v>#NUM!</v>
      </c>
      <c r="D11" s="214" t="e">
        <f>PMT($C$7/12,$C$10*12,-D5,0,0)*12</f>
        <v>#NUM!</v>
      </c>
      <c r="E11" s="214" t="e">
        <f>PMT($C$7/12,$C$10*12,-E5,0,0)*12</f>
        <v>#NUM!</v>
      </c>
    </row>
    <row r="12" spans="1:17">
      <c r="A12" s="26" t="s">
        <v>1307</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2856" t="s">
        <v>122</v>
      </c>
      <c r="B14" s="2856"/>
      <c r="C14" s="2856"/>
      <c r="D14" s="2856"/>
      <c r="E14" s="2856"/>
      <c r="F14" s="2856"/>
      <c r="G14" s="162"/>
      <c r="H14" s="162"/>
    </row>
    <row r="15" spans="1:17" ht="5.45" customHeight="1">
      <c r="A15" s="10"/>
      <c r="E15" s="169"/>
      <c r="F15" s="162"/>
      <c r="G15" s="162"/>
      <c r="H15" s="162"/>
    </row>
    <row r="16" spans="1:17" ht="13.35" customHeight="1">
      <c r="A16" s="170" t="s">
        <v>2285</v>
      </c>
      <c r="B16" s="171" t="s">
        <v>2282</v>
      </c>
      <c r="C16" s="171" t="s">
        <v>2283</v>
      </c>
      <c r="D16" s="2853" t="s">
        <v>2083</v>
      </c>
      <c r="E16" s="2853"/>
      <c r="F16" s="162"/>
      <c r="G16" s="162"/>
      <c r="H16" s="162"/>
    </row>
    <row r="17" spans="1:8" ht="12.6" customHeight="1">
      <c r="A17" s="60">
        <v>1</v>
      </c>
      <c r="B17" s="155">
        <f>IF(A17&gt;$C$9,0,SUM(C64:C75)*($C$6/$C$7))</f>
        <v>0</v>
      </c>
      <c r="C17" s="158">
        <f>IF(A17&gt;C9,0,(E63+K63)*$C$8)</f>
        <v>0</v>
      </c>
      <c r="D17" s="2857">
        <f t="shared" ref="D17:D56" si="0">IF(A17&gt;$C$9,0,$C$11+C17)</f>
        <v>0</v>
      </c>
      <c r="E17" s="2857"/>
      <c r="F17" s="162"/>
      <c r="G17" s="162"/>
      <c r="H17" s="162"/>
    </row>
    <row r="18" spans="1:8" ht="12.6" customHeight="1">
      <c r="A18" s="60">
        <v>2</v>
      </c>
      <c r="B18" s="155">
        <f>IF(A18&gt;C9,0,SUM(C76:C87)*($C$6/$C$7))</f>
        <v>0</v>
      </c>
      <c r="C18" s="158">
        <f>IF(A18&gt;C9,0,(E75+K75)*$C$8)</f>
        <v>0</v>
      </c>
      <c r="D18" s="2850">
        <f t="shared" si="0"/>
        <v>0</v>
      </c>
      <c r="E18" s="2850"/>
      <c r="F18" s="162"/>
      <c r="G18" s="162"/>
      <c r="H18" s="162"/>
    </row>
    <row r="19" spans="1:8" ht="12.6" customHeight="1">
      <c r="A19" s="60">
        <v>3</v>
      </c>
      <c r="B19" s="155">
        <f>IF(A19&gt;C9,0,SUM(C88:C99)*($C$6/$C$7))</f>
        <v>0</v>
      </c>
      <c r="C19" s="158">
        <f>IF(A19&gt;C9,0,(E87+K87)*$C$8)</f>
        <v>0</v>
      </c>
      <c r="D19" s="2850">
        <f t="shared" si="0"/>
        <v>0</v>
      </c>
      <c r="E19" s="2850"/>
      <c r="F19" s="162"/>
      <c r="G19" s="162"/>
      <c r="H19" s="162"/>
    </row>
    <row r="20" spans="1:8" ht="12.6" customHeight="1">
      <c r="A20" s="60">
        <v>4</v>
      </c>
      <c r="B20" s="155">
        <f>IF(A20&gt;C9,0,SUM(C100:C111)*($C$6/$C$7))</f>
        <v>0</v>
      </c>
      <c r="C20" s="158">
        <f>IF(A20&gt;C9,0,(E99+K99)*$C$8)</f>
        <v>0</v>
      </c>
      <c r="D20" s="2850">
        <f t="shared" si="0"/>
        <v>0</v>
      </c>
      <c r="E20" s="2850"/>
      <c r="F20" s="162"/>
      <c r="G20" s="162"/>
      <c r="H20" s="162"/>
    </row>
    <row r="21" spans="1:8" ht="12.6" customHeight="1">
      <c r="A21" s="60">
        <v>5</v>
      </c>
      <c r="B21" s="155">
        <f>IF(A21&gt;C9,0,SUM(C112:C123)*($C$6/$C$7))</f>
        <v>0</v>
      </c>
      <c r="C21" s="158">
        <f>IF(A21&gt;C9,0,(E111+K111)*$C$8)</f>
        <v>0</v>
      </c>
      <c r="D21" s="2851">
        <f t="shared" si="0"/>
        <v>0</v>
      </c>
      <c r="E21" s="2851"/>
      <c r="F21" s="162"/>
      <c r="G21" s="162"/>
      <c r="H21" s="162"/>
    </row>
    <row r="22" spans="1:8" ht="12.6" customHeight="1">
      <c r="A22" s="156">
        <v>6</v>
      </c>
      <c r="B22" s="157">
        <f>IF(A22&gt;C9,0,SUM(C124:C135)*($C$6/$C$7))</f>
        <v>0</v>
      </c>
      <c r="C22" s="173">
        <f>IF(A22&gt;C9,0,(E123+K123)*$C$8)</f>
        <v>0</v>
      </c>
      <c r="D22" s="2850">
        <f t="shared" si="0"/>
        <v>0</v>
      </c>
      <c r="E22" s="2850"/>
      <c r="F22" s="162"/>
      <c r="G22" s="162"/>
      <c r="H22" s="162"/>
    </row>
    <row r="23" spans="1:8" ht="12.6" customHeight="1">
      <c r="A23" s="60">
        <v>7</v>
      </c>
      <c r="B23" s="155">
        <f>IF(A23&gt;C9,0,SUM(C136:C147)*($C$6/$C$7))</f>
        <v>0</v>
      </c>
      <c r="C23" s="158">
        <f>IF(A23&gt;C9,0,(E135+K135)*$C$8)</f>
        <v>0</v>
      </c>
      <c r="D23" s="2850">
        <f t="shared" si="0"/>
        <v>0</v>
      </c>
      <c r="E23" s="2850"/>
      <c r="F23" s="162"/>
      <c r="G23" s="162"/>
      <c r="H23" s="162"/>
    </row>
    <row r="24" spans="1:8" ht="12.6" customHeight="1">
      <c r="A24" s="60">
        <v>8</v>
      </c>
      <c r="B24" s="155">
        <f>IF(A24&gt;C9,0,SUM(C148:C159)*($C$6/$C$7))</f>
        <v>0</v>
      </c>
      <c r="C24" s="158">
        <f>IF(A24&gt;C9,0,(E147+K147)*$C$8)</f>
        <v>0</v>
      </c>
      <c r="D24" s="2850">
        <f t="shared" si="0"/>
        <v>0</v>
      </c>
      <c r="E24" s="2850"/>
      <c r="F24" s="162"/>
      <c r="G24" s="162"/>
      <c r="H24" s="162"/>
    </row>
    <row r="25" spans="1:8" ht="12.6" customHeight="1">
      <c r="A25" s="60">
        <v>9</v>
      </c>
      <c r="B25" s="155">
        <f>IF(A25&gt;C9,0,SUM(C160:C171)*($C$6/$C$7))</f>
        <v>0</v>
      </c>
      <c r="C25" s="158">
        <f>IF(A25&gt;C9,0,(E159+K159)*$C$8)</f>
        <v>0</v>
      </c>
      <c r="D25" s="2850">
        <f t="shared" si="0"/>
        <v>0</v>
      </c>
      <c r="E25" s="2850"/>
      <c r="F25" s="162"/>
      <c r="G25" s="162"/>
      <c r="H25" s="162"/>
    </row>
    <row r="26" spans="1:8" ht="12.6" customHeight="1">
      <c r="A26" s="159">
        <v>10</v>
      </c>
      <c r="B26" s="160">
        <f>IF(A26&gt;C9,0,SUM(C172:C183)*($C$6/$C$7))</f>
        <v>0</v>
      </c>
      <c r="C26" s="172">
        <f>IF(A26&gt;C9,0,(E171+K171)*$C$8)</f>
        <v>0</v>
      </c>
      <c r="D26" s="2851">
        <f t="shared" si="0"/>
        <v>0</v>
      </c>
      <c r="E26" s="2851"/>
      <c r="F26" s="162"/>
      <c r="G26" s="162"/>
      <c r="H26" s="162"/>
    </row>
    <row r="27" spans="1:8" ht="12.6" customHeight="1">
      <c r="A27" s="60">
        <v>11</v>
      </c>
      <c r="B27" s="155">
        <f>IF(A27&gt;C9,0,SUM(C184:C195)*($C$6/$C$7))</f>
        <v>0</v>
      </c>
      <c r="C27" s="158">
        <f>IF(A27&gt;C9,0,(E183+K183)*$C$8)</f>
        <v>0</v>
      </c>
      <c r="D27" s="2850">
        <f t="shared" si="0"/>
        <v>0</v>
      </c>
      <c r="E27" s="2850"/>
      <c r="F27" s="162"/>
      <c r="G27" s="162"/>
      <c r="H27" s="162"/>
    </row>
    <row r="28" spans="1:8" ht="12.6" customHeight="1">
      <c r="A28" s="60">
        <v>12</v>
      </c>
      <c r="B28" s="155">
        <f>IF(A28&gt;C9,0,SUM(C196:C207)*($C$6/$C$7))</f>
        <v>0</v>
      </c>
      <c r="C28" s="158">
        <f>IF(A28&gt;C9,0,(E195+K195)*$C$8)</f>
        <v>0</v>
      </c>
      <c r="D28" s="2850">
        <f t="shared" si="0"/>
        <v>0</v>
      </c>
      <c r="E28" s="2850"/>
      <c r="F28" s="162"/>
      <c r="G28" s="162"/>
      <c r="H28" s="162"/>
    </row>
    <row r="29" spans="1:8" ht="12.6" customHeight="1">
      <c r="A29" s="60">
        <v>13</v>
      </c>
      <c r="B29" s="155">
        <f>IF(A29&gt;C9,0,SUM(C208:C219)*($C$6/$C$7))</f>
        <v>0</v>
      </c>
      <c r="C29" s="158">
        <f>IF(A29&gt;C9,0,(E207+K207)*$C$8)</f>
        <v>0</v>
      </c>
      <c r="D29" s="2850">
        <f t="shared" si="0"/>
        <v>0</v>
      </c>
      <c r="E29" s="2850"/>
      <c r="F29" s="162"/>
      <c r="G29" s="162"/>
      <c r="H29" s="162"/>
    </row>
    <row r="30" spans="1:8" ht="12.6" customHeight="1">
      <c r="A30" s="60">
        <v>14</v>
      </c>
      <c r="B30" s="155">
        <f>IF(A30&gt;C9,0,SUM(C220:C231)*($C$6/$C$7))</f>
        <v>0</v>
      </c>
      <c r="C30" s="158">
        <f>IF(A30&gt;C9,0,(E219+K219)*$C$8)</f>
        <v>0</v>
      </c>
      <c r="D30" s="2850">
        <f t="shared" si="0"/>
        <v>0</v>
      </c>
      <c r="E30" s="2850"/>
      <c r="F30" s="162"/>
      <c r="G30" s="162"/>
      <c r="H30" s="162"/>
    </row>
    <row r="31" spans="1:8" ht="12.6" customHeight="1">
      <c r="A31" s="60">
        <v>15</v>
      </c>
      <c r="B31" s="155">
        <f>IF(A31&gt;C9,0,SUM(C232:C243)*($C$6/$C$7))</f>
        <v>0</v>
      </c>
      <c r="C31" s="158">
        <f>IF(A31&gt;C9,0,(E231+K231)*$C$8)</f>
        <v>0</v>
      </c>
      <c r="D31" s="2851">
        <f t="shared" si="0"/>
        <v>0</v>
      </c>
      <c r="E31" s="2851"/>
      <c r="F31" s="162"/>
      <c r="G31" s="162"/>
      <c r="H31" s="162"/>
    </row>
    <row r="32" spans="1:8" ht="12.6" customHeight="1">
      <c r="A32" s="156">
        <v>16</v>
      </c>
      <c r="B32" s="157">
        <f>IF(A32&gt;C9,0,SUM(C244:C255)*($C$6/$C$7))</f>
        <v>0</v>
      </c>
      <c r="C32" s="173">
        <f>IF(A32&gt;C9,0,(E243+K243)*$C$8)</f>
        <v>0</v>
      </c>
      <c r="D32" s="2850">
        <f t="shared" si="0"/>
        <v>0</v>
      </c>
      <c r="E32" s="2850"/>
      <c r="F32" s="162"/>
      <c r="G32" s="162"/>
      <c r="H32" s="162"/>
    </row>
    <row r="33" spans="1:8" ht="12.6" customHeight="1">
      <c r="A33" s="60">
        <v>17</v>
      </c>
      <c r="B33" s="155">
        <f>IF(A33&gt;C9,0,SUM(C256:C267)*($C$6/$C$7))</f>
        <v>0</v>
      </c>
      <c r="C33" s="158">
        <f>IF(A33&gt;C9,0,(E255+K255)*$C$8)</f>
        <v>0</v>
      </c>
      <c r="D33" s="2850">
        <f t="shared" si="0"/>
        <v>0</v>
      </c>
      <c r="E33" s="2850"/>
      <c r="F33" s="162"/>
      <c r="G33" s="162"/>
      <c r="H33" s="162"/>
    </row>
    <row r="34" spans="1:8" ht="12.6" customHeight="1">
      <c r="A34" s="60">
        <v>18</v>
      </c>
      <c r="B34" s="155">
        <f>IF(A34&gt;C9,0,SUM(C268:C279)*($C$6/$C$7))</f>
        <v>0</v>
      </c>
      <c r="C34" s="158">
        <f>IF(A34&gt;C9,0,(E267+K267)*$C$8)</f>
        <v>0</v>
      </c>
      <c r="D34" s="2850">
        <f t="shared" si="0"/>
        <v>0</v>
      </c>
      <c r="E34" s="2850"/>
      <c r="F34" s="162"/>
      <c r="G34" s="162"/>
      <c r="H34" s="162"/>
    </row>
    <row r="35" spans="1:8" ht="12.6" customHeight="1">
      <c r="A35" s="60">
        <v>19</v>
      </c>
      <c r="B35" s="155">
        <f>IF(A35&gt;C9,0,SUM(C280:C291)*($C$6/$C$7))</f>
        <v>0</v>
      </c>
      <c r="C35" s="158">
        <f>IF(A35&gt;C9,0,(E279+K279)*$C$8)</f>
        <v>0</v>
      </c>
      <c r="D35" s="2850">
        <f t="shared" si="0"/>
        <v>0</v>
      </c>
      <c r="E35" s="2850"/>
      <c r="F35" s="162"/>
      <c r="G35" s="162"/>
      <c r="H35" s="162"/>
    </row>
    <row r="36" spans="1:8" ht="12.6" customHeight="1">
      <c r="A36" s="159">
        <v>20</v>
      </c>
      <c r="B36" s="160">
        <f>IF(A36&gt;C9,0,SUM(C292:C303)*($C$6/$C$7))</f>
        <v>0</v>
      </c>
      <c r="C36" s="172">
        <f>IF(A36&gt;C9,0,(E291+K291)*$C$8)</f>
        <v>0</v>
      </c>
      <c r="D36" s="2851">
        <f t="shared" si="0"/>
        <v>0</v>
      </c>
      <c r="E36" s="2851"/>
      <c r="F36" s="162"/>
      <c r="G36" s="162"/>
      <c r="H36" s="162"/>
    </row>
    <row r="37" spans="1:8" ht="12.6" customHeight="1">
      <c r="A37" s="60">
        <v>21</v>
      </c>
      <c r="B37" s="157">
        <f>IF(A37&gt;C9,0,SUM(C293:C304)*($C$6/$C$7))</f>
        <v>0</v>
      </c>
      <c r="C37" s="173">
        <f>IF(A37&gt;C9,0,(E303+K303)*$C$8)</f>
        <v>0</v>
      </c>
      <c r="D37" s="2852">
        <f t="shared" si="0"/>
        <v>0</v>
      </c>
      <c r="E37" s="2852"/>
      <c r="F37" s="162"/>
      <c r="G37" s="162"/>
      <c r="H37" s="162"/>
    </row>
    <row r="38" spans="1:8" ht="12.6" customHeight="1">
      <c r="A38" s="60">
        <v>22</v>
      </c>
      <c r="B38" s="155">
        <f>IF(A38&gt;C9,0,SUM(C294:C305)*($C$6/$C$7))</f>
        <v>0</v>
      </c>
      <c r="C38" s="158">
        <f>IF(A38&gt;C9,0,(E315+K315)*$C$8)</f>
        <v>0</v>
      </c>
      <c r="D38" s="2850">
        <f t="shared" si="0"/>
        <v>0</v>
      </c>
      <c r="E38" s="2850"/>
      <c r="F38" s="162"/>
      <c r="G38" s="162"/>
      <c r="H38" s="162"/>
    </row>
    <row r="39" spans="1:8" ht="12.6" customHeight="1">
      <c r="A39" s="60">
        <v>23</v>
      </c>
      <c r="B39" s="155">
        <f>IF(A39&gt;C9,0,SUM(C295:C306)*($C$6/$C$7))</f>
        <v>0</v>
      </c>
      <c r="C39" s="158">
        <f>IF(A39&gt;C9,0,(E327+K327)*$C$8)</f>
        <v>0</v>
      </c>
      <c r="D39" s="2850">
        <f t="shared" si="0"/>
        <v>0</v>
      </c>
      <c r="E39" s="2850"/>
      <c r="F39" s="162"/>
      <c r="G39" s="162"/>
      <c r="H39" s="162"/>
    </row>
    <row r="40" spans="1:8" ht="12.6" customHeight="1">
      <c r="A40" s="60">
        <v>24</v>
      </c>
      <c r="B40" s="155">
        <f>IF(A40&gt;C9,0,SUM(C296:C307)*($C$6/$C$7))</f>
        <v>0</v>
      </c>
      <c r="C40" s="158">
        <f>IF(A40&gt;C9,0,(E339+K339)*$C$8)</f>
        <v>0</v>
      </c>
      <c r="D40" s="2850">
        <f t="shared" si="0"/>
        <v>0</v>
      </c>
      <c r="E40" s="2850"/>
      <c r="F40" s="162"/>
      <c r="G40" s="162"/>
      <c r="H40" s="162"/>
    </row>
    <row r="41" spans="1:8" ht="12.6" customHeight="1">
      <c r="A41" s="60">
        <v>25</v>
      </c>
      <c r="B41" s="160">
        <f>IF(A41&gt;C9,0,SUM(C297:C308)*($C$6/$C$7))</f>
        <v>0</v>
      </c>
      <c r="C41" s="172">
        <f>IF(A41&gt;C9,0,(E351+K351)*$C$8)</f>
        <v>0</v>
      </c>
      <c r="D41" s="2851">
        <f t="shared" si="0"/>
        <v>0</v>
      </c>
      <c r="E41" s="2851"/>
      <c r="F41" s="162"/>
      <c r="G41" s="162"/>
      <c r="H41" s="162"/>
    </row>
    <row r="42" spans="1:8" ht="12.6" customHeight="1">
      <c r="A42" s="156">
        <v>26</v>
      </c>
      <c r="B42" s="157">
        <f>IF(A42&gt;C9,0,SUM(C298:C309)*($C$6/$C$7))</f>
        <v>0</v>
      </c>
      <c r="C42" s="173">
        <f>IF(A42&gt;C9,0,(E363+K363)*$C$8)</f>
        <v>0</v>
      </c>
      <c r="D42" s="2852">
        <f t="shared" si="0"/>
        <v>0</v>
      </c>
      <c r="E42" s="2852"/>
      <c r="F42" s="162"/>
      <c r="G42" s="162"/>
      <c r="H42" s="162"/>
    </row>
    <row r="43" spans="1:8" ht="12.6" customHeight="1">
      <c r="A43" s="60">
        <v>27</v>
      </c>
      <c r="B43" s="155">
        <f>IF(A43&gt;C9,0,SUM(C299:C310)*($C$6/$C$7))</f>
        <v>0</v>
      </c>
      <c r="C43" s="158">
        <f>IF(A43&gt;C9,0,(E375+K375)*$C$8)</f>
        <v>0</v>
      </c>
      <c r="D43" s="2850">
        <f t="shared" si="0"/>
        <v>0</v>
      </c>
      <c r="E43" s="2850"/>
      <c r="F43" s="162"/>
      <c r="G43" s="162"/>
      <c r="H43" s="162"/>
    </row>
    <row r="44" spans="1:8" ht="12.6" customHeight="1">
      <c r="A44" s="60">
        <v>28</v>
      </c>
      <c r="B44" s="155">
        <f>IF(A44&gt;C9,0,SUM(C300:C311)*($C$6/$C$7))</f>
        <v>0</v>
      </c>
      <c r="C44" s="158">
        <f>IF(A44&gt;C9,0,(E387+K387)*$C$8)</f>
        <v>0</v>
      </c>
      <c r="D44" s="2850">
        <f t="shared" si="0"/>
        <v>0</v>
      </c>
      <c r="E44" s="2850"/>
      <c r="F44" s="162"/>
      <c r="G44" s="162"/>
      <c r="H44" s="162"/>
    </row>
    <row r="45" spans="1:8" ht="12.6" customHeight="1">
      <c r="A45" s="60">
        <v>29</v>
      </c>
      <c r="B45" s="155">
        <f>IF(A45&gt;C9,0,SUM(C301:C312)*($C$6/$C$7))</f>
        <v>0</v>
      </c>
      <c r="C45" s="158">
        <f>IF(A45&gt;C9,0,(E411+K411)*$C$8)</f>
        <v>0</v>
      </c>
      <c r="D45" s="2850">
        <f t="shared" si="0"/>
        <v>0</v>
      </c>
      <c r="E45" s="2850"/>
      <c r="F45" s="162"/>
      <c r="G45" s="162"/>
      <c r="H45" s="162"/>
    </row>
    <row r="46" spans="1:8" ht="12.6" customHeight="1">
      <c r="A46" s="159">
        <v>30</v>
      </c>
      <c r="B46" s="160">
        <f>IF(A46&gt;C9,0,SUM(C302:C313)*($C$6/$C$7))</f>
        <v>0</v>
      </c>
      <c r="C46" s="172">
        <f>IF(A46&gt;C9,0,(E423+K423)*$C$8)</f>
        <v>0</v>
      </c>
      <c r="D46" s="2851">
        <f t="shared" si="0"/>
        <v>0</v>
      </c>
      <c r="E46" s="2851"/>
      <c r="F46" s="162"/>
      <c r="G46" s="162"/>
      <c r="H46" s="162"/>
    </row>
    <row r="47" spans="1:8" ht="12.6" customHeight="1">
      <c r="A47" s="156">
        <v>31</v>
      </c>
      <c r="B47" s="157">
        <f>IF(A47&gt;C9,0,SUM(C303:C314)*($C$6/$C$7))</f>
        <v>0</v>
      </c>
      <c r="C47" s="173">
        <f>IF(A47&gt;C9,0,(E435+K435)*$C$8)</f>
        <v>0</v>
      </c>
      <c r="D47" s="2852">
        <f t="shared" si="0"/>
        <v>0</v>
      </c>
      <c r="E47" s="2852"/>
      <c r="F47" s="162"/>
      <c r="G47" s="162"/>
      <c r="H47" s="162"/>
    </row>
    <row r="48" spans="1:8" ht="12.6" customHeight="1">
      <c r="A48" s="60">
        <v>32</v>
      </c>
      <c r="B48" s="155">
        <f>IF(A48&gt;C9,0,SUM(C304:C315)*($C$6/$C$7))</f>
        <v>0</v>
      </c>
      <c r="C48" s="158">
        <f>IF(A48&gt;C9,0,(E447+K447)*$C$8)</f>
        <v>0</v>
      </c>
      <c r="D48" s="2850">
        <f t="shared" si="0"/>
        <v>0</v>
      </c>
      <c r="E48" s="2850"/>
      <c r="F48" s="162"/>
      <c r="G48" s="162"/>
      <c r="H48" s="162"/>
    </row>
    <row r="49" spans="1:12" ht="12.6" customHeight="1">
      <c r="A49" s="60">
        <v>33</v>
      </c>
      <c r="B49" s="155">
        <f>IF(A49&gt;C9,0,SUM(C305:C316)*($C$6/$C$7))</f>
        <v>0</v>
      </c>
      <c r="C49" s="158">
        <f>IF(A49&gt;C9,0,(E459+K459)*$C$8)</f>
        <v>0</v>
      </c>
      <c r="D49" s="2850">
        <f t="shared" si="0"/>
        <v>0</v>
      </c>
      <c r="E49" s="2850"/>
      <c r="F49" s="162"/>
      <c r="G49" s="162"/>
      <c r="H49" s="162"/>
    </row>
    <row r="50" spans="1:12" ht="12.6" customHeight="1">
      <c r="A50" s="60">
        <v>34</v>
      </c>
      <c r="B50" s="155">
        <f>IF(A50&gt;C9,0,SUM(C306:C317)*($C$6/$C$7))</f>
        <v>0</v>
      </c>
      <c r="C50" s="158">
        <f>IF(A50&gt;C9,0,(E471+K471)*$C$8)</f>
        <v>0</v>
      </c>
      <c r="D50" s="2850">
        <f t="shared" si="0"/>
        <v>0</v>
      </c>
      <c r="E50" s="2850"/>
      <c r="F50" s="162"/>
      <c r="G50" s="162"/>
      <c r="H50" s="162"/>
    </row>
    <row r="51" spans="1:12" ht="12.6" customHeight="1">
      <c r="A51" s="159">
        <v>35</v>
      </c>
      <c r="B51" s="160">
        <f>IF(A51&gt;C9,0,SUM(C307:C318)*($C$6/$C$7))</f>
        <v>0</v>
      </c>
      <c r="C51" s="172">
        <f>IF(A51&gt;C9,0,(E483+K483)*$C$8)</f>
        <v>0</v>
      </c>
      <c r="D51" s="2851">
        <f t="shared" si="0"/>
        <v>0</v>
      </c>
      <c r="E51" s="2851"/>
      <c r="F51" s="162"/>
      <c r="G51" s="162"/>
      <c r="H51" s="162"/>
    </row>
    <row r="52" spans="1:12" ht="12.6" customHeight="1">
      <c r="A52" s="156">
        <v>36</v>
      </c>
      <c r="B52" s="157">
        <f>IF(A52&gt;C9,0,SUM(C308:C319)*($C$6/$C$7))</f>
        <v>0</v>
      </c>
      <c r="C52" s="173">
        <f>IF(A52&gt;C9,0,(E495+K495)*$C$8)</f>
        <v>0</v>
      </c>
      <c r="D52" s="2852">
        <f t="shared" si="0"/>
        <v>0</v>
      </c>
      <c r="E52" s="2852"/>
      <c r="F52" s="162"/>
      <c r="G52" s="162"/>
      <c r="H52" s="162"/>
    </row>
    <row r="53" spans="1:12" ht="12.6" customHeight="1">
      <c r="A53" s="60">
        <v>37</v>
      </c>
      <c r="B53" s="155">
        <f>IF(A53&gt;C9,0,SUM(C309:C320)*($C$6/$C$7))</f>
        <v>0</v>
      </c>
      <c r="C53" s="158">
        <f>IF(A53&gt;C9,0,(E507+K507)*$C$8)</f>
        <v>0</v>
      </c>
      <c r="D53" s="2850">
        <f t="shared" si="0"/>
        <v>0</v>
      </c>
      <c r="E53" s="2850"/>
      <c r="F53" s="162"/>
      <c r="G53" s="162"/>
      <c r="H53" s="162"/>
    </row>
    <row r="54" spans="1:12" ht="12.6" customHeight="1">
      <c r="A54" s="60">
        <v>38</v>
      </c>
      <c r="B54" s="155">
        <f>IF(A54&gt;C9,0,SUM(C310:C321)*($C$6/$C$7))</f>
        <v>0</v>
      </c>
      <c r="C54" s="158">
        <f>IF(A54&gt;C9,0,(E519+K519)*$C$8)</f>
        <v>0</v>
      </c>
      <c r="D54" s="2850">
        <f t="shared" si="0"/>
        <v>0</v>
      </c>
      <c r="E54" s="2850"/>
      <c r="F54" s="162"/>
      <c r="G54" s="162"/>
      <c r="H54" s="162"/>
    </row>
    <row r="55" spans="1:12" ht="12.6" customHeight="1">
      <c r="A55" s="60">
        <v>39</v>
      </c>
      <c r="B55" s="155">
        <f>IF(A55&gt;C9,0,SUM(C311:C322)*($C$6/$C$7))</f>
        <v>0</v>
      </c>
      <c r="C55" s="158">
        <f>IF(A55&gt;C9,0,(E531+K531)*$C$8)</f>
        <v>0</v>
      </c>
      <c r="D55" s="2850">
        <f t="shared" si="0"/>
        <v>0</v>
      </c>
      <c r="E55" s="2850"/>
      <c r="F55" s="162"/>
      <c r="G55" s="162"/>
      <c r="H55" s="162"/>
    </row>
    <row r="56" spans="1:12" ht="12.6" customHeight="1">
      <c r="A56" s="159">
        <v>40</v>
      </c>
      <c r="B56" s="160">
        <f>IF(A56&gt;C9,0,SUM(C312:C323)*($C$6/$C$7))</f>
        <v>0</v>
      </c>
      <c r="C56" s="172">
        <f>IF(A56&gt;C9,0,(E543+K543)*$C$8)</f>
        <v>0</v>
      </c>
      <c r="D56" s="2851">
        <f t="shared" si="0"/>
        <v>0</v>
      </c>
      <c r="E56" s="2851"/>
      <c r="F56" s="162"/>
      <c r="G56" s="162"/>
      <c r="H56" s="162"/>
    </row>
    <row r="57" spans="1:12" ht="3" customHeight="1">
      <c r="A57" s="162"/>
      <c r="B57" s="162"/>
      <c r="C57" s="162"/>
      <c r="D57" s="162"/>
      <c r="E57" s="162"/>
      <c r="F57" s="162"/>
      <c r="G57" s="162"/>
      <c r="H57" s="162"/>
    </row>
    <row r="58" spans="1:12" ht="13.35" customHeight="1">
      <c r="A58" s="2854" t="e">
        <f>CONCATENATE(#REF!," ",#REF!,", ",#REF!,", ",#REF!," County")</f>
        <v>#REF!</v>
      </c>
      <c r="B58" s="2854"/>
      <c r="C58" s="2854"/>
      <c r="D58" s="2854"/>
      <c r="E58" s="2854"/>
      <c r="F58" s="2854"/>
      <c r="G58" s="2854" t="e">
        <f>CONCATENATE(#REF!," ",#REF!,", ",#REF!,", ",#REF!," County")</f>
        <v>#REF!</v>
      </c>
      <c r="H58" s="2854"/>
      <c r="I58" s="2854"/>
      <c r="J58" s="2854"/>
      <c r="K58" s="2854"/>
      <c r="L58" s="2854"/>
    </row>
    <row r="59" spans="1:12" ht="15">
      <c r="A59" s="2855" t="s">
        <v>2276</v>
      </c>
      <c r="B59" s="2855"/>
      <c r="C59" s="2855"/>
      <c r="D59" s="2855"/>
      <c r="E59" s="2855"/>
      <c r="F59" s="2855"/>
      <c r="G59" s="2855" t="s">
        <v>2276</v>
      </c>
      <c r="H59" s="2855"/>
      <c r="I59" s="2855"/>
      <c r="J59" s="2855"/>
      <c r="K59" s="2855"/>
      <c r="L59" s="2855"/>
    </row>
    <row r="60" spans="1:12" ht="6" customHeight="1">
      <c r="C60" s="161"/>
      <c r="D60" s="161"/>
      <c r="I60" s="161"/>
      <c r="J60" s="161"/>
    </row>
    <row r="61" spans="1:12">
      <c r="A61" s="163" t="s">
        <v>2277</v>
      </c>
      <c r="B61" s="164" t="s">
        <v>2278</v>
      </c>
      <c r="C61" s="164" t="s">
        <v>1218</v>
      </c>
      <c r="D61" s="164" t="s">
        <v>2279</v>
      </c>
      <c r="E61" s="163" t="s">
        <v>2280</v>
      </c>
      <c r="F61" s="185" t="s">
        <v>2285</v>
      </c>
      <c r="G61" s="163" t="s">
        <v>2277</v>
      </c>
      <c r="H61" s="164" t="s">
        <v>2278</v>
      </c>
      <c r="I61" s="164" t="s">
        <v>1218</v>
      </c>
      <c r="J61" s="164" t="s">
        <v>2279</v>
      </c>
      <c r="K61" s="163" t="s">
        <v>2280</v>
      </c>
      <c r="L61" s="185" t="s">
        <v>2285</v>
      </c>
    </row>
    <row r="62" spans="1:12" ht="3.6" customHeight="1">
      <c r="A62" s="60"/>
      <c r="F62" s="60"/>
      <c r="G62" s="60"/>
      <c r="L62" s="60"/>
    </row>
    <row r="63" spans="1:12">
      <c r="A63" s="159" t="s">
        <v>2281</v>
      </c>
      <c r="B63" s="165"/>
      <c r="C63" s="165"/>
      <c r="D63" s="165"/>
      <c r="E63" s="166">
        <f>IF($C$5&gt;1500000,$D$5,$C$5)</f>
        <v>0</v>
      </c>
      <c r="F63" s="60"/>
      <c r="G63" s="159" t="s">
        <v>2281</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5546875" defaultRowHeight="12.75"/>
  <cols>
    <col min="1" max="1" width="7.140625" customWidth="1"/>
    <col min="2" max="6" width="16.85546875" customWidth="1"/>
    <col min="7" max="7" width="11.5703125" customWidth="1"/>
    <col min="8" max="8" width="2.140625" style="60" customWidth="1"/>
    <col min="9" max="9" width="10.42578125" bestFit="1" customWidth="1"/>
    <col min="10" max="10" width="12.140625" customWidth="1"/>
    <col min="11" max="11" width="10.85546875" customWidth="1"/>
  </cols>
  <sheetData>
    <row r="1" spans="1:17" s="6" customFormat="1" ht="16.350000000000001" customHeight="1">
      <c r="A1" s="2847" t="e">
        <f>CONCATENATE("PART III C  - HUD INSURED LOAN","  -  ",#REF!," ",#REF!,", ",#REF!,", ",#REF!," County")</f>
        <v>#REF!</v>
      </c>
      <c r="B1" s="2848"/>
      <c r="C1" s="2848"/>
      <c r="D1" s="2848"/>
      <c r="E1" s="2848"/>
      <c r="F1" s="2849"/>
      <c r="G1" s="139"/>
      <c r="H1" s="139"/>
      <c r="I1" s="139"/>
      <c r="J1" s="139"/>
      <c r="K1" s="139"/>
      <c r="L1" s="139"/>
      <c r="M1" s="139"/>
      <c r="N1" s="139"/>
      <c r="O1" s="139"/>
      <c r="P1" s="139"/>
      <c r="Q1" s="139"/>
    </row>
    <row r="2" spans="1:17">
      <c r="A2" s="10"/>
    </row>
    <row r="3" spans="1:17" ht="15.6" customHeight="1">
      <c r="A3" s="2855" t="s">
        <v>210</v>
      </c>
      <c r="B3" s="2855"/>
      <c r="C3" s="2855"/>
      <c r="D3" s="2855"/>
      <c r="E3" s="2855"/>
      <c r="F3" s="2855"/>
      <c r="G3" s="189"/>
      <c r="H3" s="189"/>
    </row>
    <row r="4" spans="1:17">
      <c r="A4" s="10"/>
    </row>
    <row r="5" spans="1:17" ht="13.35" customHeight="1">
      <c r="A5" t="s">
        <v>2084</v>
      </c>
      <c r="D5" s="183"/>
      <c r="E5" s="2858" t="s">
        <v>896</v>
      </c>
      <c r="F5" s="2859"/>
      <c r="G5" s="126"/>
    </row>
    <row r="6" spans="1:17">
      <c r="E6" s="2859"/>
      <c r="F6" s="2859"/>
      <c r="G6" s="126"/>
    </row>
    <row r="7" spans="1:17">
      <c r="A7" t="s">
        <v>2268</v>
      </c>
      <c r="C7" t="s">
        <v>2269</v>
      </c>
      <c r="D7" s="184"/>
      <c r="E7" s="2859"/>
      <c r="F7" s="2859"/>
      <c r="G7" s="126"/>
    </row>
    <row r="8" spans="1:17">
      <c r="C8" t="s">
        <v>2270</v>
      </c>
      <c r="D8" s="184"/>
      <c r="E8" s="2859"/>
      <c r="F8" s="2859"/>
      <c r="G8" s="126"/>
    </row>
    <row r="9" spans="1:17">
      <c r="C9" t="s">
        <v>2271</v>
      </c>
      <c r="D9" s="184"/>
      <c r="E9" s="2859"/>
      <c r="F9" s="2859"/>
      <c r="G9" s="126"/>
    </row>
    <row r="10" spans="1:17">
      <c r="C10" t="s">
        <v>2284</v>
      </c>
      <c r="D10" s="190">
        <f>D7+D8+D9</f>
        <v>0</v>
      </c>
      <c r="E10" s="2859"/>
      <c r="F10" s="2859"/>
      <c r="G10" s="126"/>
    </row>
    <row r="11" spans="1:17">
      <c r="F11" s="126"/>
      <c r="G11" s="126"/>
    </row>
    <row r="12" spans="1:17">
      <c r="A12" t="s">
        <v>1596</v>
      </c>
      <c r="D12" s="182"/>
      <c r="E12" t="s">
        <v>1982</v>
      </c>
      <c r="F12" s="126"/>
      <c r="G12" s="126"/>
    </row>
    <row r="13" spans="1:17">
      <c r="D13" s="161"/>
      <c r="F13" s="126"/>
      <c r="G13" s="126"/>
    </row>
    <row r="14" spans="1:17">
      <c r="A14" t="s">
        <v>2273</v>
      </c>
      <c r="D14" s="181"/>
      <c r="E14" t="s">
        <v>2274</v>
      </c>
      <c r="F14" s="191"/>
    </row>
    <row r="15" spans="1:17">
      <c r="D15" s="174"/>
      <c r="F15" s="191"/>
    </row>
    <row r="16" spans="1:17">
      <c r="A16" t="s">
        <v>2275</v>
      </c>
      <c r="D16" s="181"/>
      <c r="E16" t="s">
        <v>2274</v>
      </c>
      <c r="F16" s="191"/>
    </row>
    <row r="17" spans="1:10">
      <c r="D17" s="161"/>
      <c r="F17" s="191"/>
    </row>
    <row r="18" spans="1:10">
      <c r="A18" t="s">
        <v>871</v>
      </c>
      <c r="D18" s="161" t="e">
        <f>PMT(D10/12,D16*12,-D5,0,0)*12</f>
        <v>#NUM!</v>
      </c>
      <c r="E18" t="s">
        <v>1406</v>
      </c>
      <c r="F18" s="191"/>
    </row>
    <row r="19" spans="1:10">
      <c r="D19" s="161"/>
      <c r="F19" s="191"/>
    </row>
    <row r="20" spans="1:10">
      <c r="A20" t="s">
        <v>1407</v>
      </c>
      <c r="D20" s="161" t="e">
        <f>D18/12</f>
        <v>#NUM!</v>
      </c>
      <c r="E20" t="s">
        <v>1406</v>
      </c>
      <c r="F20" s="191"/>
    </row>
    <row r="24" spans="1:10" ht="18" customHeight="1">
      <c r="A24" s="2856" t="s">
        <v>1597</v>
      </c>
      <c r="B24" s="2856"/>
      <c r="C24" s="2856"/>
      <c r="D24" s="2856"/>
      <c r="E24" s="2856"/>
      <c r="F24" s="2856"/>
      <c r="J24" s="192"/>
    </row>
    <row r="25" spans="1:10">
      <c r="C25" s="161"/>
      <c r="J25" s="192"/>
    </row>
    <row r="26" spans="1:10">
      <c r="A26" s="82"/>
      <c r="B26" s="60"/>
      <c r="C26" s="2860" t="s">
        <v>2083</v>
      </c>
      <c r="D26" s="188"/>
      <c r="E26" s="60"/>
      <c r="F26" s="2860" t="s">
        <v>2083</v>
      </c>
      <c r="J26" s="192"/>
    </row>
    <row r="27" spans="1:10">
      <c r="A27" s="193" t="s">
        <v>2285</v>
      </c>
      <c r="B27" s="24" t="s">
        <v>963</v>
      </c>
      <c r="C27" s="2861"/>
      <c r="D27" s="194" t="s">
        <v>2285</v>
      </c>
      <c r="E27" s="24" t="s">
        <v>963</v>
      </c>
      <c r="F27" s="2861"/>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2854" t="e">
        <f>CONCATENATE(#REF!," ",#REF!,", ",#REF!,", ",#REF!," County")</f>
        <v>#REF!</v>
      </c>
      <c r="B50" s="2854"/>
      <c r="C50" s="2854"/>
      <c r="D50" s="2854"/>
      <c r="E50" s="2854"/>
      <c r="F50" s="2854"/>
      <c r="G50" s="41"/>
      <c r="H50" s="41"/>
    </row>
    <row r="51" spans="1:10" ht="15">
      <c r="A51" s="2855" t="s">
        <v>2276</v>
      </c>
      <c r="B51" s="2855"/>
      <c r="C51" s="2855"/>
      <c r="D51" s="2855"/>
      <c r="E51" s="2855"/>
      <c r="F51" s="2855"/>
      <c r="G51" s="189"/>
      <c r="H51" s="189"/>
      <c r="I51" s="189"/>
      <c r="J51" s="189"/>
    </row>
    <row r="52" spans="1:10" ht="5.45" customHeight="1">
      <c r="C52" s="161"/>
      <c r="D52" s="161"/>
    </row>
    <row r="53" spans="1:10">
      <c r="A53" s="163" t="s">
        <v>2277</v>
      </c>
      <c r="B53" s="163" t="s">
        <v>2278</v>
      </c>
      <c r="C53" s="163" t="s">
        <v>1218</v>
      </c>
      <c r="D53" s="163" t="s">
        <v>2279</v>
      </c>
      <c r="E53" s="163" t="s">
        <v>2280</v>
      </c>
      <c r="F53" s="185" t="s">
        <v>2285</v>
      </c>
      <c r="G53" s="163"/>
      <c r="H53" s="163"/>
      <c r="I53" s="163"/>
    </row>
    <row r="54" spans="1:10" ht="3.6" customHeight="1">
      <c r="F54" s="60"/>
    </row>
    <row r="55" spans="1:10">
      <c r="A55" t="s">
        <v>2281</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56" zoomScaleNormal="100" workbookViewId="0">
      <selection activeCell="Q183" sqref="Q183"/>
    </sheetView>
  </sheetViews>
  <sheetFormatPr defaultColWidth="9.140625" defaultRowHeight="12.75"/>
  <cols>
    <col min="1" max="1" width="2.42578125" style="145" customWidth="1"/>
    <col min="2" max="2" width="5.42578125" style="145" customWidth="1"/>
    <col min="3" max="3" width="18.28515625" style="145" customWidth="1"/>
    <col min="4" max="4" width="7.140625" style="145" customWidth="1"/>
    <col min="5" max="5" width="12.5703125" style="145" customWidth="1"/>
    <col min="6" max="6" width="10.42578125" style="145" customWidth="1"/>
    <col min="7" max="8" width="6.42578125" style="145" customWidth="1"/>
    <col min="9" max="9" width="1.85546875" style="145" customWidth="1"/>
    <col min="10" max="11" width="6.42578125" style="145" customWidth="1"/>
    <col min="12" max="12" width="1.85546875" style="145" customWidth="1"/>
    <col min="13" max="14" width="6.42578125" style="145" customWidth="1"/>
    <col min="15" max="15" width="1.85546875" style="145" customWidth="1"/>
    <col min="16" max="17" width="6.42578125" style="145" customWidth="1"/>
    <col min="18" max="18" width="1.85546875" style="145" customWidth="1"/>
    <col min="19" max="20" width="7" style="145" customWidth="1"/>
    <col min="21" max="21" width="5.85546875" style="145" customWidth="1"/>
    <col min="22" max="22" width="13.140625" style="145" customWidth="1"/>
    <col min="23" max="23" width="24.85546875" style="145" customWidth="1"/>
    <col min="24" max="24" width="73.42578125" style="145" customWidth="1"/>
    <col min="25" max="25" width="9.140625" style="145"/>
    <col min="26" max="29" width="8" style="145" customWidth="1"/>
    <col min="30" max="31" width="9.140625" style="145" bestFit="1" customWidth="1"/>
    <col min="32" max="32" width="10.42578125" style="145" customWidth="1"/>
    <col min="33" max="33" width="10.28515625" style="145" customWidth="1"/>
    <col min="34" max="51" width="8" style="145" customWidth="1"/>
    <col min="52" max="52" width="9.140625" style="744"/>
    <col min="53" max="53" width="9.140625" style="1741"/>
    <col min="54" max="16384" width="9.140625" style="145"/>
  </cols>
  <sheetData>
    <row r="1" spans="1:53" s="1741" customFormat="1" ht="13.5" hidden="1" customHeight="1">
      <c r="G1" s="1741" t="s">
        <v>6342</v>
      </c>
      <c r="J1" s="1741" t="s">
        <v>6343</v>
      </c>
      <c r="M1" s="1741" t="s">
        <v>6344</v>
      </c>
      <c r="N1" s="1741" t="s">
        <v>6345</v>
      </c>
      <c r="P1" s="1741" t="s">
        <v>6346</v>
      </c>
      <c r="Q1" s="1741" t="s">
        <v>6347</v>
      </c>
      <c r="S1" s="1741" t="s">
        <v>6348</v>
      </c>
      <c r="AZ1" s="744"/>
      <c r="BA1" s="1708">
        <v>1</v>
      </c>
    </row>
    <row r="2" spans="1:53" s="144" customFormat="1" ht="13.5" customHeight="1">
      <c r="A2" s="3021" t="str">
        <f>CONCATENATE("PART THREE (A):  USES OF FUNDS","  -  ",'Part I-Project Identification'!$O$7," ",'Part I-Project Identification'!$F$29,", ",'Part I-Project Identification'!F30,", ",'Part I-Project Identification'!J30," County")</f>
        <v>PART THREE (A):  USES OF FUNDS  -  2022-522 Harrison Village Apartments, Gainesville, Hall County</v>
      </c>
      <c r="B2" s="3022"/>
      <c r="C2" s="3022"/>
      <c r="D2" s="3022"/>
      <c r="E2" s="3022"/>
      <c r="F2" s="3022"/>
      <c r="G2" s="3022"/>
      <c r="H2" s="3022"/>
      <c r="I2" s="3022"/>
      <c r="J2" s="3022"/>
      <c r="K2" s="3022"/>
      <c r="L2" s="3022"/>
      <c r="M2" s="3022"/>
      <c r="N2" s="3022"/>
      <c r="O2" s="3022"/>
      <c r="P2" s="3022"/>
      <c r="Q2" s="3022"/>
      <c r="R2" s="3022"/>
      <c r="S2" s="3022"/>
      <c r="T2" s="3022"/>
      <c r="W2" s="3023" t="str">
        <f>A2</f>
        <v>PART THREE (A):  USES OF FUNDS  -  2022-522 Harrison Village Apartments, Gainesville, Hall County</v>
      </c>
      <c r="X2" s="3023"/>
      <c r="AZ2" s="1982"/>
      <c r="BA2" s="1708">
        <v>2</v>
      </c>
    </row>
    <row r="3" spans="1:53" ht="2.25" customHeight="1">
      <c r="BA3" s="170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82"/>
      <c r="BA4" s="1708">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82"/>
      <c r="BA5" s="1708">
        <v>5</v>
      </c>
    </row>
    <row r="6" spans="1:53" s="144" customFormat="1" ht="19.5" customHeight="1" thickBot="1">
      <c r="A6" s="343" t="s">
        <v>573</v>
      </c>
      <c r="B6" s="343" t="s">
        <v>842</v>
      </c>
      <c r="D6" s="2903" t="str">
        <f>'Part I-Project Identification'!$A$6</f>
        <v>Sept 20, 2022 Core Application - 4% Only</v>
      </c>
      <c r="E6" s="2903"/>
      <c r="F6" s="2903"/>
      <c r="G6" s="2903"/>
      <c r="H6" s="2903"/>
      <c r="I6" s="376"/>
      <c r="J6" s="2878" t="s">
        <v>259</v>
      </c>
      <c r="K6" s="2879"/>
      <c r="L6" s="280"/>
      <c r="M6" s="2997" t="s">
        <v>460</v>
      </c>
      <c r="N6" s="2998"/>
      <c r="P6" s="2878" t="s">
        <v>260</v>
      </c>
      <c r="Q6" s="2879"/>
      <c r="S6" s="2878" t="s">
        <v>261</v>
      </c>
      <c r="T6" s="2879"/>
      <c r="V6" s="344" t="str">
        <f>B6</f>
        <v>DEVELOPMENT BUDGET</v>
      </c>
      <c r="AZ6" s="1982"/>
      <c r="BA6" s="1708">
        <v>6</v>
      </c>
    </row>
    <row r="7" spans="1:53" s="144" customFormat="1" ht="19.5" customHeight="1" thickBot="1">
      <c r="D7" s="1229"/>
      <c r="E7" s="1229"/>
      <c r="F7" s="1229"/>
      <c r="G7" s="2993" t="s">
        <v>95</v>
      </c>
      <c r="H7" s="2994"/>
      <c r="J7" s="2880"/>
      <c r="K7" s="2881"/>
      <c r="L7" s="280"/>
      <c r="M7" s="2999"/>
      <c r="N7" s="3000"/>
      <c r="P7" s="2880"/>
      <c r="Q7" s="2881"/>
      <c r="S7" s="2880"/>
      <c r="T7" s="2881"/>
      <c r="V7" s="253" t="s">
        <v>2449</v>
      </c>
      <c r="X7" s="253"/>
      <c r="AZ7" s="1982"/>
      <c r="BA7" s="1708">
        <v>7</v>
      </c>
    </row>
    <row r="8" spans="1:53" s="144" customFormat="1" ht="12" customHeight="1">
      <c r="B8" s="243" t="s">
        <v>96</v>
      </c>
      <c r="O8" s="375" t="str">
        <f>B8</f>
        <v>PRE-DEVELOPMENT COSTS</v>
      </c>
      <c r="W8" s="144" t="str">
        <f>B8</f>
        <v>PRE-DEVELOPMENT COSTS</v>
      </c>
      <c r="AZ8" s="1982"/>
      <c r="BA8" s="1708">
        <v>8</v>
      </c>
    </row>
    <row r="9" spans="1:53" s="144" customFormat="1" ht="11.25" customHeight="1">
      <c r="B9" s="144" t="s">
        <v>1856</v>
      </c>
      <c r="G9" s="2800">
        <v>20000</v>
      </c>
      <c r="H9" s="2801"/>
      <c r="J9" s="2800">
        <v>20000</v>
      </c>
      <c r="K9" s="2801"/>
      <c r="L9" s="828"/>
      <c r="M9" s="2800"/>
      <c r="N9" s="2801"/>
      <c r="P9" s="2800"/>
      <c r="Q9" s="2801"/>
      <c r="S9" s="2800"/>
      <c r="T9" s="2801"/>
      <c r="V9" s="849"/>
      <c r="W9" s="2915"/>
      <c r="X9" s="2916"/>
      <c r="AZ9" s="1982"/>
      <c r="BA9" s="1708">
        <v>9</v>
      </c>
    </row>
    <row r="10" spans="1:53" s="144" customFormat="1" ht="11.25" customHeight="1">
      <c r="B10" s="144" t="s">
        <v>431</v>
      </c>
      <c r="G10" s="2788">
        <v>9000</v>
      </c>
      <c r="H10" s="2789"/>
      <c r="J10" s="2788">
        <v>9000</v>
      </c>
      <c r="K10" s="2789"/>
      <c r="L10" s="828"/>
      <c r="M10" s="2788"/>
      <c r="N10" s="2789"/>
      <c r="P10" s="2788"/>
      <c r="Q10" s="2789"/>
      <c r="S10" s="2788"/>
      <c r="T10" s="2789"/>
      <c r="V10" s="849"/>
      <c r="W10" s="2915"/>
      <c r="X10" s="2916"/>
      <c r="AZ10" s="1982"/>
      <c r="BA10" s="1708">
        <v>10</v>
      </c>
    </row>
    <row r="11" spans="1:53" s="144" customFormat="1" ht="11.25" customHeight="1">
      <c r="B11" s="144" t="s">
        <v>458</v>
      </c>
      <c r="G11" s="2788">
        <v>61551</v>
      </c>
      <c r="H11" s="2789"/>
      <c r="J11" s="2788">
        <v>61551</v>
      </c>
      <c r="K11" s="2789"/>
      <c r="L11" s="828"/>
      <c r="M11" s="2788"/>
      <c r="N11" s="2789"/>
      <c r="P11" s="2788"/>
      <c r="Q11" s="2789"/>
      <c r="S11" s="2788"/>
      <c r="T11" s="2789"/>
      <c r="V11" s="849"/>
      <c r="W11" s="2915"/>
      <c r="X11" s="2916"/>
      <c r="AZ11" s="1982"/>
      <c r="BA11" s="1708">
        <v>11</v>
      </c>
    </row>
    <row r="12" spans="1:53" s="144" customFormat="1" ht="11.25" customHeight="1">
      <c r="B12" s="144" t="s">
        <v>459</v>
      </c>
      <c r="G12" s="2788">
        <v>33675</v>
      </c>
      <c r="H12" s="2789"/>
      <c r="J12" s="2788">
        <v>33675</v>
      </c>
      <c r="K12" s="2789"/>
      <c r="L12" s="828"/>
      <c r="M12" s="2788"/>
      <c r="N12" s="2789"/>
      <c r="P12" s="2788"/>
      <c r="Q12" s="2789"/>
      <c r="S12" s="2788"/>
      <c r="T12" s="2789"/>
      <c r="V12" s="849"/>
      <c r="W12" s="2915"/>
      <c r="X12" s="2916"/>
      <c r="AZ12" s="1982"/>
      <c r="BA12" s="1708">
        <v>12</v>
      </c>
    </row>
    <row r="13" spans="1:53" s="144" customFormat="1" ht="11.25" customHeight="1">
      <c r="B13" s="144" t="s">
        <v>2302</v>
      </c>
      <c r="G13" s="2788">
        <v>60000</v>
      </c>
      <c r="H13" s="2789"/>
      <c r="J13" s="2788">
        <v>60000</v>
      </c>
      <c r="K13" s="2789"/>
      <c r="L13" s="828"/>
      <c r="M13" s="2788"/>
      <c r="N13" s="2789"/>
      <c r="P13" s="2788"/>
      <c r="Q13" s="2789"/>
      <c r="S13" s="2788"/>
      <c r="T13" s="2789"/>
      <c r="V13" s="849"/>
      <c r="W13" s="2915"/>
      <c r="X13" s="2916"/>
      <c r="AZ13" s="1982"/>
      <c r="BA13" s="1708">
        <v>13</v>
      </c>
    </row>
    <row r="14" spans="1:53" s="144" customFormat="1" ht="11.25" customHeight="1">
      <c r="B14" s="144" t="s">
        <v>183</v>
      </c>
      <c r="G14" s="2788"/>
      <c r="H14" s="2789"/>
      <c r="J14" s="2788"/>
      <c r="K14" s="2789"/>
      <c r="L14" s="828"/>
      <c r="M14" s="2788"/>
      <c r="N14" s="2789"/>
      <c r="P14" s="2788"/>
      <c r="Q14" s="2789"/>
      <c r="S14" s="2788"/>
      <c r="T14" s="2789"/>
      <c r="V14" s="849"/>
      <c r="W14" s="2915"/>
      <c r="X14" s="2916"/>
      <c r="AZ14" s="1982"/>
      <c r="BA14" s="1708">
        <v>14</v>
      </c>
    </row>
    <row r="15" spans="1:53" s="144" customFormat="1" ht="11.25" customHeight="1">
      <c r="A15" s="303" t="str">
        <f>IF(AND(G15&gt;0,OR(C15="",C15="&lt;Enter detailed description here; use Comments section if needed&gt;")),"X","")</f>
        <v/>
      </c>
      <c r="B15" s="147" t="s">
        <v>6280</v>
      </c>
      <c r="C15" s="2984" t="s">
        <v>6725</v>
      </c>
      <c r="D15" s="2984"/>
      <c r="E15" s="2984"/>
      <c r="F15" s="2985"/>
      <c r="G15" s="2788"/>
      <c r="H15" s="2789"/>
      <c r="J15" s="2788"/>
      <c r="K15" s="2789"/>
      <c r="L15" s="828"/>
      <c r="M15" s="2788"/>
      <c r="N15" s="2789"/>
      <c r="P15" s="2788"/>
      <c r="Q15" s="2789"/>
      <c r="S15" s="2788"/>
      <c r="T15" s="2789"/>
      <c r="U15" s="302" t="str">
        <f>IF(AND(G15&gt;0,OR(C15="",C15="&lt;Enter detailed description here; use Comments section if needed&gt;")),"NO DESCRIPTION PROVIDED - please enter detailed description in Other box at left; use Comments section below if needed.","")</f>
        <v/>
      </c>
      <c r="V15" s="850"/>
      <c r="W15" s="2915"/>
      <c r="X15" s="2916"/>
      <c r="AZ15" s="1982" t="s">
        <v>6374</v>
      </c>
      <c r="BA15" s="1708">
        <v>15</v>
      </c>
    </row>
    <row r="16" spans="1:53" s="144" customFormat="1" ht="11.25" customHeight="1">
      <c r="A16" s="303" t="str">
        <f>IF(AND(G16&gt;0,OR(C16="",C16="&lt;Enter detailed description here; use Comments section if needed&gt;")),"X","")</f>
        <v/>
      </c>
      <c r="B16" s="147" t="s">
        <v>6281</v>
      </c>
      <c r="C16" s="2984" t="s">
        <v>6725</v>
      </c>
      <c r="D16" s="2984"/>
      <c r="E16" s="2984"/>
      <c r="F16" s="2985"/>
      <c r="G16" s="2788"/>
      <c r="H16" s="2789"/>
      <c r="J16" s="2788"/>
      <c r="K16" s="2789"/>
      <c r="L16" s="828"/>
      <c r="M16" s="2788"/>
      <c r="N16" s="2789"/>
      <c r="P16" s="2788"/>
      <c r="Q16" s="2789"/>
      <c r="S16" s="2788"/>
      <c r="T16" s="2789"/>
      <c r="U16" s="302" t="str">
        <f>IF(AND(G16&gt;0,OR(C16="",C16="&lt;Enter detailed description here; use Comments section if needed&gt;")),"NO DESCRIPTION PROVIDED - please enter detailed description in Other box at left; use Comments section below if needed.","")</f>
        <v/>
      </c>
      <c r="V16" s="850"/>
      <c r="W16" s="2915"/>
      <c r="X16" s="2916"/>
      <c r="AZ16" s="1982" t="s">
        <v>6375</v>
      </c>
      <c r="BA16" s="1708">
        <v>16</v>
      </c>
    </row>
    <row r="17" spans="1:53" s="144" customFormat="1" ht="11.25" customHeight="1" thickBot="1">
      <c r="A17" s="303" t="str">
        <f>IF(AND(G17&gt;0,OR(C17="",C17="&lt;Enter detailed description here; use Comments section if needed&gt;")),"X","")</f>
        <v/>
      </c>
      <c r="B17" s="147" t="s">
        <v>6282</v>
      </c>
      <c r="C17" s="2984" t="s">
        <v>6725</v>
      </c>
      <c r="D17" s="2984"/>
      <c r="E17" s="2984"/>
      <c r="F17" s="2985"/>
      <c r="G17" s="2987"/>
      <c r="H17" s="2988"/>
      <c r="J17" s="2987"/>
      <c r="K17" s="2988"/>
      <c r="L17" s="828"/>
      <c r="M17" s="2987"/>
      <c r="N17" s="2988"/>
      <c r="P17" s="2987"/>
      <c r="Q17" s="2988"/>
      <c r="S17" s="2987"/>
      <c r="T17" s="2988"/>
      <c r="U17" s="302" t="str">
        <f>IF(AND(G17&gt;0,OR(C17="",C17="&lt;Enter detailed description here; use Comments section if needed&gt;")),"NO DESCRIPTION PROVIDED - please enter detailed description in Other box at left; use Comments section below if needed.","")</f>
        <v/>
      </c>
      <c r="V17" s="850"/>
      <c r="W17" s="2917"/>
      <c r="X17" s="2918"/>
      <c r="AZ17" s="1982" t="s">
        <v>6376</v>
      </c>
      <c r="BA17" s="1708">
        <v>17</v>
      </c>
    </row>
    <row r="18" spans="1:53" s="144" customFormat="1" ht="12.6" customHeight="1" thickTop="1">
      <c r="F18" s="281" t="s">
        <v>184</v>
      </c>
      <c r="G18" s="2901">
        <f>SUM(G9:G17)</f>
        <v>184226</v>
      </c>
      <c r="H18" s="2902"/>
      <c r="J18" s="2901">
        <f>SUM(J9:J17)</f>
        <v>184226</v>
      </c>
      <c r="K18" s="2902"/>
      <c r="L18" s="828"/>
      <c r="M18" s="2901">
        <f>SUM(M9:M17)</f>
        <v>0</v>
      </c>
      <c r="N18" s="2902"/>
      <c r="P18" s="2901">
        <f>SUM(P9:P17)</f>
        <v>0</v>
      </c>
      <c r="Q18" s="2902"/>
      <c r="S18" s="2901">
        <f>SUM(S9:S17)</f>
        <v>0</v>
      </c>
      <c r="T18" s="2902"/>
      <c r="V18" s="851">
        <f>SUM(V9:V17)</f>
        <v>0</v>
      </c>
      <c r="W18" s="2919"/>
      <c r="X18" s="2920"/>
      <c r="AZ18" s="1982" t="s">
        <v>6377</v>
      </c>
      <c r="BA18" s="1708">
        <v>18</v>
      </c>
    </row>
    <row r="19" spans="1:53" s="144" customFormat="1" ht="12" customHeight="1">
      <c r="B19" s="243" t="s">
        <v>2038</v>
      </c>
      <c r="J19" s="280"/>
      <c r="K19" s="280"/>
      <c r="M19" s="280"/>
      <c r="N19" s="280"/>
      <c r="O19" s="282" t="str">
        <f>B19</f>
        <v>ACQUISITION</v>
      </c>
      <c r="P19" s="280"/>
      <c r="Q19" s="280"/>
      <c r="S19" s="280"/>
      <c r="T19" s="280"/>
      <c r="V19" s="852"/>
      <c r="W19" s="144" t="str">
        <f>B19</f>
        <v>ACQUISITION</v>
      </c>
      <c r="AZ19" s="1982"/>
      <c r="BA19" s="1708">
        <v>19</v>
      </c>
    </row>
    <row r="20" spans="1:53" s="144" customFormat="1" ht="11.25" customHeight="1">
      <c r="B20" s="144" t="s">
        <v>2039</v>
      </c>
      <c r="E20" s="658" t="s">
        <v>3224</v>
      </c>
      <c r="F20" s="1914">
        <f>IF('Part I-Project Identification'!$O$31="","",G20/'Part I-Project Identification'!$O$31)</f>
        <v>8719.4818136522172</v>
      </c>
      <c r="G20" s="2800">
        <v>175000</v>
      </c>
      <c r="H20" s="2801"/>
      <c r="J20" s="283"/>
      <c r="K20" s="280"/>
      <c r="L20" s="283"/>
      <c r="M20" s="283"/>
      <c r="N20" s="280"/>
      <c r="P20" s="283"/>
      <c r="Q20" s="280"/>
      <c r="S20" s="2800">
        <v>175000</v>
      </c>
      <c r="T20" s="2801"/>
      <c r="V20" s="849"/>
      <c r="W20" s="2915"/>
      <c r="X20" s="2916"/>
      <c r="AZ20" s="1982"/>
      <c r="BA20" s="1708">
        <v>20</v>
      </c>
    </row>
    <row r="21" spans="1:53" s="144" customFormat="1" ht="11.25" customHeight="1">
      <c r="B21" s="144" t="s">
        <v>1055</v>
      </c>
      <c r="G21" s="2788"/>
      <c r="H21" s="2789"/>
      <c r="J21" s="283"/>
      <c r="K21" s="280"/>
      <c r="L21" s="283"/>
      <c r="M21" s="283"/>
      <c r="N21" s="280"/>
      <c r="P21" s="283"/>
      <c r="Q21" s="280"/>
      <c r="S21" s="2788"/>
      <c r="T21" s="2789"/>
      <c r="V21" s="849"/>
      <c r="W21" s="2915"/>
      <c r="X21" s="2916"/>
      <c r="AZ21" s="1982"/>
      <c r="BA21" s="1708">
        <v>21</v>
      </c>
    </row>
    <row r="22" spans="1:53" s="144" customFormat="1" ht="11.25" customHeight="1">
      <c r="B22" s="144" t="s">
        <v>432</v>
      </c>
      <c r="G22" s="2788"/>
      <c r="H22" s="2789"/>
      <c r="J22" s="283"/>
      <c r="K22" s="280"/>
      <c r="L22" s="283"/>
      <c r="M22" s="2800"/>
      <c r="N22" s="2801"/>
      <c r="P22" s="283"/>
      <c r="Q22" s="280"/>
      <c r="S22" s="2788"/>
      <c r="T22" s="2789"/>
      <c r="V22" s="849"/>
      <c r="W22" s="2915"/>
      <c r="X22" s="2916"/>
      <c r="AZ22" s="1982"/>
      <c r="BA22" s="1708">
        <v>22</v>
      </c>
    </row>
    <row r="23" spans="1:53" s="144" customFormat="1" ht="11.25" customHeight="1" thickBot="1">
      <c r="B23" s="144" t="s">
        <v>405</v>
      </c>
      <c r="G23" s="2987"/>
      <c r="H23" s="2988"/>
      <c r="J23" s="283"/>
      <c r="K23" s="280"/>
      <c r="L23" s="283"/>
      <c r="M23" s="2987"/>
      <c r="N23" s="2988"/>
      <c r="P23" s="283"/>
      <c r="Q23" s="280"/>
      <c r="S23" s="2987"/>
      <c r="T23" s="2988"/>
      <c r="V23" s="849"/>
      <c r="W23" s="2917"/>
      <c r="X23" s="2918"/>
      <c r="AZ23" s="1982"/>
      <c r="BA23" s="1708">
        <v>23</v>
      </c>
    </row>
    <row r="24" spans="1:53" s="144" customFormat="1" ht="12.6" customHeight="1" thickTop="1">
      <c r="F24" s="281" t="s">
        <v>184</v>
      </c>
      <c r="G24" s="2901">
        <f>SUM(G20:G23)</f>
        <v>175000</v>
      </c>
      <c r="H24" s="2902"/>
      <c r="J24" s="283"/>
      <c r="K24" s="280"/>
      <c r="L24" s="283"/>
      <c r="M24" s="2901">
        <f>SUM(M22:M23)</f>
        <v>0</v>
      </c>
      <c r="N24" s="2902"/>
      <c r="P24" s="283"/>
      <c r="Q24" s="280"/>
      <c r="S24" s="2901">
        <f>SUM(S20:S23)</f>
        <v>175000</v>
      </c>
      <c r="T24" s="2902"/>
      <c r="V24" s="851">
        <f>SUM(V20:V23)</f>
        <v>0</v>
      </c>
      <c r="W24" s="2919"/>
      <c r="X24" s="2920"/>
      <c r="AZ24" s="1982" t="s">
        <v>6378</v>
      </c>
      <c r="BA24" s="1708">
        <v>24</v>
      </c>
    </row>
    <row r="25" spans="1:53" s="144" customFormat="1" ht="12" customHeight="1">
      <c r="B25" s="243" t="s">
        <v>1056</v>
      </c>
      <c r="J25" s="283"/>
      <c r="K25" s="280"/>
      <c r="M25" s="283"/>
      <c r="N25" s="280"/>
      <c r="O25" s="282" t="str">
        <f>B25</f>
        <v>LAND IMPROVEMENTS</v>
      </c>
      <c r="P25" s="283"/>
      <c r="Q25" s="280"/>
      <c r="S25" s="283"/>
      <c r="T25" s="280"/>
      <c r="V25" s="852"/>
      <c r="W25" s="144" t="str">
        <f>B25</f>
        <v>LAND IMPROVEMENTS</v>
      </c>
      <c r="AZ25" s="1982"/>
      <c r="BA25" s="1708">
        <v>25</v>
      </c>
    </row>
    <row r="26" spans="1:53" s="144" customFormat="1" ht="11.25" customHeight="1">
      <c r="B26" s="144" t="s">
        <v>1057</v>
      </c>
      <c r="E26" s="658" t="s">
        <v>3224</v>
      </c>
      <c r="F26" s="1914">
        <f>IF('Part I-Project Identification'!$O$31="","",G26/'Part I-Project Identification'!$O$31)</f>
        <v>230188.34080717489</v>
      </c>
      <c r="G26" s="2800">
        <v>4619880</v>
      </c>
      <c r="H26" s="2801"/>
      <c r="J26" s="2800">
        <v>4619880</v>
      </c>
      <c r="K26" s="2801"/>
      <c r="L26" s="828"/>
      <c r="M26" s="3018"/>
      <c r="N26" s="3019"/>
      <c r="P26" s="3018"/>
      <c r="Q26" s="3019"/>
      <c r="S26" s="2800"/>
      <c r="T26" s="2801"/>
      <c r="V26" s="849"/>
      <c r="W26" s="2915"/>
      <c r="X26" s="2916"/>
      <c r="AZ26" s="1982"/>
      <c r="BA26" s="1708">
        <v>26</v>
      </c>
    </row>
    <row r="27" spans="1:53" s="144" customFormat="1" ht="11.25" customHeight="1" thickBot="1">
      <c r="B27" s="144" t="s">
        <v>1058</v>
      </c>
      <c r="G27" s="2987"/>
      <c r="H27" s="2988"/>
      <c r="J27" s="2987"/>
      <c r="K27" s="2988"/>
      <c r="L27" s="284"/>
      <c r="M27" s="3017"/>
      <c r="N27" s="3017"/>
      <c r="P27" s="3017"/>
      <c r="Q27" s="3017"/>
      <c r="S27" s="2987"/>
      <c r="T27" s="2988"/>
      <c r="V27" s="849"/>
      <c r="W27" s="2917"/>
      <c r="X27" s="2918"/>
      <c r="AZ27" s="1982"/>
      <c r="BA27" s="1708">
        <v>27</v>
      </c>
    </row>
    <row r="28" spans="1:53" s="144" customFormat="1" ht="12.6" customHeight="1" thickTop="1">
      <c r="F28" s="281" t="s">
        <v>184</v>
      </c>
      <c r="G28" s="2901">
        <f>SUM(G26:G27)</f>
        <v>4619880</v>
      </c>
      <c r="H28" s="2902"/>
      <c r="J28" s="2901">
        <f>SUM(J26:J27)</f>
        <v>4619880</v>
      </c>
      <c r="K28" s="2902"/>
      <c r="L28" s="283"/>
      <c r="M28" s="2901">
        <f>M26</f>
        <v>0</v>
      </c>
      <c r="N28" s="2902"/>
      <c r="P28" s="2901">
        <f>P26</f>
        <v>0</v>
      </c>
      <c r="Q28" s="2902"/>
      <c r="S28" s="2901">
        <f>SUM(S26:S27)</f>
        <v>0</v>
      </c>
      <c r="T28" s="2902"/>
      <c r="V28" s="851">
        <f>SUM(V26:V27)</f>
        <v>0</v>
      </c>
      <c r="W28" s="2919"/>
      <c r="X28" s="2920"/>
      <c r="AZ28" s="1982" t="s">
        <v>6379</v>
      </c>
      <c r="BA28" s="1708">
        <v>28</v>
      </c>
    </row>
    <row r="29" spans="1:53" s="144" customFormat="1" ht="12" customHeight="1">
      <c r="B29" s="243" t="s">
        <v>1059</v>
      </c>
      <c r="J29" s="283"/>
      <c r="K29" s="280"/>
      <c r="M29" s="283"/>
      <c r="N29" s="280"/>
      <c r="O29" s="282" t="str">
        <f>B29</f>
        <v>STRUCTURES</v>
      </c>
      <c r="P29" s="283"/>
      <c r="Q29" s="280"/>
      <c r="S29" s="283"/>
      <c r="T29" s="280"/>
      <c r="V29" s="852"/>
      <c r="W29" s="144" t="str">
        <f>B29</f>
        <v>STRUCTURES</v>
      </c>
      <c r="AZ29" s="1982"/>
      <c r="BA29" s="1708">
        <v>29</v>
      </c>
    </row>
    <row r="30" spans="1:53" s="144" customFormat="1" ht="11.25" customHeight="1">
      <c r="B30" s="144" t="s">
        <v>1060</v>
      </c>
      <c r="G30" s="2800">
        <v>17159520</v>
      </c>
      <c r="H30" s="2801"/>
      <c r="J30" s="2800">
        <v>17159520</v>
      </c>
      <c r="K30" s="2801"/>
      <c r="L30" s="828"/>
      <c r="M30" s="2800"/>
      <c r="N30" s="2801"/>
      <c r="P30" s="2800"/>
      <c r="Q30" s="2801"/>
      <c r="S30" s="2800"/>
      <c r="T30" s="2801"/>
      <c r="V30" s="849"/>
      <c r="W30" s="2915"/>
      <c r="X30" s="2916"/>
      <c r="AZ30" s="1982"/>
      <c r="BA30" s="1708">
        <v>30</v>
      </c>
    </row>
    <row r="31" spans="1:53" s="144" customFormat="1" ht="11.25" customHeight="1">
      <c r="B31" s="144" t="s">
        <v>1061</v>
      </c>
      <c r="G31" s="2788"/>
      <c r="H31" s="2789"/>
      <c r="J31" s="2788"/>
      <c r="K31" s="2789"/>
      <c r="L31" s="828"/>
      <c r="M31" s="2788"/>
      <c r="N31" s="2789"/>
      <c r="P31" s="2788"/>
      <c r="Q31" s="2789"/>
      <c r="S31" s="2788"/>
      <c r="T31" s="2789"/>
      <c r="V31" s="849"/>
      <c r="W31" s="2915"/>
      <c r="X31" s="2916"/>
      <c r="AZ31" s="1982"/>
      <c r="BA31" s="1708">
        <v>31</v>
      </c>
    </row>
    <row r="32" spans="1:53" s="144" customFormat="1" ht="11.25" customHeight="1">
      <c r="B32" s="144" t="s">
        <v>6094</v>
      </c>
      <c r="G32" s="2788"/>
      <c r="H32" s="2789"/>
      <c r="J32" s="2788"/>
      <c r="K32" s="2789"/>
      <c r="L32" s="828"/>
      <c r="M32" s="2788"/>
      <c r="N32" s="2789"/>
      <c r="P32" s="2788"/>
      <c r="Q32" s="2789"/>
      <c r="S32" s="2788"/>
      <c r="T32" s="2789"/>
      <c r="V32" s="849"/>
      <c r="W32" s="2915"/>
      <c r="X32" s="2916"/>
      <c r="AZ32" s="1982"/>
      <c r="BA32" s="1708">
        <v>32</v>
      </c>
    </row>
    <row r="33" spans="1:53" s="144" customFormat="1" ht="11.25" customHeight="1">
      <c r="B33" s="144" t="s">
        <v>6092</v>
      </c>
      <c r="G33" s="2788"/>
      <c r="H33" s="2789"/>
      <c r="J33" s="2788"/>
      <c r="K33" s="2789"/>
      <c r="L33" s="828"/>
      <c r="M33" s="2788"/>
      <c r="N33" s="2789"/>
      <c r="P33" s="2788"/>
      <c r="Q33" s="2789"/>
      <c r="S33" s="2788"/>
      <c r="T33" s="2789"/>
      <c r="V33" s="849"/>
      <c r="W33" s="2915"/>
      <c r="X33" s="2916"/>
      <c r="AZ33" s="1982"/>
      <c r="BA33" s="1708">
        <v>33</v>
      </c>
    </row>
    <row r="34" spans="1:53" ht="11.25" customHeight="1">
      <c r="B34" s="144" t="s">
        <v>2497</v>
      </c>
      <c r="G34" s="2788"/>
      <c r="H34" s="2789"/>
      <c r="I34" s="144"/>
      <c r="J34" s="2788"/>
      <c r="K34" s="2789"/>
      <c r="L34" s="828"/>
      <c r="M34" s="2788"/>
      <c r="N34" s="2789"/>
      <c r="O34" s="144"/>
      <c r="P34" s="2788"/>
      <c r="Q34" s="2789"/>
      <c r="R34" s="144"/>
      <c r="S34" s="2788"/>
      <c r="T34" s="2789"/>
      <c r="V34" s="849"/>
      <c r="W34" s="2917"/>
      <c r="X34" s="2918"/>
      <c r="BA34" s="1708">
        <v>34</v>
      </c>
    </row>
    <row r="35" spans="1:53" ht="11.25" customHeight="1" thickBot="1">
      <c r="B35" s="144" t="s">
        <v>6093</v>
      </c>
      <c r="G35" s="3015"/>
      <c r="H35" s="3016"/>
      <c r="I35" s="144"/>
      <c r="J35" s="3015"/>
      <c r="K35" s="3016"/>
      <c r="L35" s="828"/>
      <c r="M35" s="3015"/>
      <c r="N35" s="3016"/>
      <c r="O35" s="144"/>
      <c r="P35" s="3015"/>
      <c r="Q35" s="3016"/>
      <c r="R35" s="144"/>
      <c r="S35" s="3015"/>
      <c r="T35" s="3016"/>
      <c r="V35" s="849"/>
      <c r="W35" s="2917"/>
      <c r="X35" s="2918"/>
      <c r="BA35" s="1708">
        <v>35</v>
      </c>
    </row>
    <row r="36" spans="1:53" s="144" customFormat="1" ht="12.6" customHeight="1" thickTop="1">
      <c r="C36" s="3014"/>
      <c r="D36" s="3014"/>
      <c r="E36" s="829"/>
      <c r="F36" s="281" t="s">
        <v>184</v>
      </c>
      <c r="G36" s="2901">
        <f>SUM(G30:G35)</f>
        <v>17159520</v>
      </c>
      <c r="H36" s="2902"/>
      <c r="J36" s="2901">
        <f>SUM(J30:J35)</f>
        <v>17159520</v>
      </c>
      <c r="K36" s="2902"/>
      <c r="L36" s="828"/>
      <c r="M36" s="2901">
        <f>SUM(M30:M35)</f>
        <v>0</v>
      </c>
      <c r="N36" s="2902"/>
      <c r="P36" s="2901">
        <f>SUM(P30:P35)</f>
        <v>0</v>
      </c>
      <c r="Q36" s="2902"/>
      <c r="S36" s="2901">
        <f>SUM(S30:S35)</f>
        <v>0</v>
      </c>
      <c r="T36" s="2902"/>
      <c r="V36" s="851">
        <f>SUM(V30:V35)</f>
        <v>0</v>
      </c>
      <c r="W36" s="2919"/>
      <c r="X36" s="2920"/>
      <c r="AZ36" s="1982" t="s">
        <v>6380</v>
      </c>
      <c r="BA36" s="1708">
        <v>36</v>
      </c>
    </row>
    <row r="37" spans="1:53" s="144" customFormat="1" ht="12" customHeight="1">
      <c r="B37" s="243" t="s">
        <v>2164</v>
      </c>
      <c r="D37" s="3013" t="s">
        <v>3228</v>
      </c>
      <c r="E37" s="3013"/>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82"/>
      <c r="BA37" s="1708">
        <v>37</v>
      </c>
    </row>
    <row r="38" spans="1:53" s="144" customFormat="1" ht="11.25" customHeight="1">
      <c r="B38" s="144" t="s">
        <v>2165</v>
      </c>
      <c r="D38" s="1961">
        <f>'DCA Underwriting Assumptions'!$R$38</f>
        <v>0.06</v>
      </c>
      <c r="E38" s="1962">
        <f>ROUNDDOWN(D38*(G28+G36),0)</f>
        <v>1306764</v>
      </c>
      <c r="F38" s="1963">
        <f>IF(($G$28+$G$36)=0,0,G38/($G$28+$G$36))</f>
        <v>0.06</v>
      </c>
      <c r="G38" s="2800">
        <v>1306764</v>
      </c>
      <c r="H38" s="2801"/>
      <c r="I38" s="145"/>
      <c r="J38" s="2800">
        <v>1306764</v>
      </c>
      <c r="K38" s="2801"/>
      <c r="L38" s="828"/>
      <c r="M38" s="2800"/>
      <c r="N38" s="2801"/>
      <c r="P38" s="2800"/>
      <c r="Q38" s="2801"/>
      <c r="S38" s="2800"/>
      <c r="T38" s="2801"/>
      <c r="V38" s="849"/>
      <c r="W38" s="2915"/>
      <c r="X38" s="2916"/>
      <c r="AZ38" s="1982"/>
      <c r="BA38" s="1708">
        <v>38</v>
      </c>
    </row>
    <row r="39" spans="1:53" s="144" customFormat="1" ht="11.25" customHeight="1">
      <c r="B39" s="144" t="s">
        <v>2477</v>
      </c>
      <c r="D39" s="1961">
        <f>'DCA Underwriting Assumptions'!$R$39</f>
        <v>0.02</v>
      </c>
      <c r="E39" s="1962">
        <f>ROUNDDOWN(D39*(G28+G36),0)</f>
        <v>435588</v>
      </c>
      <c r="F39" s="1963">
        <f>IF(($G$28+$G$36)=0,0,G39/($G$28+$G$36))</f>
        <v>0.02</v>
      </c>
      <c r="G39" s="2788">
        <v>435588</v>
      </c>
      <c r="H39" s="2789"/>
      <c r="I39" s="145"/>
      <c r="J39" s="2788">
        <v>435588</v>
      </c>
      <c r="K39" s="2789"/>
      <c r="L39" s="828"/>
      <c r="M39" s="2788"/>
      <c r="N39" s="2789"/>
      <c r="P39" s="2788"/>
      <c r="Q39" s="2789"/>
      <c r="S39" s="2788"/>
      <c r="T39" s="2789"/>
      <c r="V39" s="849"/>
      <c r="W39" s="2915"/>
      <c r="X39" s="2916"/>
      <c r="AZ39" s="1982"/>
      <c r="BA39" s="1708">
        <v>39</v>
      </c>
    </row>
    <row r="40" spans="1:53" s="144" customFormat="1" ht="11.25" customHeight="1" thickBot="1">
      <c r="B40" s="144" t="s">
        <v>2478</v>
      </c>
      <c r="D40" s="1964">
        <f>'DCA Underwriting Assumptions'!$R$40</f>
        <v>0.06</v>
      </c>
      <c r="E40" s="1965">
        <f>ROUNDDOWN(D40*(G28+G36),0)</f>
        <v>1306764</v>
      </c>
      <c r="F40" s="1966">
        <f>IF(($G$28+$G$36)=0,0,G40/($G$28+$G$36))</f>
        <v>0.06</v>
      </c>
      <c r="G40" s="2987">
        <v>1306764</v>
      </c>
      <c r="H40" s="2988"/>
      <c r="I40" s="145"/>
      <c r="J40" s="2987">
        <v>1306764</v>
      </c>
      <c r="K40" s="2988"/>
      <c r="L40" s="828"/>
      <c r="M40" s="2987"/>
      <c r="N40" s="2988"/>
      <c r="P40" s="2987"/>
      <c r="Q40" s="2988"/>
      <c r="S40" s="2987"/>
      <c r="T40" s="2988"/>
      <c r="V40" s="849"/>
      <c r="W40" s="2917"/>
      <c r="X40" s="2918"/>
      <c r="AZ40" s="1982"/>
      <c r="BA40" s="1708">
        <v>40</v>
      </c>
    </row>
    <row r="41" spans="1:53" s="144" customFormat="1" ht="12.6" customHeight="1" thickTop="1">
      <c r="B41" s="147" t="s">
        <v>3229</v>
      </c>
      <c r="D41" s="761">
        <f>SUM(D38:D40)</f>
        <v>0.14000000000000001</v>
      </c>
      <c r="E41" s="762">
        <f>SUM(E38:E40)</f>
        <v>3049116</v>
      </c>
      <c r="F41" s="1960" t="s">
        <v>184</v>
      </c>
      <c r="G41" s="2901">
        <f>SUM(G38:G40)</f>
        <v>3049116</v>
      </c>
      <c r="H41" s="2902"/>
      <c r="J41" s="2901">
        <f>SUM(J38:J40)</f>
        <v>3049116</v>
      </c>
      <c r="K41" s="2902"/>
      <c r="L41" s="283"/>
      <c r="M41" s="2901">
        <f>SUM(M38:M40)</f>
        <v>0</v>
      </c>
      <c r="N41" s="2902"/>
      <c r="P41" s="2901">
        <f>SUM(P38:P40)</f>
        <v>0</v>
      </c>
      <c r="Q41" s="2902"/>
      <c r="S41" s="2901">
        <f>SUM(S38:S40)</f>
        <v>0</v>
      </c>
      <c r="T41" s="2902"/>
      <c r="V41" s="851">
        <f>SUM(V38:V40)</f>
        <v>0</v>
      </c>
      <c r="W41" s="2919"/>
      <c r="X41" s="2920"/>
      <c r="AZ41" s="1982" t="s">
        <v>6381</v>
      </c>
      <c r="BA41" s="1708">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82"/>
      <c r="BA42" s="1708">
        <v>42</v>
      </c>
    </row>
    <row r="43" spans="1:53" s="144" customFormat="1">
      <c r="A43" s="375"/>
      <c r="C43" s="1650" t="s">
        <v>6497</v>
      </c>
      <c r="D43" s="1714"/>
      <c r="E43" s="1651"/>
      <c r="F43" s="1651"/>
      <c r="G43" s="3011">
        <f>G28+G36+G41</f>
        <v>24828516</v>
      </c>
      <c r="H43" s="3012"/>
      <c r="I43" s="375"/>
      <c r="J43" s="375"/>
      <c r="K43" s="375"/>
      <c r="L43" s="375"/>
      <c r="M43" s="375"/>
      <c r="N43" s="375"/>
      <c r="O43" s="375"/>
      <c r="P43" s="375"/>
      <c r="Q43" s="375"/>
      <c r="R43" s="375"/>
      <c r="S43" s="375"/>
      <c r="T43" s="375"/>
      <c r="V43" s="852"/>
      <c r="AZ43" s="1982"/>
      <c r="BA43" s="170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6382</v>
      </c>
      <c r="BA44" s="1708">
        <v>44</v>
      </c>
    </row>
    <row r="45" spans="1:53" s="144" customFormat="1" ht="12" customHeight="1">
      <c r="B45" s="243" t="s">
        <v>2479</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82"/>
      <c r="BA45" s="1708">
        <v>45</v>
      </c>
    </row>
    <row r="46" spans="1:53" ht="11.25" customHeight="1">
      <c r="B46" s="147" t="s">
        <v>6283</v>
      </c>
      <c r="C46" s="2984" t="s">
        <v>6993</v>
      </c>
      <c r="D46" s="3009"/>
      <c r="E46" s="3009"/>
      <c r="F46" s="3010"/>
      <c r="G46" s="3005">
        <v>209575</v>
      </c>
      <c r="H46" s="3006"/>
      <c r="I46" s="144"/>
      <c r="J46" s="3005">
        <v>209575</v>
      </c>
      <c r="K46" s="3006"/>
      <c r="L46" s="828"/>
      <c r="M46" s="3005"/>
      <c r="N46" s="3006"/>
      <c r="O46" s="144"/>
      <c r="P46" s="3005"/>
      <c r="Q46" s="3006"/>
      <c r="R46" s="144"/>
      <c r="S46" s="3005"/>
      <c r="T46" s="3006"/>
      <c r="V46" s="849"/>
      <c r="W46" s="2923"/>
      <c r="X46" s="2924"/>
      <c r="AZ46" s="1982"/>
      <c r="BA46" s="1708">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2925"/>
      <c r="X47" s="2926"/>
      <c r="AZ47" s="1982" t="s">
        <v>6383</v>
      </c>
      <c r="BA47" s="1708">
        <v>47</v>
      </c>
    </row>
    <row r="48" spans="1:53" s="144" customFormat="1" ht="12.6" customHeight="1">
      <c r="B48" s="1667" t="s">
        <v>2482</v>
      </c>
      <c r="C48" s="1668"/>
      <c r="E48" s="3007" t="s">
        <v>2481</v>
      </c>
      <c r="F48" s="1669">
        <f>C49/'Part V-Revenues &amp; Expenses'!$P$65</f>
        <v>208650.75833333333</v>
      </c>
      <c r="G48" s="1670" t="s">
        <v>2495</v>
      </c>
      <c r="H48" s="1671"/>
      <c r="I48" s="1671"/>
      <c r="J48" s="2892">
        <f>C49/'Part V-Revenues &amp; Expenses'!$P$67</f>
        <v>208650.75833333333</v>
      </c>
      <c r="K48" s="2892"/>
      <c r="L48" s="1671"/>
      <c r="M48" s="2893" t="s">
        <v>6483</v>
      </c>
      <c r="N48" s="2893"/>
      <c r="O48" s="1671"/>
      <c r="P48" s="2892">
        <f>C49/'Part V-Revenues &amp; Expenses'!$K$175</f>
        <v>160.88216282207802</v>
      </c>
      <c r="Q48" s="2892"/>
      <c r="R48" s="1671"/>
      <c r="S48" s="2894" t="s">
        <v>6485</v>
      </c>
      <c r="T48" s="2895"/>
      <c r="V48" s="852"/>
      <c r="W48" s="2925"/>
      <c r="X48" s="2926"/>
      <c r="AZ48" s="1982"/>
      <c r="BA48" s="1708">
        <v>48</v>
      </c>
    </row>
    <row r="49" spans="1:53" s="144" customFormat="1" ht="12.6" customHeight="1">
      <c r="B49" s="1716" t="s">
        <v>6496</v>
      </c>
      <c r="C49" s="1715">
        <f>G28+G36+G41+G46</f>
        <v>25038091</v>
      </c>
      <c r="E49" s="3008"/>
      <c r="F49" s="1672">
        <f>C49/'Part V-Revenues &amp; Expenses'!$P$166</f>
        <v>164.58352067310852</v>
      </c>
      <c r="G49" s="1673" t="s">
        <v>2496</v>
      </c>
      <c r="H49" s="1674"/>
      <c r="I49" s="1674"/>
      <c r="J49" s="2896">
        <f>C49/'Part V-Revenues &amp; Expenses'!$P$168</f>
        <v>164.58352067310852</v>
      </c>
      <c r="K49" s="2896"/>
      <c r="L49" s="1674"/>
      <c r="M49" s="2897" t="s">
        <v>6484</v>
      </c>
      <c r="N49" s="2897"/>
      <c r="O49" s="1674"/>
      <c r="P49" s="1674"/>
      <c r="Q49" s="1674"/>
      <c r="R49" s="1674"/>
      <c r="S49" s="1674"/>
      <c r="T49" s="1675"/>
      <c r="V49" s="852"/>
      <c r="W49" s="2927"/>
      <c r="X49" s="2928"/>
      <c r="AZ49" s="1982"/>
      <c r="BA49" s="1708">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82"/>
      <c r="BA50" s="1708">
        <v>56</v>
      </c>
    </row>
    <row r="51" spans="1:53" s="144" customFormat="1" ht="18.75" customHeight="1" thickBot="1">
      <c r="A51" s="343" t="s">
        <v>573</v>
      </c>
      <c r="B51" s="343" t="s">
        <v>2527</v>
      </c>
      <c r="J51" s="2878" t="s">
        <v>259</v>
      </c>
      <c r="K51" s="2879"/>
      <c r="L51" s="280"/>
      <c r="M51" s="2997" t="s">
        <v>460</v>
      </c>
      <c r="N51" s="2998"/>
      <c r="P51" s="2878" t="s">
        <v>260</v>
      </c>
      <c r="Q51" s="2879"/>
      <c r="S51" s="2878" t="s">
        <v>261</v>
      </c>
      <c r="T51" s="2879"/>
      <c r="V51" s="852"/>
      <c r="W51" s="344" t="str">
        <f>B51</f>
        <v>DEVELOPMENT BUDGET (cont'd)</v>
      </c>
      <c r="AZ51" s="1982"/>
      <c r="BA51" s="1708">
        <v>58</v>
      </c>
    </row>
    <row r="52" spans="1:53" s="144" customFormat="1" ht="18.75" customHeight="1" thickBot="1">
      <c r="G52" s="2993" t="s">
        <v>95</v>
      </c>
      <c r="H52" s="2994"/>
      <c r="J52" s="2880"/>
      <c r="K52" s="2881"/>
      <c r="L52" s="280"/>
      <c r="M52" s="2999"/>
      <c r="N52" s="3000"/>
      <c r="P52" s="2880"/>
      <c r="Q52" s="2881"/>
      <c r="S52" s="2880"/>
      <c r="T52" s="2881"/>
      <c r="V52" s="852"/>
      <c r="W52" s="2930" t="s">
        <v>2449</v>
      </c>
      <c r="X52" s="2930"/>
      <c r="AZ52" s="1982"/>
      <c r="BA52" s="1708">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8">
        <v>50</v>
      </c>
    </row>
    <row r="54" spans="1:53" s="144" customFormat="1" ht="12" customHeight="1">
      <c r="B54" s="243" t="s">
        <v>6305</v>
      </c>
      <c r="F54" s="231" t="s">
        <v>3415</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82"/>
      <c r="BA54" s="1708">
        <v>51</v>
      </c>
    </row>
    <row r="55" spans="1:53" ht="11.25" customHeight="1">
      <c r="B55" s="144" t="s">
        <v>1821</v>
      </c>
      <c r="D55" s="658" t="s">
        <v>3414</v>
      </c>
      <c r="E55" s="1758">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1251904.55</v>
      </c>
      <c r="F55" s="1759">
        <f>G55/C49</f>
        <v>4.9581495649967881E-2</v>
      </c>
      <c r="G55" s="3005">
        <v>1241426</v>
      </c>
      <c r="H55" s="3006"/>
      <c r="I55" s="144"/>
      <c r="J55" s="3005">
        <v>1241426</v>
      </c>
      <c r="K55" s="3006"/>
      <c r="L55" s="828"/>
      <c r="M55" s="3005"/>
      <c r="N55" s="3006"/>
      <c r="O55" s="144"/>
      <c r="P55" s="3005"/>
      <c r="Q55" s="3006"/>
      <c r="R55" s="144"/>
      <c r="S55" s="3005"/>
      <c r="T55" s="3006"/>
      <c r="V55" s="849"/>
      <c r="W55" s="2915"/>
      <c r="X55" s="2916"/>
      <c r="AZ55" s="1982"/>
      <c r="BA55" s="1708">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2923"/>
      <c r="X56" s="2924"/>
      <c r="AZ56" s="1982"/>
      <c r="BA56" s="1708">
        <v>53</v>
      </c>
    </row>
    <row r="57" spans="1:53" s="144" customFormat="1" ht="12.6" customHeight="1">
      <c r="B57" s="1676" t="s">
        <v>6306</v>
      </c>
      <c r="C57" s="1668"/>
      <c r="E57" s="2890" t="s">
        <v>6307</v>
      </c>
      <c r="F57" s="1669">
        <f>B58/'Part V-Revenues &amp; Expenses'!$P$65</f>
        <v>218995.97500000001</v>
      </c>
      <c r="G57" s="1670" t="s">
        <v>2495</v>
      </c>
      <c r="H57" s="1671"/>
      <c r="I57" s="1671"/>
      <c r="J57" s="2892">
        <f>B58/'Part V-Revenues &amp; Expenses'!$P$67</f>
        <v>218995.97500000001</v>
      </c>
      <c r="K57" s="2892"/>
      <c r="L57" s="1671"/>
      <c r="M57" s="2893" t="s">
        <v>6483</v>
      </c>
      <c r="N57" s="2893"/>
      <c r="O57" s="1671"/>
      <c r="P57" s="2892">
        <f>B58/'Part V-Revenues &amp; Expenses'!$K$175</f>
        <v>168.85894107819828</v>
      </c>
      <c r="Q57" s="2892"/>
      <c r="R57" s="1671"/>
      <c r="S57" s="2894" t="s">
        <v>6485</v>
      </c>
      <c r="T57" s="2895"/>
      <c r="V57" s="852"/>
      <c r="W57" s="2925"/>
      <c r="X57" s="2926"/>
      <c r="AZ57" s="1982"/>
      <c r="BA57" s="1708">
        <v>54</v>
      </c>
    </row>
    <row r="58" spans="1:53" s="144" customFormat="1" ht="12.6" customHeight="1">
      <c r="B58" s="2888">
        <f>C49+G55</f>
        <v>26279517</v>
      </c>
      <c r="C58" s="2889"/>
      <c r="E58" s="2891"/>
      <c r="F58" s="1672">
        <f>B58/'Part V-Revenues &amp; Expenses'!$P$166</f>
        <v>172.74381778741866</v>
      </c>
      <c r="G58" s="1673" t="s">
        <v>2496</v>
      </c>
      <c r="H58" s="1674"/>
      <c r="I58" s="1674"/>
      <c r="J58" s="2896">
        <f>B58/'Part V-Revenues &amp; Expenses'!$P$168</f>
        <v>172.74381778741866</v>
      </c>
      <c r="K58" s="2896"/>
      <c r="L58" s="1674"/>
      <c r="M58" s="2897" t="s">
        <v>6484</v>
      </c>
      <c r="N58" s="2897"/>
      <c r="O58" s="1674"/>
      <c r="P58" s="1674"/>
      <c r="Q58" s="1674"/>
      <c r="R58" s="1674"/>
      <c r="S58" s="1674"/>
      <c r="T58" s="1675"/>
      <c r="V58" s="852"/>
      <c r="W58" s="2925"/>
      <c r="X58" s="2926"/>
      <c r="AZ58" s="1982"/>
      <c r="BA58" s="1708">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2927"/>
      <c r="X59" s="2928"/>
      <c r="AZ59" s="1982"/>
      <c r="BA59" s="1708">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82"/>
      <c r="BA60" s="1708">
        <v>60</v>
      </c>
    </row>
    <row r="61" spans="1:53" s="144" customFormat="1" ht="12" customHeight="1">
      <c r="B61" s="144" t="s">
        <v>3230</v>
      </c>
      <c r="G61" s="2800"/>
      <c r="H61" s="2801"/>
      <c r="J61" s="2800"/>
      <c r="K61" s="2801"/>
      <c r="L61" s="828"/>
      <c r="M61" s="2800"/>
      <c r="N61" s="2801"/>
      <c r="P61" s="2800"/>
      <c r="Q61" s="2801"/>
      <c r="S61" s="2800"/>
      <c r="T61" s="2801"/>
      <c r="V61" s="853"/>
      <c r="W61" s="2915"/>
      <c r="X61" s="2916"/>
      <c r="AZ61" s="1982"/>
      <c r="BA61" s="1708">
        <v>61</v>
      </c>
    </row>
    <row r="62" spans="1:53" s="144" customFormat="1" ht="12" customHeight="1">
      <c r="B62" s="144" t="s">
        <v>3231</v>
      </c>
      <c r="G62" s="2788"/>
      <c r="H62" s="2789"/>
      <c r="J62" s="2788"/>
      <c r="K62" s="2789"/>
      <c r="L62" s="828"/>
      <c r="M62" s="2788"/>
      <c r="N62" s="2789"/>
      <c r="P62" s="2788"/>
      <c r="Q62" s="2789"/>
      <c r="S62" s="2788"/>
      <c r="T62" s="2789"/>
      <c r="V62" s="853"/>
      <c r="W62" s="2915"/>
      <c r="X62" s="2916"/>
      <c r="AZ62" s="1982"/>
      <c r="BA62" s="1708">
        <v>62</v>
      </c>
    </row>
    <row r="63" spans="1:53" s="144" customFormat="1" ht="12" customHeight="1">
      <c r="B63" s="144" t="s">
        <v>2167</v>
      </c>
      <c r="G63" s="2788">
        <v>245000</v>
      </c>
      <c r="H63" s="2789"/>
      <c r="J63" s="2788">
        <v>245000</v>
      </c>
      <c r="K63" s="2789"/>
      <c r="L63" s="828"/>
      <c r="M63" s="2788"/>
      <c r="N63" s="2789"/>
      <c r="P63" s="2788"/>
      <c r="Q63" s="2789"/>
      <c r="S63" s="2788"/>
      <c r="T63" s="2789"/>
      <c r="V63" s="853"/>
      <c r="W63" s="2915"/>
      <c r="X63" s="2916"/>
      <c r="AZ63" s="1982"/>
      <c r="BA63" s="1708">
        <v>63</v>
      </c>
    </row>
    <row r="64" spans="1:53" s="144" customFormat="1" ht="12" customHeight="1">
      <c r="B64" s="144" t="s">
        <v>2168</v>
      </c>
      <c r="G64" s="2788">
        <v>2088717</v>
      </c>
      <c r="H64" s="2789"/>
      <c r="J64" s="2788">
        <v>1320682</v>
      </c>
      <c r="K64" s="2789"/>
      <c r="L64" s="828"/>
      <c r="M64" s="2788"/>
      <c r="N64" s="2789"/>
      <c r="P64" s="2788"/>
      <c r="Q64" s="2789"/>
      <c r="S64" s="2788">
        <v>768035</v>
      </c>
      <c r="T64" s="2789"/>
      <c r="V64" s="853"/>
      <c r="W64" s="2915"/>
      <c r="X64" s="2916"/>
      <c r="AZ64" s="1982"/>
      <c r="BA64" s="1708">
        <v>64</v>
      </c>
    </row>
    <row r="65" spans="1:53" s="144" customFormat="1" ht="12" customHeight="1">
      <c r="B65" s="144" t="s">
        <v>2169</v>
      </c>
      <c r="G65" s="2788">
        <v>75000</v>
      </c>
      <c r="H65" s="2789"/>
      <c r="J65" s="2788">
        <v>75000</v>
      </c>
      <c r="K65" s="2789"/>
      <c r="L65" s="828"/>
      <c r="M65" s="2788"/>
      <c r="N65" s="2789"/>
      <c r="P65" s="2788"/>
      <c r="Q65" s="2789"/>
      <c r="S65" s="2788"/>
      <c r="T65" s="2789"/>
      <c r="V65" s="853"/>
      <c r="W65" s="2915"/>
      <c r="X65" s="2916"/>
      <c r="AZ65" s="1982" t="s">
        <v>6384</v>
      </c>
      <c r="BA65" s="1708">
        <v>65</v>
      </c>
    </row>
    <row r="66" spans="1:53" s="144" customFormat="1" ht="12" customHeight="1">
      <c r="B66" s="144" t="s">
        <v>2451</v>
      </c>
      <c r="G66" s="2788">
        <v>54000</v>
      </c>
      <c r="H66" s="2789"/>
      <c r="J66" s="2788">
        <v>54000</v>
      </c>
      <c r="K66" s="2789"/>
      <c r="L66" s="828"/>
      <c r="M66" s="2788"/>
      <c r="N66" s="2789"/>
      <c r="P66" s="2788"/>
      <c r="Q66" s="2789"/>
      <c r="S66" s="2788"/>
      <c r="T66" s="2789"/>
      <c r="V66" s="853"/>
      <c r="W66" s="2915"/>
      <c r="X66" s="2916"/>
      <c r="AZ66" s="1982" t="s">
        <v>6385</v>
      </c>
      <c r="BA66" s="1708">
        <v>66</v>
      </c>
    </row>
    <row r="67" spans="1:53" s="144" customFormat="1" ht="12" customHeight="1">
      <c r="B67" s="144" t="s">
        <v>676</v>
      </c>
      <c r="G67" s="2788">
        <v>12000</v>
      </c>
      <c r="H67" s="2789"/>
      <c r="J67" s="2788">
        <v>12000</v>
      </c>
      <c r="K67" s="2789"/>
      <c r="L67" s="828"/>
      <c r="M67" s="2788"/>
      <c r="N67" s="2789"/>
      <c r="P67" s="2788"/>
      <c r="Q67" s="2789"/>
      <c r="S67" s="2788"/>
      <c r="T67" s="2789"/>
      <c r="V67" s="853"/>
      <c r="W67" s="2915"/>
      <c r="X67" s="2916"/>
      <c r="AZ67" s="1982" t="s">
        <v>6386</v>
      </c>
      <c r="BA67" s="1708">
        <v>67</v>
      </c>
    </row>
    <row r="68" spans="1:53" s="144" customFormat="1" ht="12" customHeight="1">
      <c r="B68" s="144" t="s">
        <v>2170</v>
      </c>
      <c r="G68" s="2788">
        <v>79950</v>
      </c>
      <c r="H68" s="2789"/>
      <c r="J68" s="2788">
        <v>79950</v>
      </c>
      <c r="K68" s="2789"/>
      <c r="L68" s="828"/>
      <c r="M68" s="2788"/>
      <c r="N68" s="2789"/>
      <c r="P68" s="2788"/>
      <c r="Q68" s="2789"/>
      <c r="S68" s="2788"/>
      <c r="T68" s="2789"/>
      <c r="V68" s="853"/>
      <c r="W68" s="2915"/>
      <c r="X68" s="2916"/>
      <c r="AZ68" s="1982"/>
      <c r="BA68" s="1708">
        <v>68</v>
      </c>
    </row>
    <row r="69" spans="1:53" s="144" customFormat="1" ht="12" customHeight="1">
      <c r="B69" s="144" t="s">
        <v>1201</v>
      </c>
      <c r="G69" s="2788">
        <v>105000</v>
      </c>
      <c r="H69" s="2789"/>
      <c r="J69" s="2788">
        <v>105000</v>
      </c>
      <c r="K69" s="2789"/>
      <c r="L69" s="828"/>
      <c r="M69" s="2788"/>
      <c r="N69" s="2789"/>
      <c r="P69" s="2788"/>
      <c r="Q69" s="2789"/>
      <c r="S69" s="2788"/>
      <c r="T69" s="2789"/>
      <c r="V69" s="853"/>
      <c r="W69" s="2915"/>
      <c r="X69" s="2916"/>
      <c r="AZ69" s="1982"/>
      <c r="BA69" s="1708">
        <v>69</v>
      </c>
    </row>
    <row r="70" spans="1:53" s="144" customFormat="1" ht="12" customHeight="1">
      <c r="B70" s="287" t="s">
        <v>1086</v>
      </c>
      <c r="D70" s="285"/>
      <c r="E70" s="285"/>
      <c r="F70" s="286"/>
      <c r="G70" s="2788">
        <v>208931</v>
      </c>
      <c r="H70" s="2789"/>
      <c r="I70" s="145"/>
      <c r="J70" s="2788">
        <v>208931</v>
      </c>
      <c r="K70" s="2789"/>
      <c r="L70" s="828"/>
      <c r="M70" s="2788"/>
      <c r="N70" s="2789"/>
      <c r="P70" s="2788"/>
      <c r="Q70" s="2789"/>
      <c r="S70" s="2788"/>
      <c r="T70" s="2789"/>
      <c r="V70" s="853"/>
      <c r="W70" s="2915"/>
      <c r="X70" s="2916"/>
      <c r="AZ70" s="1982"/>
      <c r="BA70" s="1708">
        <v>70</v>
      </c>
    </row>
    <row r="71" spans="1:53" s="144" customFormat="1" ht="12" customHeight="1">
      <c r="A71" s="303" t="str">
        <f>IF(AND(G71&gt;0,OR(C71="",C71="&lt;Enter detailed description here; use Comments section if needed&gt;")),"X","")</f>
        <v/>
      </c>
      <c r="B71" s="147" t="s">
        <v>6285</v>
      </c>
      <c r="C71" s="3001" t="s">
        <v>6725</v>
      </c>
      <c r="D71" s="3001"/>
      <c r="E71" s="3001"/>
      <c r="F71" s="3002"/>
      <c r="G71" s="2788"/>
      <c r="H71" s="2789"/>
      <c r="J71" s="2788"/>
      <c r="K71" s="2789"/>
      <c r="L71" s="828"/>
      <c r="M71" s="2788"/>
      <c r="N71" s="2789"/>
      <c r="P71" s="2788"/>
      <c r="Q71" s="2789"/>
      <c r="S71" s="2788"/>
      <c r="T71" s="2789"/>
      <c r="U71" s="302" t="str">
        <f>IF(AND(G71&gt;0,OR(C71="",C71="&lt;Enter detailed description here; use Comments section if needed&gt;")),"NO DESCRIPTION PROVIDED - please enter detailed description in Other box at left; use Comments section below if needed.","")</f>
        <v/>
      </c>
      <c r="V71" s="853"/>
      <c r="W71" s="2915"/>
      <c r="X71" s="2916"/>
      <c r="AZ71" s="1982"/>
      <c r="BA71" s="1708">
        <v>71</v>
      </c>
    </row>
    <row r="72" spans="1:53" s="144" customFormat="1" ht="12" customHeight="1" thickBot="1">
      <c r="A72" s="303" t="str">
        <f>IF(AND(G72&gt;0,OR(C72="",C72="&lt;Enter detailed description here; use Comments section if needed&gt;")),"X","")</f>
        <v/>
      </c>
      <c r="B72" s="147" t="s">
        <v>6286</v>
      </c>
      <c r="C72" s="3003" t="s">
        <v>6725</v>
      </c>
      <c r="D72" s="3003"/>
      <c r="E72" s="3003"/>
      <c r="F72" s="3004"/>
      <c r="G72" s="2792"/>
      <c r="H72" s="2793"/>
      <c r="J72" s="2792"/>
      <c r="K72" s="2793"/>
      <c r="L72" s="828"/>
      <c r="M72" s="2792"/>
      <c r="N72" s="2793"/>
      <c r="P72" s="2792"/>
      <c r="Q72" s="2793"/>
      <c r="S72" s="2792"/>
      <c r="T72" s="2793"/>
      <c r="U72" s="302" t="str">
        <f>IF(AND(G72&gt;0,OR(C72="",C72="&lt;Enter detailed description here; use Comments section if needed&gt;")),"NO DESCRIPTION PROVIDED - please enter detailed description in Other box at left; use Comments section below if needed.","")</f>
        <v/>
      </c>
      <c r="V72" s="853"/>
      <c r="W72" s="2917"/>
      <c r="X72" s="2918"/>
      <c r="AZ72" s="1982"/>
      <c r="BA72" s="1708">
        <v>72</v>
      </c>
    </row>
    <row r="73" spans="1:53" s="144" customFormat="1" ht="12" customHeight="1" thickTop="1">
      <c r="F73" s="281" t="s">
        <v>184</v>
      </c>
      <c r="G73" s="2901">
        <f>SUM(G61:G72)</f>
        <v>2868598</v>
      </c>
      <c r="H73" s="2902"/>
      <c r="J73" s="2901">
        <f>SUM(J61:J72)</f>
        <v>2100563</v>
      </c>
      <c r="K73" s="2902"/>
      <c r="L73" s="283"/>
      <c r="M73" s="2901">
        <f>SUM(M61:M72)</f>
        <v>0</v>
      </c>
      <c r="N73" s="2902"/>
      <c r="P73" s="2901">
        <f>SUM(P61:P72)</f>
        <v>0</v>
      </c>
      <c r="Q73" s="2902"/>
      <c r="S73" s="2901">
        <f>SUM(S61:S72)</f>
        <v>768035</v>
      </c>
      <c r="T73" s="2902"/>
      <c r="V73" s="854">
        <f>SUM(V61:V72)</f>
        <v>0</v>
      </c>
      <c r="W73" s="2919"/>
      <c r="X73" s="2920"/>
      <c r="AZ73" s="1982"/>
      <c r="BA73" s="1708">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82"/>
      <c r="BA74" s="1708">
        <v>74</v>
      </c>
    </row>
    <row r="75" spans="1:53" s="144" customFormat="1" ht="12" customHeight="1">
      <c r="B75" s="144" t="s">
        <v>450</v>
      </c>
      <c r="G75" s="2800">
        <v>392500</v>
      </c>
      <c r="H75" s="2801"/>
      <c r="J75" s="2800">
        <v>392500</v>
      </c>
      <c r="K75" s="2801"/>
      <c r="L75" s="828"/>
      <c r="M75" s="2800"/>
      <c r="N75" s="2801"/>
      <c r="P75" s="2800"/>
      <c r="Q75" s="2801"/>
      <c r="S75" s="2800"/>
      <c r="T75" s="2801"/>
      <c r="V75" s="849"/>
      <c r="W75" s="2915"/>
      <c r="X75" s="2916"/>
      <c r="AZ75" s="1982"/>
      <c r="BA75" s="1708">
        <v>75</v>
      </c>
    </row>
    <row r="76" spans="1:53" s="144" customFormat="1" ht="12" customHeight="1">
      <c r="B76" s="144" t="s">
        <v>451</v>
      </c>
      <c r="G76" s="2788">
        <v>33500</v>
      </c>
      <c r="H76" s="2789"/>
      <c r="J76" s="2788">
        <v>33500</v>
      </c>
      <c r="K76" s="2789"/>
      <c r="L76" s="828"/>
      <c r="M76" s="2788"/>
      <c r="N76" s="2789"/>
      <c r="P76" s="2788"/>
      <c r="Q76" s="2789"/>
      <c r="S76" s="2788"/>
      <c r="T76" s="2789"/>
      <c r="V76" s="849"/>
      <c r="W76" s="2915"/>
      <c r="X76" s="2916"/>
      <c r="AZ76" s="1982"/>
      <c r="BA76" s="1708">
        <v>76</v>
      </c>
    </row>
    <row r="77" spans="1:53" s="144" customFormat="1" ht="12" customHeight="1">
      <c r="B77" s="144" t="s">
        <v>1062</v>
      </c>
      <c r="D77" s="247"/>
      <c r="E77" s="844"/>
      <c r="F77" s="393"/>
      <c r="G77" s="2788">
        <v>10000</v>
      </c>
      <c r="H77" s="2789"/>
      <c r="J77" s="2788">
        <v>10000</v>
      </c>
      <c r="K77" s="2789"/>
      <c r="L77" s="828"/>
      <c r="M77" s="2788"/>
      <c r="N77" s="2789"/>
      <c r="P77" s="2788"/>
      <c r="Q77" s="2789"/>
      <c r="S77" s="2788"/>
      <c r="T77" s="2789"/>
      <c r="V77" s="849"/>
      <c r="W77" s="2915"/>
      <c r="X77" s="2916"/>
      <c r="AZ77" s="1982"/>
      <c r="BA77" s="1708">
        <v>77</v>
      </c>
    </row>
    <row r="78" spans="1:53" s="144" customFormat="1" ht="12" customHeight="1">
      <c r="B78" s="144" t="s">
        <v>1063</v>
      </c>
      <c r="G78" s="2788">
        <v>25000</v>
      </c>
      <c r="H78" s="2789"/>
      <c r="J78" s="2788">
        <v>25000</v>
      </c>
      <c r="K78" s="2789"/>
      <c r="L78" s="828"/>
      <c r="M78" s="2788"/>
      <c r="N78" s="2789"/>
      <c r="P78" s="2788"/>
      <c r="Q78" s="2789"/>
      <c r="S78" s="2788"/>
      <c r="T78" s="2789"/>
      <c r="V78" s="849"/>
      <c r="W78" s="2915"/>
      <c r="X78" s="2916"/>
      <c r="AZ78" s="1982"/>
      <c r="BA78" s="1708">
        <v>78</v>
      </c>
    </row>
    <row r="79" spans="1:53" s="144" customFormat="1" ht="12" customHeight="1">
      <c r="B79" s="144" t="s">
        <v>1064</v>
      </c>
      <c r="G79" s="2788">
        <v>25000</v>
      </c>
      <c r="H79" s="2789"/>
      <c r="J79" s="2788">
        <v>25000</v>
      </c>
      <c r="K79" s="2789"/>
      <c r="L79" s="828"/>
      <c r="M79" s="2788"/>
      <c r="N79" s="2789"/>
      <c r="P79" s="2788"/>
      <c r="Q79" s="2789"/>
      <c r="S79" s="2788"/>
      <c r="T79" s="2789"/>
      <c r="V79" s="849"/>
      <c r="W79" s="2915"/>
      <c r="X79" s="2916"/>
      <c r="AZ79" s="1982" t="s">
        <v>6387</v>
      </c>
      <c r="BA79" s="1708">
        <v>79</v>
      </c>
    </row>
    <row r="80" spans="1:53" s="144" customFormat="1" ht="12" customHeight="1">
      <c r="B80" s="144" t="s">
        <v>1065</v>
      </c>
      <c r="G80" s="2788">
        <v>21000</v>
      </c>
      <c r="H80" s="2789"/>
      <c r="J80" s="2788">
        <v>21000</v>
      </c>
      <c r="K80" s="2789"/>
      <c r="L80" s="828"/>
      <c r="M80" s="2788"/>
      <c r="N80" s="2789"/>
      <c r="P80" s="2788"/>
      <c r="Q80" s="2789"/>
      <c r="S80" s="2788"/>
      <c r="T80" s="2789"/>
      <c r="V80" s="849"/>
      <c r="W80" s="2915"/>
      <c r="X80" s="2916"/>
      <c r="AZ80" s="1982" t="s">
        <v>6388</v>
      </c>
      <c r="BA80" s="1708">
        <v>80</v>
      </c>
    </row>
    <row r="81" spans="1:53" s="144" customFormat="1" ht="12" customHeight="1">
      <c r="B81" s="144" t="s">
        <v>452</v>
      </c>
      <c r="G81" s="2788">
        <v>158500</v>
      </c>
      <c r="H81" s="2789"/>
      <c r="J81" s="2788">
        <v>158500</v>
      </c>
      <c r="K81" s="2789"/>
      <c r="L81" s="828"/>
      <c r="M81" s="2788"/>
      <c r="N81" s="2789"/>
      <c r="P81" s="2788"/>
      <c r="Q81" s="2789"/>
      <c r="S81" s="2788"/>
      <c r="T81" s="2789"/>
      <c r="V81" s="849"/>
      <c r="W81" s="2915"/>
      <c r="X81" s="2916"/>
      <c r="AZ81" s="744"/>
      <c r="BA81" s="1708">
        <v>81</v>
      </c>
    </row>
    <row r="82" spans="1:53" s="144" customFormat="1" ht="12" customHeight="1">
      <c r="B82" s="144" t="s">
        <v>453</v>
      </c>
      <c r="G82" s="2788">
        <v>120000</v>
      </c>
      <c r="H82" s="2789"/>
      <c r="J82" s="2788">
        <v>120000</v>
      </c>
      <c r="K82" s="2789"/>
      <c r="L82" s="828"/>
      <c r="M82" s="2788"/>
      <c r="N82" s="2789"/>
      <c r="P82" s="2788"/>
      <c r="Q82" s="2789"/>
      <c r="S82" s="2788"/>
      <c r="T82" s="2789"/>
      <c r="V82" s="849"/>
      <c r="W82" s="2915"/>
      <c r="X82" s="2916"/>
      <c r="AZ82" s="1982"/>
      <c r="BA82" s="1708">
        <v>82</v>
      </c>
    </row>
    <row r="83" spans="1:53" s="144" customFormat="1" ht="12" customHeight="1">
      <c r="B83" s="144" t="s">
        <v>1900</v>
      </c>
      <c r="G83" s="2788">
        <v>35000</v>
      </c>
      <c r="H83" s="2789"/>
      <c r="J83" s="2788">
        <v>35000</v>
      </c>
      <c r="K83" s="2789"/>
      <c r="L83" s="828"/>
      <c r="M83" s="2788"/>
      <c r="N83" s="2789"/>
      <c r="P83" s="2788"/>
      <c r="Q83" s="2789"/>
      <c r="S83" s="2788"/>
      <c r="T83" s="2789"/>
      <c r="V83" s="849"/>
      <c r="W83" s="2915"/>
      <c r="X83" s="2916"/>
      <c r="AZ83" s="1982"/>
      <c r="BA83" s="1708">
        <v>83</v>
      </c>
    </row>
    <row r="84" spans="1:53" s="144" customFormat="1" ht="12" customHeight="1">
      <c r="B84" s="144" t="s">
        <v>1202</v>
      </c>
      <c r="G84" s="2788">
        <v>49500</v>
      </c>
      <c r="H84" s="2789"/>
      <c r="J84" s="2788">
        <v>49500</v>
      </c>
      <c r="K84" s="2789"/>
      <c r="L84" s="828"/>
      <c r="M84" s="2788"/>
      <c r="N84" s="2789"/>
      <c r="P84" s="2788"/>
      <c r="Q84" s="2789"/>
      <c r="S84" s="2788"/>
      <c r="T84" s="2789"/>
      <c r="V84" s="849"/>
      <c r="W84" s="2915"/>
      <c r="X84" s="2916"/>
      <c r="AZ84" s="1982"/>
      <c r="BA84" s="1708">
        <v>84</v>
      </c>
    </row>
    <row r="85" spans="1:53" s="144" customFormat="1" ht="12" customHeight="1" thickBot="1">
      <c r="A85" s="303" t="str">
        <f>IF(AND(G85&gt;0,OR(C85="",C85="&lt;Enter detailed description here; use Comments section if needed&gt;")),"X","")</f>
        <v/>
      </c>
      <c r="B85" s="147" t="s">
        <v>6287</v>
      </c>
      <c r="C85" s="2984" t="s">
        <v>6725</v>
      </c>
      <c r="D85" s="2984"/>
      <c r="E85" s="2984"/>
      <c r="F85" s="2985"/>
      <c r="G85" s="2792"/>
      <c r="H85" s="2793"/>
      <c r="J85" s="2792"/>
      <c r="K85" s="2793"/>
      <c r="L85" s="828"/>
      <c r="M85" s="2792"/>
      <c r="N85" s="2793"/>
      <c r="P85" s="2792"/>
      <c r="Q85" s="2793"/>
      <c r="S85" s="2792"/>
      <c r="T85" s="2793"/>
      <c r="U85" s="302" t="str">
        <f>IF(AND(G85&gt;0,OR(C85="",C85="&lt;Enter detailed description here; use Comments section if needed&gt;")),"NO DESCRIPTION PROVIDED - please enter detailed description in Other box at left; use Comments section below if needed.","")</f>
        <v/>
      </c>
      <c r="V85" s="849"/>
      <c r="W85" s="2917"/>
      <c r="X85" s="2918"/>
      <c r="AZ85" s="1982"/>
      <c r="BA85" s="1708">
        <v>85</v>
      </c>
    </row>
    <row r="86" spans="1:53" s="144" customFormat="1" ht="12" customHeight="1" thickTop="1">
      <c r="F86" s="281" t="s">
        <v>184</v>
      </c>
      <c r="G86" s="2901">
        <f>SUM(G75:G85)</f>
        <v>870000</v>
      </c>
      <c r="H86" s="2902"/>
      <c r="J86" s="2901">
        <f>SUM(J75:J85)</f>
        <v>870000</v>
      </c>
      <c r="K86" s="2902"/>
      <c r="L86" s="283"/>
      <c r="M86" s="2901">
        <f>SUM(M75:M85)</f>
        <v>0</v>
      </c>
      <c r="N86" s="2902"/>
      <c r="P86" s="2901">
        <f>SUM(P75:P85)</f>
        <v>0</v>
      </c>
      <c r="Q86" s="2902"/>
      <c r="S86" s="2901">
        <f>SUM(S75:S85)</f>
        <v>0</v>
      </c>
      <c r="T86" s="2902"/>
      <c r="V86" s="851">
        <f>SUM(V75:V85)</f>
        <v>0</v>
      </c>
      <c r="W86" s="2919"/>
      <c r="X86" s="2920"/>
      <c r="AZ86" s="1982" t="s">
        <v>6389</v>
      </c>
      <c r="BA86" s="1708">
        <v>86</v>
      </c>
    </row>
    <row r="87" spans="1:53" ht="12" customHeight="1">
      <c r="A87" s="144"/>
      <c r="B87" s="243" t="s">
        <v>1194</v>
      </c>
      <c r="C87" s="144"/>
      <c r="D87" s="690" t="s">
        <v>3232</v>
      </c>
      <c r="E87" s="763">
        <f>G92/'Part V-Revenues &amp; Expenses'!$P$67</f>
        <v>7397.9333333333334</v>
      </c>
      <c r="F87" s="144"/>
      <c r="G87" s="144"/>
      <c r="H87" s="144"/>
      <c r="I87" s="144"/>
      <c r="J87" s="283"/>
      <c r="K87" s="283"/>
      <c r="M87" s="283"/>
      <c r="N87" s="283"/>
      <c r="O87" s="282" t="str">
        <f>B87</f>
        <v>LOCAL GOVERNMENT FEES</v>
      </c>
      <c r="P87" s="283"/>
      <c r="Q87" s="283"/>
      <c r="S87" s="283"/>
      <c r="T87" s="283"/>
      <c r="V87" s="852"/>
      <c r="W87" s="144" t="str">
        <f>B87</f>
        <v>LOCAL GOVERNMENT FEES</v>
      </c>
      <c r="AZ87" s="1982"/>
      <c r="BA87" s="1708">
        <v>87</v>
      </c>
    </row>
    <row r="88" spans="1:53" s="144" customFormat="1" ht="12" customHeight="1">
      <c r="B88" s="144" t="s">
        <v>1195</v>
      </c>
      <c r="G88" s="2800">
        <v>114102</v>
      </c>
      <c r="H88" s="2801"/>
      <c r="J88" s="2800">
        <v>114102</v>
      </c>
      <c r="K88" s="2801"/>
      <c r="L88" s="828"/>
      <c r="M88" s="2800"/>
      <c r="N88" s="2801"/>
      <c r="P88" s="2800"/>
      <c r="Q88" s="2801"/>
      <c r="S88" s="2800"/>
      <c r="T88" s="2801"/>
      <c r="V88" s="849"/>
      <c r="W88" s="2915"/>
      <c r="X88" s="2916"/>
      <c r="AZ88" s="1982"/>
      <c r="BA88" s="1708">
        <v>88</v>
      </c>
    </row>
    <row r="89" spans="1:53" s="144" customFormat="1" ht="12" customHeight="1">
      <c r="B89" s="144" t="s">
        <v>1196</v>
      </c>
      <c r="G89" s="2788">
        <v>336360</v>
      </c>
      <c r="H89" s="2789"/>
      <c r="J89" s="2788">
        <v>336360</v>
      </c>
      <c r="K89" s="2789"/>
      <c r="L89" s="828"/>
      <c r="M89" s="2788"/>
      <c r="N89" s="2789"/>
      <c r="P89" s="2788"/>
      <c r="Q89" s="2789"/>
      <c r="S89" s="2788"/>
      <c r="T89" s="2789"/>
      <c r="V89" s="849"/>
      <c r="W89" s="2915"/>
      <c r="X89" s="2916"/>
      <c r="AZ89" s="1982"/>
      <c r="BA89" s="1708">
        <v>89</v>
      </c>
    </row>
    <row r="90" spans="1:53" s="144" customFormat="1" ht="12" customHeight="1">
      <c r="B90" s="144" t="s">
        <v>1197</v>
      </c>
      <c r="D90" s="289" t="s">
        <v>1325</v>
      </c>
      <c r="E90" s="863" t="s">
        <v>2655</v>
      </c>
      <c r="G90" s="2788">
        <v>142222</v>
      </c>
      <c r="H90" s="2789"/>
      <c r="I90" s="145"/>
      <c r="J90" s="2788">
        <v>142222</v>
      </c>
      <c r="K90" s="2789"/>
      <c r="L90" s="828"/>
      <c r="M90" s="2788"/>
      <c r="N90" s="2789"/>
      <c r="P90" s="2788"/>
      <c r="Q90" s="2789"/>
      <c r="S90" s="2788"/>
      <c r="T90" s="2789"/>
      <c r="V90" s="849"/>
      <c r="W90" s="2915"/>
      <c r="X90" s="2916"/>
      <c r="AZ90" s="1982"/>
      <c r="BA90" s="1708">
        <v>90</v>
      </c>
    </row>
    <row r="91" spans="1:53" s="144" customFormat="1" ht="12" customHeight="1" thickBot="1">
      <c r="B91" s="144" t="s">
        <v>1198</v>
      </c>
      <c r="D91" s="289" t="s">
        <v>1325</v>
      </c>
      <c r="E91" s="864" t="s">
        <v>2655</v>
      </c>
      <c r="G91" s="2792">
        <v>295068</v>
      </c>
      <c r="H91" s="2793"/>
      <c r="I91" s="145"/>
      <c r="J91" s="2792">
        <v>295068</v>
      </c>
      <c r="K91" s="2793"/>
      <c r="L91" s="828"/>
      <c r="M91" s="2792"/>
      <c r="N91" s="2793"/>
      <c r="P91" s="2792"/>
      <c r="Q91" s="2793"/>
      <c r="S91" s="2792"/>
      <c r="T91" s="2793"/>
      <c r="V91" s="849"/>
      <c r="W91" s="2917"/>
      <c r="X91" s="2918"/>
      <c r="AZ91" s="1982"/>
      <c r="BA91" s="1708">
        <v>91</v>
      </c>
    </row>
    <row r="92" spans="1:53" s="144" customFormat="1" ht="12" customHeight="1" thickTop="1">
      <c r="F92" s="281" t="s">
        <v>184</v>
      </c>
      <c r="G92" s="2901">
        <f>SUM(G88:G91)</f>
        <v>887752</v>
      </c>
      <c r="H92" s="2902"/>
      <c r="J92" s="2901">
        <f>SUM(J88:J91)</f>
        <v>887752</v>
      </c>
      <c r="K92" s="2902"/>
      <c r="L92" s="283"/>
      <c r="M92" s="2901">
        <f>SUM(M88:M91)</f>
        <v>0</v>
      </c>
      <c r="N92" s="2902"/>
      <c r="P92" s="2901">
        <f>SUM(P88:P91)</f>
        <v>0</v>
      </c>
      <c r="Q92" s="2902"/>
      <c r="S92" s="2901">
        <f>SUM(S88:S91)</f>
        <v>0</v>
      </c>
      <c r="T92" s="2902"/>
      <c r="V92" s="851">
        <f>SUM(V88:V91)</f>
        <v>0</v>
      </c>
      <c r="W92" s="2919"/>
      <c r="X92" s="2920"/>
      <c r="AZ92" s="1982"/>
      <c r="BA92" s="1708">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82"/>
      <c r="BA93" s="1708">
        <v>93</v>
      </c>
    </row>
    <row r="94" spans="1:53" s="144" customFormat="1" ht="18" customHeight="1" thickBot="1">
      <c r="A94" s="343" t="s">
        <v>573</v>
      </c>
      <c r="B94" s="343" t="s">
        <v>2526</v>
      </c>
      <c r="J94" s="2878" t="s">
        <v>259</v>
      </c>
      <c r="K94" s="2879"/>
      <c r="L94" s="280"/>
      <c r="M94" s="2997" t="s">
        <v>460</v>
      </c>
      <c r="N94" s="2998"/>
      <c r="P94" s="2878" t="s">
        <v>260</v>
      </c>
      <c r="Q94" s="2879"/>
      <c r="S94" s="2878" t="s">
        <v>261</v>
      </c>
      <c r="T94" s="2879"/>
      <c r="V94" s="344" t="str">
        <f>B94</f>
        <v>DEVELOPMENT BUDGET  (cont'd)</v>
      </c>
      <c r="AZ94" s="1982"/>
      <c r="BA94" s="1708">
        <v>94</v>
      </c>
    </row>
    <row r="95" spans="1:53" s="144" customFormat="1" ht="18" customHeight="1" thickBot="1">
      <c r="G95" s="2993" t="s">
        <v>95</v>
      </c>
      <c r="H95" s="2994"/>
      <c r="J95" s="2880"/>
      <c r="K95" s="2881"/>
      <c r="L95" s="280"/>
      <c r="M95" s="2999"/>
      <c r="N95" s="3000"/>
      <c r="P95" s="2880"/>
      <c r="Q95" s="2881"/>
      <c r="S95" s="2880"/>
      <c r="T95" s="2881"/>
      <c r="V95" s="253" t="s">
        <v>2449</v>
      </c>
      <c r="X95" s="253"/>
      <c r="AZ95" s="1982"/>
      <c r="BA95" s="1708">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82" t="s">
        <v>6390</v>
      </c>
      <c r="BA96" s="1708">
        <v>96</v>
      </c>
    </row>
    <row r="97" spans="1:53" s="144" customFormat="1" ht="12" customHeight="1">
      <c r="B97" s="144" t="s">
        <v>1199</v>
      </c>
      <c r="G97" s="2800">
        <v>105000</v>
      </c>
      <c r="H97" s="2801"/>
      <c r="J97" s="2992"/>
      <c r="K97" s="2992"/>
      <c r="L97" s="828"/>
      <c r="M97" s="2992"/>
      <c r="N97" s="2992"/>
      <c r="P97" s="2992"/>
      <c r="Q97" s="2992"/>
      <c r="S97" s="2800">
        <v>105000</v>
      </c>
      <c r="T97" s="2801"/>
      <c r="V97" s="849"/>
      <c r="W97" s="2915"/>
      <c r="X97" s="2916"/>
      <c r="AZ97" s="1982" t="s">
        <v>6391</v>
      </c>
      <c r="BA97" s="1708">
        <v>97</v>
      </c>
    </row>
    <row r="98" spans="1:53" s="144" customFormat="1" ht="12" customHeight="1">
      <c r="B98" s="144" t="s">
        <v>1200</v>
      </c>
      <c r="G98" s="2788">
        <v>90000</v>
      </c>
      <c r="H98" s="2789"/>
      <c r="J98" s="2992"/>
      <c r="K98" s="2992"/>
      <c r="L98" s="828"/>
      <c r="M98" s="2992"/>
      <c r="N98" s="2992"/>
      <c r="P98" s="2992"/>
      <c r="Q98" s="2992"/>
      <c r="S98" s="2788">
        <v>90000</v>
      </c>
      <c r="T98" s="2789"/>
      <c r="V98" s="849"/>
      <c r="W98" s="2915"/>
      <c r="X98" s="2916"/>
      <c r="AZ98" s="1982"/>
      <c r="BA98" s="1708">
        <v>98</v>
      </c>
    </row>
    <row r="99" spans="1:53" s="144" customFormat="1" ht="12" customHeight="1">
      <c r="B99" s="144" t="s">
        <v>1201</v>
      </c>
      <c r="G99" s="2788">
        <v>15000</v>
      </c>
      <c r="H99" s="2789"/>
      <c r="J99" s="2992"/>
      <c r="K99" s="2992"/>
      <c r="L99" s="828"/>
      <c r="M99" s="2992"/>
      <c r="N99" s="2992"/>
      <c r="P99" s="2992"/>
      <c r="Q99" s="2992"/>
      <c r="S99" s="2788">
        <v>15000</v>
      </c>
      <c r="T99" s="2789"/>
      <c r="V99" s="849"/>
      <c r="W99" s="2915"/>
      <c r="X99" s="2916"/>
      <c r="AZ99" s="1982"/>
      <c r="BA99" s="1708">
        <v>99</v>
      </c>
    </row>
    <row r="100" spans="1:53" s="144" customFormat="1" ht="12" customHeight="1">
      <c r="B100" s="144" t="s">
        <v>1203</v>
      </c>
      <c r="G100" s="2788"/>
      <c r="H100" s="2789"/>
      <c r="J100" s="2992"/>
      <c r="K100" s="2992"/>
      <c r="L100" s="828"/>
      <c r="M100" s="2992"/>
      <c r="N100" s="2992"/>
      <c r="P100" s="2992"/>
      <c r="Q100" s="2992"/>
      <c r="S100" s="2788"/>
      <c r="T100" s="2789"/>
      <c r="V100" s="849"/>
      <c r="W100" s="2915"/>
      <c r="X100" s="2916"/>
      <c r="AZ100" s="1982"/>
      <c r="BA100" s="1708">
        <v>100</v>
      </c>
    </row>
    <row r="101" spans="1:53" s="144" customFormat="1" ht="12" customHeight="1">
      <c r="B101" s="144" t="s">
        <v>2122</v>
      </c>
      <c r="G101" s="2788">
        <v>483132</v>
      </c>
      <c r="H101" s="2789"/>
      <c r="J101" s="2992"/>
      <c r="K101" s="2992"/>
      <c r="L101" s="828"/>
      <c r="M101" s="2992"/>
      <c r="N101" s="2992"/>
      <c r="P101" s="2992"/>
      <c r="Q101" s="2992"/>
      <c r="S101" s="2788">
        <v>483132</v>
      </c>
      <c r="T101" s="2789"/>
      <c r="V101" s="849"/>
      <c r="W101" s="2915"/>
      <c r="X101" s="2916"/>
      <c r="AZ101" s="1982"/>
      <c r="BA101" s="1708">
        <v>101</v>
      </c>
    </row>
    <row r="102" spans="1:53" s="144" customFormat="1" ht="12" customHeight="1" thickBot="1">
      <c r="A102" s="303" t="str">
        <f>IF(AND(G102&gt;0,OR(C102="",C102="&lt;Enter detailed description here; use Comments section if needed&gt;")),"X","")</f>
        <v/>
      </c>
      <c r="B102" s="147" t="s">
        <v>6288</v>
      </c>
      <c r="C102" s="2984" t="s">
        <v>6725</v>
      </c>
      <c r="D102" s="2984"/>
      <c r="E102" s="2984"/>
      <c r="F102" s="2985"/>
      <c r="G102" s="2792"/>
      <c r="H102" s="2793"/>
      <c r="J102" s="2992"/>
      <c r="K102" s="2992"/>
      <c r="L102" s="828"/>
      <c r="M102" s="2992"/>
      <c r="N102" s="2992"/>
      <c r="P102" s="2992"/>
      <c r="Q102" s="2992"/>
      <c r="S102" s="2792"/>
      <c r="T102" s="2793"/>
      <c r="U102" s="302" t="str">
        <f>IF(AND(G102&gt;0,OR(C102="",C102="&lt;Enter detailed description here; use Comments section if needed&gt;")),"NO DESCRIPTION PROVIDED - please enter detailed description in Other box at left; use Comments section below if needed.","")</f>
        <v/>
      </c>
      <c r="V102" s="849"/>
      <c r="W102" s="2917"/>
      <c r="X102" s="2918"/>
      <c r="AZ102" s="1982"/>
      <c r="BA102" s="1708">
        <v>102</v>
      </c>
    </row>
    <row r="103" spans="1:53" s="144" customFormat="1" ht="12" customHeight="1" thickTop="1">
      <c r="F103" s="281" t="s">
        <v>184</v>
      </c>
      <c r="G103" s="2901">
        <f>SUM(G97:G102)</f>
        <v>693132</v>
      </c>
      <c r="H103" s="2902"/>
      <c r="J103" s="2992"/>
      <c r="K103" s="2992"/>
      <c r="L103" s="283"/>
      <c r="M103" s="2992"/>
      <c r="N103" s="2992"/>
      <c r="P103" s="2992"/>
      <c r="Q103" s="2992"/>
      <c r="S103" s="2901">
        <f>SUM(S97:S102)</f>
        <v>693132</v>
      </c>
      <c r="T103" s="2902"/>
      <c r="V103" s="851">
        <f>SUM(V97:V102)</f>
        <v>0</v>
      </c>
      <c r="W103" s="2919"/>
      <c r="X103" s="2920"/>
      <c r="AZ103" s="1982"/>
      <c r="BA103" s="1708">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3931</v>
      </c>
      <c r="AB104" s="147"/>
      <c r="AC104" s="147"/>
      <c r="AD104" s="1944" t="str">
        <f>IF(OR($M$38="9% Credit Competitive Round only", $M$38="9% Credit &amp; HOME"),"9%",IF(OR($M$38="4% Credit/TE Bond", $M$38="4% Credit/TE Bond &amp; HOME", $M$38="4% Credit/TE Bond &amp; HOME NOFA", $M$38="4% Credit &amp; NHTF", $M$38="4% Credit &amp; NHTF &amp; HOME"),"4%",""))</f>
        <v/>
      </c>
      <c r="AZ104" s="1982"/>
      <c r="BA104" s="1708">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2800"/>
      <c r="H105" s="2801"/>
      <c r="J105" s="283"/>
      <c r="K105" s="283"/>
      <c r="L105" s="828"/>
      <c r="M105" s="283"/>
      <c r="N105" s="283"/>
      <c r="P105" s="283"/>
      <c r="Q105" s="283"/>
      <c r="S105" s="2800"/>
      <c r="T105" s="2801"/>
      <c r="V105" s="849"/>
      <c r="W105" s="2915"/>
      <c r="X105" s="2916"/>
      <c r="Y105" s="3029" t="s">
        <v>6709</v>
      </c>
      <c r="AA105" s="236" t="s">
        <v>6657</v>
      </c>
      <c r="AB105" s="147"/>
      <c r="AC105" s="147"/>
      <c r="AD105" s="1943" t="str">
        <f>'Part V-Revenues &amp; Expenses'!$O$53</f>
        <v>Income Averaging</v>
      </c>
      <c r="AE105" s="1942"/>
      <c r="AF105" s="1942"/>
      <c r="AZ105" s="1982"/>
      <c r="BA105" s="1708">
        <v>105</v>
      </c>
    </row>
    <row r="106" spans="1:53" s="144" customFormat="1" ht="12.6" customHeight="1">
      <c r="B106" s="144" t="str">
        <f>CONCATENATE("Tax Credit Application Fee ($",'DCA Underwriting Assumptions'!$Q$48, " ForProf/JntVent, $",'DCA Underwriting Assumptions'!$Q$49, " NonProf)")</f>
        <v>Tax Credit Application Fee ($6500 ForProf/JntVent, $5500 NonProf)</v>
      </c>
      <c r="G106" s="2788">
        <v>6500</v>
      </c>
      <c r="H106" s="2789"/>
      <c r="J106" s="283"/>
      <c r="K106" s="283"/>
      <c r="L106" s="290"/>
      <c r="M106" s="283"/>
      <c r="N106" s="283"/>
      <c r="P106" s="283"/>
      <c r="Q106" s="283"/>
      <c r="S106" s="2788">
        <v>6500</v>
      </c>
      <c r="T106" s="2789"/>
      <c r="V106" s="849"/>
      <c r="W106" s="2915"/>
      <c r="X106" s="2916"/>
      <c r="Y106" s="3029"/>
      <c r="AA106" s="1945" t="s">
        <v>3155</v>
      </c>
      <c r="AB106" s="1945"/>
      <c r="AC106" s="1945"/>
      <c r="AD106" s="1946">
        <f>'Part V-Revenues &amp; Expenses'!$P$67</f>
        <v>120</v>
      </c>
      <c r="AZ106" s="1982" t="s">
        <v>6392</v>
      </c>
      <c r="BA106" s="1708">
        <v>106</v>
      </c>
    </row>
    <row r="107" spans="1:53" s="144" customFormat="1" ht="12.6" customHeight="1">
      <c r="B107" s="144" t="s">
        <v>3323</v>
      </c>
      <c r="G107" s="2788"/>
      <c r="H107" s="2789"/>
      <c r="J107" s="283"/>
      <c r="K107" s="283"/>
      <c r="L107" s="290"/>
      <c r="M107" s="283"/>
      <c r="N107" s="283"/>
      <c r="P107" s="283"/>
      <c r="Q107" s="283"/>
      <c r="S107" s="2788"/>
      <c r="T107" s="2789"/>
      <c r="V107" s="849"/>
      <c r="W107" s="2915"/>
      <c r="X107" s="2916"/>
      <c r="Y107" s="3029"/>
      <c r="Z107" s="301"/>
      <c r="AA107" s="225" t="s">
        <v>6714</v>
      </c>
      <c r="AB107" s="147"/>
      <c r="AC107" s="147"/>
      <c r="AD107" s="147"/>
      <c r="AF107" s="1950" t="s">
        <v>6715</v>
      </c>
      <c r="AZ107" s="1982" t="s">
        <v>6393</v>
      </c>
      <c r="BA107" s="1708">
        <v>107</v>
      </c>
    </row>
    <row r="108" spans="1:53" s="144" customFormat="1" ht="12.6" customHeight="1">
      <c r="B108" s="144" t="s">
        <v>486</v>
      </c>
      <c r="E108" s="2995">
        <f>ROUNDUP('DCA Underwriting Assumptions'!$Q$53*J191,0)</f>
        <v>138790</v>
      </c>
      <c r="F108" s="2996"/>
      <c r="G108" s="2788">
        <v>138790</v>
      </c>
      <c r="H108" s="2789"/>
      <c r="J108" s="764" t="str">
        <f>IF(E108&gt;G108,"WARNING!  LIHTC Allocation Fee proposed is below minimum required.","")</f>
        <v/>
      </c>
      <c r="K108" s="283"/>
      <c r="L108" s="828"/>
      <c r="M108" s="283"/>
      <c r="N108" s="283"/>
      <c r="P108" s="283"/>
      <c r="Q108" s="283"/>
      <c r="S108" s="2788">
        <v>138790</v>
      </c>
      <c r="T108" s="2789"/>
      <c r="V108" s="849"/>
      <c r="W108" s="2915"/>
      <c r="X108" s="2916"/>
      <c r="Y108" s="3029"/>
      <c r="Z108" s="301"/>
      <c r="AA108" s="147" t="s">
        <v>6710</v>
      </c>
      <c r="AB108" s="147"/>
      <c r="AC108" s="147"/>
      <c r="AD108" s="234">
        <f>'Part V-Revenues &amp; Expenses'!P136+'Part V-Revenues &amp; Expenses'!P137</f>
        <v>0</v>
      </c>
      <c r="AF108" s="1948">
        <f>AD108*'DCA Underwriting Assumptions'!$Q$60</f>
        <v>0</v>
      </c>
      <c r="AZ108" s="1982" t="s">
        <v>6394</v>
      </c>
      <c r="BA108" s="1708">
        <v>108</v>
      </c>
    </row>
    <row r="109" spans="1:53" s="144" customFormat="1" ht="12.6" customHeight="1">
      <c r="B109" s="144" t="s">
        <v>702</v>
      </c>
      <c r="E109" s="2995">
        <f>AF111+AF115</f>
        <v>120000</v>
      </c>
      <c r="F109" s="2996"/>
      <c r="G109" s="2788">
        <v>120000</v>
      </c>
      <c r="H109" s="2789"/>
      <c r="I109" s="3026" t="str">
        <f>IF(E109&gt;G109,"WARNING!  LIHTC Compliance Fee proposed is below minimum required.","")</f>
        <v/>
      </c>
      <c r="J109" s="3027"/>
      <c r="K109" s="3027"/>
      <c r="L109" s="3027"/>
      <c r="M109" s="3027"/>
      <c r="N109" s="3027"/>
      <c r="O109" s="3027"/>
      <c r="P109" s="3027"/>
      <c r="Q109" s="3027"/>
      <c r="R109" s="3028"/>
      <c r="S109" s="2788">
        <v>120000</v>
      </c>
      <c r="T109" s="2789"/>
      <c r="V109" s="849"/>
      <c r="W109" s="2915"/>
      <c r="X109" s="2916"/>
      <c r="Y109" s="3029"/>
      <c r="Z109" s="301"/>
      <c r="AA109" s="147" t="s">
        <v>6296</v>
      </c>
      <c r="AB109" s="147"/>
      <c r="AC109" s="147"/>
      <c r="AD109" s="234">
        <f>'Part V-Revenues &amp; Expenses'!$P$140+'Part V-Revenues &amp; Expenses'!$P$141</f>
        <v>0</v>
      </c>
      <c r="AF109" s="1948">
        <f>AD109*'DCA Underwriting Assumptions'!$Q$60</f>
        <v>0</v>
      </c>
      <c r="AZ109" s="1982"/>
      <c r="BA109" s="1708">
        <v>109</v>
      </c>
    </row>
    <row r="110" spans="1:53" s="144" customFormat="1" ht="12.6" customHeight="1">
      <c r="B110" s="144" t="s">
        <v>3453</v>
      </c>
      <c r="F110" s="971"/>
      <c r="G110" s="2788"/>
      <c r="H110" s="2789"/>
      <c r="I110" s="3026"/>
      <c r="J110" s="3027"/>
      <c r="K110" s="3027"/>
      <c r="L110" s="3027"/>
      <c r="M110" s="3027"/>
      <c r="N110" s="3027"/>
      <c r="O110" s="3027"/>
      <c r="P110" s="3027"/>
      <c r="Q110" s="3027"/>
      <c r="R110" s="3028"/>
      <c r="S110" s="2788"/>
      <c r="T110" s="2789"/>
      <c r="V110" s="849"/>
      <c r="W110" s="2915"/>
      <c r="X110" s="2916"/>
      <c r="Y110" s="3029"/>
      <c r="AA110" s="147" t="s">
        <v>6711</v>
      </c>
      <c r="AB110" s="147"/>
      <c r="AC110" s="147"/>
      <c r="AD110" s="234">
        <f>'Part V-Revenues &amp; Expenses'!$P$142+'Part V-Revenues &amp; Expenses'!$P$143</f>
        <v>0</v>
      </c>
      <c r="AF110" s="1948">
        <f>AD110*'DCA Underwriting Assumptions'!$Q$60</f>
        <v>0</v>
      </c>
      <c r="AZ110" s="1982"/>
      <c r="BA110" s="1708">
        <v>110</v>
      </c>
    </row>
    <row r="111" spans="1:53" s="144" customFormat="1" ht="12.6" customHeight="1">
      <c r="B111" s="144" t="s">
        <v>3454</v>
      </c>
      <c r="F111" s="971">
        <f>ROUNDUP('DCA Underwriting Assumptions'!$Q$88,0)</f>
        <v>3000</v>
      </c>
      <c r="G111" s="2788">
        <v>3000</v>
      </c>
      <c r="H111" s="2789"/>
      <c r="J111" s="145"/>
      <c r="K111" s="145"/>
      <c r="L111" s="145"/>
      <c r="M111" s="145"/>
      <c r="N111" s="145"/>
      <c r="O111" s="145"/>
      <c r="P111" s="145"/>
      <c r="Q111" s="145"/>
      <c r="S111" s="2788">
        <v>3000</v>
      </c>
      <c r="T111" s="2789"/>
      <c r="V111" s="849"/>
      <c r="W111" s="2915"/>
      <c r="X111" s="2916"/>
      <c r="AA111" s="147"/>
      <c r="AB111" s="1547" t="s">
        <v>6712</v>
      </c>
      <c r="AC111" s="147"/>
      <c r="AD111" s="1947">
        <f>SUM(AD108:AD110)</f>
        <v>0</v>
      </c>
      <c r="AF111" s="1949">
        <f>SUM(AF108:AF110)</f>
        <v>0</v>
      </c>
      <c r="AZ111" s="1982"/>
      <c r="BA111" s="1708">
        <v>111</v>
      </c>
    </row>
    <row r="112" spans="1:53" s="144" customFormat="1" ht="12.6" customHeight="1">
      <c r="A112" s="303" t="str">
        <f>IF(AND(G112&gt;0,OR(C112="",C112="&lt;Enter detailed description here; use Comments section if needed&gt;")),"X","")</f>
        <v/>
      </c>
      <c r="B112" s="147" t="s">
        <v>6284</v>
      </c>
      <c r="C112" s="3001" t="s">
        <v>6725</v>
      </c>
      <c r="D112" s="3001"/>
      <c r="E112" s="3001"/>
      <c r="F112" s="3002"/>
      <c r="G112" s="2788"/>
      <c r="H112" s="2789"/>
      <c r="J112" s="145"/>
      <c r="K112" s="145"/>
      <c r="L112" s="145"/>
      <c r="M112" s="145"/>
      <c r="N112" s="145"/>
      <c r="O112" s="145"/>
      <c r="P112" s="145"/>
      <c r="Q112" s="145"/>
      <c r="S112" s="2788"/>
      <c r="T112" s="2789"/>
      <c r="U112" s="302" t="str">
        <f>IF(AND(G112&gt;0,OR(C112="",C112="&lt;Enter detailed description here; use Comments section if needed&gt;")),"NO DESCRIPTION PROVIDED - please enter detailed description in Other box at left; use Comments section below if needed.","")</f>
        <v/>
      </c>
      <c r="V112" s="849"/>
      <c r="W112" s="2915"/>
      <c r="X112" s="2916"/>
      <c r="AA112" s="225" t="s">
        <v>6713</v>
      </c>
      <c r="AB112" s="147"/>
      <c r="AC112" s="231"/>
      <c r="AD112" s="147"/>
      <c r="AF112" s="1948"/>
      <c r="AZ112" s="1982"/>
      <c r="BA112" s="1708">
        <v>112</v>
      </c>
    </row>
    <row r="113" spans="1:53" s="144" customFormat="1" ht="12.6" customHeight="1" thickBot="1">
      <c r="A113" s="303" t="str">
        <f>IF(AND(G113&gt;0,OR(C113="",C113="&lt;Enter detailed description here; use Comments section if needed&gt;")),"X","")</f>
        <v/>
      </c>
      <c r="B113" s="147" t="s">
        <v>6284</v>
      </c>
      <c r="C113" s="3003" t="s">
        <v>6725</v>
      </c>
      <c r="D113" s="3003"/>
      <c r="E113" s="3003"/>
      <c r="F113" s="3004"/>
      <c r="G113" s="2792"/>
      <c r="H113" s="2793"/>
      <c r="J113" s="145"/>
      <c r="K113" s="145"/>
      <c r="L113" s="145"/>
      <c r="M113" s="145"/>
      <c r="N113" s="145"/>
      <c r="O113" s="145"/>
      <c r="P113" s="145"/>
      <c r="Q113" s="145"/>
      <c r="S113" s="2792"/>
      <c r="T113" s="2793"/>
      <c r="U113" s="302" t="str">
        <f>IF(AND(G113&gt;0,OR(C113="",C113="&lt;Enter detailed description here; use Comments section if needed&gt;")),"NO DESCRIPTION PROVIDED - please enter detailed description in Other box at left; use Comments section below if needed.","")</f>
        <v/>
      </c>
      <c r="V113" s="849"/>
      <c r="W113" s="2917"/>
      <c r="X113" s="2918"/>
      <c r="AA113" s="147" t="s">
        <v>36</v>
      </c>
      <c r="AB113" s="147"/>
      <c r="AC113" s="231"/>
      <c r="AD113" s="234">
        <f>'Part V-Revenues &amp; Expenses'!$P$127</f>
        <v>120</v>
      </c>
      <c r="AF113" s="1948">
        <f>IF($AD$105="Income Averaging",AD113*'DCA Underwriting Assumptions'!$Q$58,AD113*'DCA Underwriting Assumptions'!$Q$57)</f>
        <v>120000</v>
      </c>
      <c r="AZ113" s="1982" t="s">
        <v>6395</v>
      </c>
      <c r="BA113" s="1708">
        <v>113</v>
      </c>
    </row>
    <row r="114" spans="1:53" s="144" customFormat="1" ht="12.6" customHeight="1" thickTop="1">
      <c r="F114" s="281" t="s">
        <v>184</v>
      </c>
      <c r="G114" s="2901">
        <f>SUM(G105:G113)</f>
        <v>268290</v>
      </c>
      <c r="H114" s="2902"/>
      <c r="J114" s="283"/>
      <c r="K114" s="283"/>
      <c r="L114" s="828"/>
      <c r="M114" s="283"/>
      <c r="N114" s="283"/>
      <c r="P114" s="283"/>
      <c r="Q114" s="283"/>
      <c r="S114" s="2901">
        <f>SUM(S105:S113)</f>
        <v>268290</v>
      </c>
      <c r="T114" s="2902"/>
      <c r="V114" s="851">
        <f>SUM(V105:V113)</f>
        <v>0</v>
      </c>
      <c r="W114" s="2921"/>
      <c r="X114" s="2922"/>
      <c r="AA114" s="147" t="s">
        <v>6489</v>
      </c>
      <c r="AB114" s="147"/>
      <c r="AC114" s="241"/>
      <c r="AD114" s="234">
        <f>'Part V-Revenues &amp; Expenses'!$P$138+'Part V-Revenues &amp; Expenses'!$P$139</f>
        <v>0</v>
      </c>
      <c r="AF114" s="1948">
        <f>IF($AD$105="Income Averaging",AD114*'DCA Underwriting Assumptions'!$Q$58,AD114*'DCA Underwriting Assumptions'!$Q$57)</f>
        <v>0</v>
      </c>
      <c r="AZ114" s="1982" t="s">
        <v>6396</v>
      </c>
      <c r="BA114" s="1708">
        <v>114</v>
      </c>
    </row>
    <row r="115" spans="1:53" s="144" customFormat="1" ht="13.35" customHeight="1">
      <c r="B115" s="243" t="s">
        <v>2123</v>
      </c>
      <c r="J115" s="283"/>
      <c r="K115" s="283"/>
      <c r="M115" s="283"/>
      <c r="N115" s="283"/>
      <c r="O115" s="282" t="str">
        <f>B115</f>
        <v>EQUITY COSTS</v>
      </c>
      <c r="P115" s="283"/>
      <c r="Q115" s="283"/>
      <c r="S115" s="283"/>
      <c r="T115" s="283"/>
      <c r="V115" s="852"/>
      <c r="W115" s="144" t="str">
        <f>B115</f>
        <v>EQUITY COSTS</v>
      </c>
      <c r="AA115" s="147"/>
      <c r="AB115" s="1547" t="s">
        <v>6712</v>
      </c>
      <c r="AC115" s="147"/>
      <c r="AD115" s="1947">
        <f>SUM(AD113:AD114)</f>
        <v>120</v>
      </c>
      <c r="AF115" s="1949">
        <f>SUM(AF113:AF114)</f>
        <v>120000</v>
      </c>
      <c r="AZ115" s="1973"/>
      <c r="BA115" s="1708">
        <v>115</v>
      </c>
    </row>
    <row r="116" spans="1:53" s="144" customFormat="1" ht="12.6" customHeight="1">
      <c r="B116" s="144" t="s">
        <v>267</v>
      </c>
      <c r="G116" s="2800">
        <v>2000</v>
      </c>
      <c r="H116" s="2801"/>
      <c r="J116" s="2992"/>
      <c r="K116" s="2992"/>
      <c r="L116" s="828"/>
      <c r="M116" s="2992"/>
      <c r="N116" s="2992"/>
      <c r="P116" s="2992"/>
      <c r="Q116" s="2992"/>
      <c r="S116" s="2800">
        <v>2000</v>
      </c>
      <c r="T116" s="2801"/>
      <c r="V116" s="849"/>
      <c r="W116" s="2915"/>
      <c r="X116" s="2916"/>
      <c r="AZ116" s="1973"/>
      <c r="BA116" s="1708">
        <v>116</v>
      </c>
    </row>
    <row r="117" spans="1:53" s="144" customFormat="1" ht="12.6" customHeight="1">
      <c r="B117" s="144" t="s">
        <v>268</v>
      </c>
      <c r="G117" s="2788"/>
      <c r="H117" s="2789"/>
      <c r="J117" s="2992"/>
      <c r="K117" s="2992"/>
      <c r="L117" s="828"/>
      <c r="M117" s="2992"/>
      <c r="N117" s="2992"/>
      <c r="P117" s="2992"/>
      <c r="Q117" s="2992"/>
      <c r="S117" s="2788"/>
      <c r="T117" s="2789"/>
      <c r="V117" s="849"/>
      <c r="W117" s="2915"/>
      <c r="X117" s="2916"/>
      <c r="AZ117" s="1973"/>
      <c r="BA117" s="1708">
        <v>117</v>
      </c>
    </row>
    <row r="118" spans="1:53" s="144" customFormat="1" ht="12.6" customHeight="1">
      <c r="B118" s="144" t="s">
        <v>2201</v>
      </c>
      <c r="G118" s="2788">
        <v>65000</v>
      </c>
      <c r="H118" s="2789"/>
      <c r="J118" s="2992"/>
      <c r="K118" s="2992"/>
      <c r="L118" s="828"/>
      <c r="M118" s="2992"/>
      <c r="N118" s="2992"/>
      <c r="P118" s="2992"/>
      <c r="Q118" s="2992"/>
      <c r="S118" s="2788">
        <v>65000</v>
      </c>
      <c r="T118" s="2789"/>
      <c r="V118" s="849"/>
      <c r="W118" s="2915"/>
      <c r="X118" s="2916"/>
      <c r="AZ118" s="1973"/>
      <c r="BA118" s="1708">
        <v>118</v>
      </c>
    </row>
    <row r="119" spans="1:53" s="144" customFormat="1" ht="12.6" customHeight="1" thickBot="1">
      <c r="A119" s="303" t="str">
        <f>IF(AND(G119&gt;0,OR(C119="",C119="&lt;Enter detailed description here; use Comments section if needed&gt;")),"X","")</f>
        <v/>
      </c>
      <c r="B119" s="147" t="s">
        <v>6284</v>
      </c>
      <c r="C119" s="2984" t="s">
        <v>6725</v>
      </c>
      <c r="D119" s="2984"/>
      <c r="E119" s="2984"/>
      <c r="F119" s="2985"/>
      <c r="G119" s="2792"/>
      <c r="H119" s="2793"/>
      <c r="J119" s="2992"/>
      <c r="K119" s="2992"/>
      <c r="L119" s="828"/>
      <c r="M119" s="2992"/>
      <c r="N119" s="2992"/>
      <c r="P119" s="2992"/>
      <c r="Q119" s="2992"/>
      <c r="S119" s="2792"/>
      <c r="T119" s="2793"/>
      <c r="U119" s="302" t="str">
        <f>IF(AND(G119&gt;0,OR(C119="",C119="&lt;Enter detailed description here; use Comments section if needed&gt;")),"NO DESCRIPTION PROVIDED - please enter detailed description in Other box at left; use Comments section below if needed.","")</f>
        <v/>
      </c>
      <c r="V119" s="849"/>
      <c r="W119" s="2917"/>
      <c r="X119" s="2918"/>
      <c r="AZ119" s="1973"/>
      <c r="BA119" s="1708">
        <v>119</v>
      </c>
    </row>
    <row r="120" spans="1:53" s="144" customFormat="1" ht="12.6" customHeight="1" thickTop="1">
      <c r="F120" s="281" t="s">
        <v>184</v>
      </c>
      <c r="G120" s="2901">
        <f>SUM(G116:G119)</f>
        <v>67000</v>
      </c>
      <c r="H120" s="2902"/>
      <c r="J120" s="2992"/>
      <c r="K120" s="2992"/>
      <c r="L120" s="828"/>
      <c r="M120" s="2992"/>
      <c r="N120" s="2992"/>
      <c r="P120" s="2992"/>
      <c r="Q120" s="2992"/>
      <c r="S120" s="2901">
        <f>SUM(S116:S119)</f>
        <v>67000</v>
      </c>
      <c r="T120" s="2902"/>
      <c r="V120" s="851">
        <f>SUM(V116:V119)</f>
        <v>0</v>
      </c>
      <c r="W120" s="2919"/>
      <c r="X120" s="2920"/>
      <c r="AC120" s="3024" t="s">
        <v>3928</v>
      </c>
      <c r="AD120" s="3024" t="s">
        <v>3929</v>
      </c>
      <c r="AE120" s="2871" t="s">
        <v>3932</v>
      </c>
      <c r="AF120" s="2583" t="s">
        <v>3930</v>
      </c>
      <c r="AG120" s="2871" t="s">
        <v>3921</v>
      </c>
      <c r="AH120" s="2862" t="s">
        <v>6746</v>
      </c>
      <c r="AI120" s="2862"/>
      <c r="AZ120" s="1973"/>
      <c r="BA120" s="1708">
        <v>120</v>
      </c>
    </row>
    <row r="121" spans="1:53" s="144" customFormat="1" ht="13.35" customHeight="1">
      <c r="B121" s="243" t="s">
        <v>269</v>
      </c>
      <c r="E121" s="485" t="s">
        <v>3931</v>
      </c>
      <c r="F121" s="94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6" t="s">
        <v>3919</v>
      </c>
      <c r="Z121" s="236"/>
      <c r="AA121" s="231" t="s">
        <v>3925</v>
      </c>
      <c r="AB121" s="231" t="s">
        <v>3926</v>
      </c>
      <c r="AC121" s="3025"/>
      <c r="AD121" s="3025"/>
      <c r="AE121" s="2669"/>
      <c r="AF121" s="3020"/>
      <c r="AG121" s="2871"/>
      <c r="AH121" s="2862"/>
      <c r="AI121" s="2862"/>
      <c r="AK121" s="44"/>
      <c r="AZ121" s="1973" t="s">
        <v>6397</v>
      </c>
      <c r="BA121" s="1708">
        <v>121</v>
      </c>
    </row>
    <row r="122" spans="1:53" s="144" customFormat="1" ht="12.6" customHeight="1">
      <c r="B122" s="144" t="s">
        <v>1724</v>
      </c>
      <c r="F122" s="323">
        <f>IF($G$127=0,0,G122/$G$127)</f>
        <v>1</v>
      </c>
      <c r="G122" s="2989">
        <v>2640000</v>
      </c>
      <c r="H122" s="2989"/>
      <c r="J122" s="2990">
        <v>2640000</v>
      </c>
      <c r="K122" s="2991"/>
      <c r="L122" s="282"/>
      <c r="M122" s="2990"/>
      <c r="N122" s="2991"/>
      <c r="P122" s="2990"/>
      <c r="Q122" s="2991"/>
      <c r="S122" s="2990"/>
      <c r="T122" s="2991"/>
      <c r="V122" s="849"/>
      <c r="W122" s="2915"/>
      <c r="X122" s="2916"/>
      <c r="Y122" s="115"/>
      <c r="Z122" s="1307">
        <v>0.09</v>
      </c>
      <c r="AA122" s="1304">
        <f>'DCA Underwriting Assumptions'!$J$65</f>
        <v>1</v>
      </c>
      <c r="AB122" s="1304">
        <f>'DCA Underwriting Assumptions'!$K$65</f>
        <v>50</v>
      </c>
      <c r="AC122" s="1301">
        <f>'DCA Underwriting Assumptions'!$Q$65</f>
        <v>27500</v>
      </c>
      <c r="AD122" s="1301">
        <f>AB122*AC122</f>
        <v>1375000</v>
      </c>
      <c r="AE122" s="1301">
        <f>IF('Part V-Revenues &amp; Expenses'!$P$67&lt;AA123,'Part V-Revenues &amp; Expenses'!$P$67*'Part III-A-Uses of Funds'!AC122,AB122*AC122)</f>
        <v>1375000</v>
      </c>
      <c r="AF122" s="2872">
        <f>SUM(AE122:AE124)</f>
        <v>2000000</v>
      </c>
      <c r="AG122" s="2875">
        <f>'DCA Underwriting Assumptions'!$Q$72</f>
        <v>2000000</v>
      </c>
      <c r="AH122" s="2863">
        <f>MIN(AF122,AG122)</f>
        <v>2000000</v>
      </c>
      <c r="AI122" s="2864"/>
      <c r="AZ122" s="1973"/>
      <c r="BA122" s="1708">
        <v>122</v>
      </c>
    </row>
    <row r="123" spans="1:53" s="144" customFormat="1" ht="12.6" customHeight="1">
      <c r="B123" s="144" t="s">
        <v>3416</v>
      </c>
      <c r="F123" s="951">
        <v>700000</v>
      </c>
      <c r="G123" s="241" t="s">
        <v>6726</v>
      </c>
      <c r="V123" s="849"/>
      <c r="W123" s="2915"/>
      <c r="X123" s="2916"/>
      <c r="Y123" s="115"/>
      <c r="Z123" s="92"/>
      <c r="AA123" s="1305">
        <f>'DCA Underwriting Assumptions'!$J$66</f>
        <v>51</v>
      </c>
      <c r="AB123" s="1305">
        <f>'DCA Underwriting Assumptions'!$K$66</f>
        <v>70</v>
      </c>
      <c r="AC123" s="1302">
        <f>'DCA Underwriting Assumptions'!$Q$66</f>
        <v>22000</v>
      </c>
      <c r="AD123" s="1302">
        <f>(AB123-AB122)*AC123</f>
        <v>440000</v>
      </c>
      <c r="AE123" s="1302">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873"/>
      <c r="AG123" s="2876"/>
      <c r="AH123" s="2865"/>
      <c r="AI123" s="2866"/>
      <c r="AZ123" s="1973"/>
      <c r="BA123" s="1708">
        <v>123</v>
      </c>
    </row>
    <row r="124" spans="1:53" s="144" customFormat="1" ht="12.6" customHeight="1">
      <c r="B124" s="144" t="s">
        <v>1725</v>
      </c>
      <c r="F124" s="323">
        <f>IF($G$127=0,0,G124/$G$127)</f>
        <v>0</v>
      </c>
      <c r="G124" s="2800"/>
      <c r="H124" s="2801"/>
      <c r="J124" s="2800"/>
      <c r="K124" s="2801"/>
      <c r="L124" s="828"/>
      <c r="M124" s="2800"/>
      <c r="N124" s="2801"/>
      <c r="P124" s="2800"/>
      <c r="Q124" s="2801"/>
      <c r="S124" s="2800"/>
      <c r="T124" s="2801"/>
      <c r="V124" s="849"/>
      <c r="W124" s="2915"/>
      <c r="X124" s="2916"/>
      <c r="Y124" s="115"/>
      <c r="Z124" s="92"/>
      <c r="AA124" s="1306">
        <f>'DCA Underwriting Assumptions'!$J$67</f>
        <v>71</v>
      </c>
      <c r="AB124" s="1311"/>
      <c r="AC124" s="1303">
        <f>'DCA Underwriting Assumptions'!$Q$67</f>
        <v>16500</v>
      </c>
      <c r="AD124" s="1303">
        <f>AG122-AD123-AD122</f>
        <v>185000</v>
      </c>
      <c r="AE124" s="1303">
        <f>MIN(AD124,IF('Part V-Revenues &amp; Expenses'!$P$67&gt;AB123,('Part V-Revenues &amp; Expenses'!$P$67-AB123)*AC124,0))</f>
        <v>185000</v>
      </c>
      <c r="AF124" s="2874"/>
      <c r="AG124" s="2877"/>
      <c r="AH124" s="2867"/>
      <c r="AI124" s="2868"/>
      <c r="AZ124" s="1973"/>
      <c r="BA124" s="1708">
        <v>124</v>
      </c>
    </row>
    <row r="125" spans="1:53" s="144" customFormat="1" ht="12.6" customHeight="1">
      <c r="B125" s="144" t="s">
        <v>3167</v>
      </c>
      <c r="F125" s="323">
        <f>IF($G$127=0,0,G125/$G$127)</f>
        <v>0</v>
      </c>
      <c r="G125" s="2788"/>
      <c r="H125" s="2789"/>
      <c r="J125" s="2788"/>
      <c r="K125" s="2789"/>
      <c r="L125" s="828"/>
      <c r="M125" s="2788"/>
      <c r="N125" s="2789"/>
      <c r="P125" s="2788"/>
      <c r="Q125" s="2789"/>
      <c r="S125" s="2788"/>
      <c r="T125" s="2789"/>
      <c r="V125" s="849"/>
      <c r="W125" s="2915"/>
      <c r="X125" s="2916"/>
      <c r="Y125"/>
      <c r="Z125" s="1307">
        <v>0.04</v>
      </c>
      <c r="AA125" s="1310">
        <f>'DCA Underwriting Assumptions'!$J$68</f>
        <v>1</v>
      </c>
      <c r="AB125" s="1310">
        <f>'DCA Underwriting Assumptions'!$K$68</f>
        <v>50</v>
      </c>
      <c r="AC125" s="1301">
        <f>'DCA Underwriting Assumptions'!$Q$68</f>
        <v>27500</v>
      </c>
      <c r="AD125" s="1301">
        <f>AB125*AC125</f>
        <v>1375000</v>
      </c>
      <c r="AE125" s="1301">
        <f>IF('Part V-Revenues &amp; Expenses'!$P$67&lt;AA126,'Part V-Revenues &amp; Expenses'!$P$67*'Part III-A-Uses of Funds'!AC125,AB125*AC125)</f>
        <v>1375000</v>
      </c>
      <c r="AF125" s="2872">
        <f>SUM(AE125:AE127)</f>
        <v>2640000</v>
      </c>
      <c r="AG125" s="2872">
        <f>'DCA Underwriting Assumptions'!$Q$73</f>
        <v>3500000</v>
      </c>
      <c r="AH125" s="2863">
        <f>MIN(AF125,AG125)</f>
        <v>2640000</v>
      </c>
      <c r="AI125" s="2864"/>
      <c r="AZ125" s="1973"/>
      <c r="BA125" s="1708">
        <v>125</v>
      </c>
    </row>
    <row r="126" spans="1:53" s="144" customFormat="1" ht="12.6" customHeight="1" thickBot="1">
      <c r="B126" s="144" t="s">
        <v>1717</v>
      </c>
      <c r="F126" s="323">
        <f>IF($G$127=0,0,G126/$G$127)</f>
        <v>0</v>
      </c>
      <c r="G126" s="2792"/>
      <c r="H126" s="2793"/>
      <c r="J126" s="2792"/>
      <c r="K126" s="2793"/>
      <c r="L126" s="828"/>
      <c r="M126" s="2792"/>
      <c r="N126" s="2793"/>
      <c r="P126" s="2792"/>
      <c r="Q126" s="2793"/>
      <c r="S126" s="2792"/>
      <c r="T126" s="2793"/>
      <c r="V126" s="849"/>
      <c r="W126" s="2917"/>
      <c r="X126" s="2918"/>
      <c r="Y126"/>
      <c r="Z126" s="60"/>
      <c r="AA126" s="1305">
        <f>'DCA Underwriting Assumptions'!$J$69</f>
        <v>51</v>
      </c>
      <c r="AB126" s="1305">
        <f>'DCA Underwriting Assumptions'!$K$69</f>
        <v>70</v>
      </c>
      <c r="AC126" s="1302">
        <f>'DCA Underwriting Assumptions'!$Q$69</f>
        <v>22000</v>
      </c>
      <c r="AD126" s="1302">
        <f>(AB126-AB125)*AC126</f>
        <v>440000</v>
      </c>
      <c r="AE126" s="1302">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873"/>
      <c r="AG126" s="2873"/>
      <c r="AH126" s="2865"/>
      <c r="AI126" s="2866"/>
      <c r="AZ126" s="1982"/>
      <c r="BA126" s="1708">
        <v>126</v>
      </c>
    </row>
    <row r="127" spans="1:53" s="144" customFormat="1" ht="12.6" customHeight="1" thickTop="1">
      <c r="A127" s="1312" t="str">
        <f>IF(G127&gt;E127,"DF over limit!  Round down/Enter nbr.","")</f>
        <v/>
      </c>
      <c r="B127" s="1967"/>
      <c r="D127" s="485" t="s">
        <v>3927</v>
      </c>
      <c r="E127" s="1968">
        <f>IF(AF122+AF125=0,"Fill in Rent Chart!",IF(F121="9%",AH122,IF(F121="4%",AH125,"Select App Type!")))</f>
        <v>2640000</v>
      </c>
      <c r="F127" s="281" t="s">
        <v>184</v>
      </c>
      <c r="G127" s="2901">
        <f>SUM(G122:G126)</f>
        <v>2640000</v>
      </c>
      <c r="H127" s="2986"/>
      <c r="J127" s="2901">
        <f>SUM(J122:J126)</f>
        <v>2640000</v>
      </c>
      <c r="K127" s="2986"/>
      <c r="L127" s="828"/>
      <c r="M127" s="2901">
        <f>SUM(M122:M126)</f>
        <v>0</v>
      </c>
      <c r="N127" s="2986"/>
      <c r="P127" s="2901">
        <f>SUM(P122:P126)</f>
        <v>0</v>
      </c>
      <c r="Q127" s="2986"/>
      <c r="S127" s="2901">
        <f>SUM(S122:S126)</f>
        <v>0</v>
      </c>
      <c r="T127" s="2986"/>
      <c r="V127" s="851">
        <f>SUM(V122:V126)</f>
        <v>0</v>
      </c>
      <c r="W127" s="2919"/>
      <c r="X127" s="2920"/>
      <c r="Y127"/>
      <c r="Z127" s="60"/>
      <c r="AA127" s="1306">
        <f>'DCA Underwriting Assumptions'!$J$70</f>
        <v>71</v>
      </c>
      <c r="AB127" s="1311"/>
      <c r="AC127" s="1303">
        <f>'DCA Underwriting Assumptions'!$Q$70</f>
        <v>16500</v>
      </c>
      <c r="AD127" s="1303">
        <f>AG125-AD126-AD125</f>
        <v>1685000</v>
      </c>
      <c r="AE127" s="1303">
        <f>MIN(AD127,IF('Part V-Revenues &amp; Expenses'!$P$67&gt;AB126,('Part V-Revenues &amp; Expenses'!$P$67-AB126)*AC127,0))</f>
        <v>825000</v>
      </c>
      <c r="AF127" s="2874"/>
      <c r="AG127" s="2874"/>
      <c r="AH127" s="2867"/>
      <c r="AI127" s="2868"/>
      <c r="AZ127" s="1982"/>
      <c r="BA127" s="1708">
        <v>127</v>
      </c>
    </row>
    <row r="128" spans="1:53" s="144" customFormat="1" ht="13.35" customHeight="1">
      <c r="B128" s="243" t="s">
        <v>1232</v>
      </c>
      <c r="J128" s="280"/>
      <c r="K128" s="280"/>
      <c r="M128" s="280"/>
      <c r="N128" s="280"/>
      <c r="O128" s="282" t="str">
        <f>B128</f>
        <v>START-UP AND RESERVES</v>
      </c>
      <c r="P128" s="280"/>
      <c r="Q128" s="280"/>
      <c r="S128" s="280"/>
      <c r="T128" s="280"/>
      <c r="V128" s="852"/>
      <c r="W128" s="144" t="str">
        <f>B128</f>
        <v>START-UP AND RESERVES</v>
      </c>
      <c r="Y128" s="44"/>
      <c r="Z128" s="1308"/>
      <c r="AB128" s="44"/>
      <c r="AC128"/>
      <c r="AD128"/>
      <c r="AF128"/>
      <c r="AG128"/>
      <c r="AH128"/>
      <c r="AI128"/>
      <c r="AJ128"/>
      <c r="AK128"/>
      <c r="AZ128" s="1982" t="s">
        <v>6398</v>
      </c>
      <c r="BA128" s="1708">
        <v>128</v>
      </c>
    </row>
    <row r="129" spans="1:53" s="144" customFormat="1" ht="12.6" customHeight="1">
      <c r="B129" s="144" t="s">
        <v>241</v>
      </c>
      <c r="G129" s="2800">
        <v>3000</v>
      </c>
      <c r="H129" s="2801"/>
      <c r="J129" s="291"/>
      <c r="K129" s="291"/>
      <c r="L129" s="291"/>
      <c r="M129" s="291"/>
      <c r="N129" s="291"/>
      <c r="P129" s="291"/>
      <c r="Q129" s="291"/>
      <c r="S129" s="2800">
        <v>3000</v>
      </c>
      <c r="T129" s="2801"/>
      <c r="V129" s="849"/>
      <c r="W129" s="2915"/>
      <c r="X129" s="2916"/>
      <c r="Z129" s="1308"/>
      <c r="AB129" s="44"/>
      <c r="AC129"/>
      <c r="AD129"/>
      <c r="AF129"/>
      <c r="AG129"/>
      <c r="AH129"/>
      <c r="AI129"/>
      <c r="AJ129"/>
      <c r="AK129"/>
      <c r="AZ129" s="1982" t="s">
        <v>6399</v>
      </c>
      <c r="BA129" s="1708">
        <v>129</v>
      </c>
    </row>
    <row r="130" spans="1:53" s="144" customFormat="1" ht="12.6" customHeight="1">
      <c r="B130" s="144" t="s">
        <v>1437</v>
      </c>
      <c r="F130" s="365">
        <f>+'Part V-Revenues &amp; Expenses'!$Q$228*('DCA Underwriting Assumptions'!$Q$87/12)</f>
        <v>216018.75</v>
      </c>
      <c r="G130" s="2788">
        <v>216019</v>
      </c>
      <c r="H130" s="2789"/>
      <c r="J130" s="765" t="str">
        <f>IF(E130&gt;G130,"WARNING! Rent-Up Reserves proposed is below minimum - add comment.","")</f>
        <v/>
      </c>
      <c r="K130" s="765"/>
      <c r="L130" s="828"/>
      <c r="M130" s="750"/>
      <c r="N130" s="750"/>
      <c r="P130" s="750"/>
      <c r="Q130" s="750"/>
      <c r="S130" s="2788">
        <v>216019</v>
      </c>
      <c r="T130" s="2789"/>
      <c r="V130" s="849"/>
      <c r="W130" s="2915"/>
      <c r="X130" s="2916"/>
      <c r="Y130"/>
      <c r="Z130" s="1309"/>
      <c r="AB130" s="236"/>
      <c r="AD130"/>
      <c r="AG130"/>
      <c r="AH130"/>
      <c r="AI130"/>
      <c r="AZ130" s="1982"/>
      <c r="BA130" s="1708">
        <v>130</v>
      </c>
    </row>
    <row r="131" spans="1:53" s="144" customFormat="1" ht="12.6" customHeight="1">
      <c r="B131" s="144" t="s">
        <v>632</v>
      </c>
      <c r="F131" s="365">
        <f>'Part V-Revenues &amp; Expenses'!$Q$228*('DCA Underwriting Assumptions'!$Q$86/12)+('Part VI-Pro Forma'!$B$26+'Part VI-Pro Forma'!$B$27+'Part VI-Pro Forma'!$B$28+'Part VI-Pro Forma'!$B$29)*'DCA Underwriting Assumptions'!$Q$85/(-12)</f>
        <v>787716.93899975833</v>
      </c>
      <c r="G131" s="2788">
        <v>793965</v>
      </c>
      <c r="H131" s="2789"/>
      <c r="J131" s="765" t="str">
        <f>IF(E131&gt;G131,"WARNING! ODR proposed is below minimum - add comment.","")</f>
        <v/>
      </c>
      <c r="K131" s="290"/>
      <c r="L131" s="290"/>
      <c r="M131" s="290"/>
      <c r="N131" s="290"/>
      <c r="P131" s="290"/>
      <c r="Q131" s="290"/>
      <c r="S131" s="2788">
        <v>793965</v>
      </c>
      <c r="T131" s="2789"/>
      <c r="V131" s="849"/>
      <c r="W131" s="2915"/>
      <c r="X131" s="2916"/>
      <c r="Y131"/>
      <c r="Z131" s="1309"/>
      <c r="AB131" s="236"/>
      <c r="AD131"/>
      <c r="AG131"/>
      <c r="AH131"/>
      <c r="AI131"/>
      <c r="AZ131" s="1982"/>
      <c r="BA131" s="1708">
        <v>131</v>
      </c>
    </row>
    <row r="132" spans="1:53" s="144" customFormat="1" ht="12.6" customHeight="1">
      <c r="B132" s="144" t="s">
        <v>1171</v>
      </c>
      <c r="G132" s="2788"/>
      <c r="H132" s="2789"/>
      <c r="J132" s="291"/>
      <c r="K132" s="291"/>
      <c r="L132" s="291"/>
      <c r="M132" s="291"/>
      <c r="N132" s="291"/>
      <c r="P132" s="291"/>
      <c r="Q132" s="291"/>
      <c r="S132" s="2788"/>
      <c r="T132" s="2789"/>
      <c r="V132" s="849"/>
      <c r="W132" s="2915"/>
      <c r="X132" s="2916"/>
      <c r="AZ132" s="1982" t="s">
        <v>6400</v>
      </c>
      <c r="BA132" s="1708">
        <v>132</v>
      </c>
    </row>
    <row r="133" spans="1:53" s="144" customFormat="1" ht="12.6" customHeight="1">
      <c r="B133" s="144" t="s">
        <v>1172</v>
      </c>
      <c r="E133" s="658" t="s">
        <v>3141</v>
      </c>
      <c r="F133" s="365">
        <f>IF('Part V-Revenues &amp; Expenses'!$P$67=0,0,G133/'Part V-Revenues &amp; Expenses'!$P$67)</f>
        <v>1263.5166666666667</v>
      </c>
      <c r="G133" s="2788">
        <v>151622</v>
      </c>
      <c r="H133" s="2789"/>
      <c r="J133" s="2800">
        <v>151622</v>
      </c>
      <c r="K133" s="2801"/>
      <c r="L133" s="828"/>
      <c r="M133" s="2800"/>
      <c r="N133" s="2801"/>
      <c r="P133" s="2800"/>
      <c r="Q133" s="2801"/>
      <c r="S133" s="2788"/>
      <c r="T133" s="2789"/>
      <c r="V133" s="849"/>
      <c r="W133" s="2915"/>
      <c r="X133" s="2916"/>
      <c r="AZ133" s="1982" t="s">
        <v>6401</v>
      </c>
      <c r="BA133" s="1708">
        <v>133</v>
      </c>
    </row>
    <row r="134" spans="1:53" s="144" customFormat="1" ht="12.6" customHeight="1" thickBot="1">
      <c r="A134" s="303" t="str">
        <f>IF(AND(G134&gt;0,OR(C134="",C134="&lt;Enter detailed description here; use Comments section if needed&gt;")),"X","")</f>
        <v/>
      </c>
      <c r="B134" s="147" t="s">
        <v>6284</v>
      </c>
      <c r="C134" s="2984" t="s">
        <v>6725</v>
      </c>
      <c r="D134" s="2984"/>
      <c r="E134" s="2984"/>
      <c r="F134" s="2985"/>
      <c r="G134" s="2792"/>
      <c r="H134" s="2793"/>
      <c r="J134" s="2987"/>
      <c r="K134" s="2988"/>
      <c r="L134" s="828"/>
      <c r="M134" s="2792"/>
      <c r="N134" s="2793"/>
      <c r="P134" s="2792"/>
      <c r="Q134" s="2793"/>
      <c r="S134" s="2792"/>
      <c r="T134" s="2793"/>
      <c r="U134" s="302" t="str">
        <f>IF(AND(G134&gt;0,OR(C134="",C134="&lt;Enter detailed description here; use Comments section if needed&gt;")),"NO DESCRIPTION PROVIDED - please enter detailed description in Other box at left; use Comments section below if needed.","")</f>
        <v/>
      </c>
      <c r="V134" s="849"/>
      <c r="W134" s="2917"/>
      <c r="X134" s="2918"/>
      <c r="AZ134" s="1982"/>
      <c r="BA134" s="1708">
        <v>134</v>
      </c>
    </row>
    <row r="135" spans="1:53" s="144" customFormat="1" ht="12.6" customHeight="1" thickTop="1">
      <c r="B135" s="292"/>
      <c r="F135" s="281" t="s">
        <v>184</v>
      </c>
      <c r="G135" s="2901">
        <f>SUM(G129:G134)</f>
        <v>1164606</v>
      </c>
      <c r="H135" s="2902"/>
      <c r="J135" s="2901">
        <f>SUM(J133:J134)</f>
        <v>151622</v>
      </c>
      <c r="K135" s="2902"/>
      <c r="L135" s="828"/>
      <c r="M135" s="2901">
        <f>SUM(M133:M134)</f>
        <v>0</v>
      </c>
      <c r="N135" s="2902"/>
      <c r="P135" s="2901">
        <f>SUM(P133:P134)</f>
        <v>0</v>
      </c>
      <c r="Q135" s="2902"/>
      <c r="S135" s="2901">
        <f>SUM(S129:S134)</f>
        <v>1012984</v>
      </c>
      <c r="T135" s="2902"/>
      <c r="V135" s="851">
        <f>SUM(V129:V134)</f>
        <v>0</v>
      </c>
      <c r="W135" s="2919"/>
      <c r="X135" s="2920"/>
      <c r="AZ135" s="1982"/>
      <c r="BA135" s="1708">
        <v>135</v>
      </c>
    </row>
    <row r="136" spans="1:53" s="144" customFormat="1" ht="3" customHeight="1">
      <c r="I136" s="293"/>
      <c r="L136" s="293"/>
      <c r="V136" s="852"/>
      <c r="AZ136" s="1982"/>
      <c r="BA136" s="1708">
        <v>136</v>
      </c>
    </row>
    <row r="137" spans="1:53" s="144" customFormat="1" ht="3.6" customHeight="1">
      <c r="D137" s="246"/>
      <c r="E137" s="246"/>
      <c r="I137" s="288"/>
      <c r="J137" s="288"/>
      <c r="K137" s="294"/>
      <c r="L137" s="246"/>
      <c r="V137" s="852"/>
      <c r="AZ137" s="1982"/>
      <c r="BA137" s="1708">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82"/>
      <c r="BA138" s="1708">
        <v>138</v>
      </c>
    </row>
    <row r="139" spans="1:53" s="144" customFormat="1" ht="18" customHeight="1" thickBot="1">
      <c r="A139" s="343" t="s">
        <v>573</v>
      </c>
      <c r="B139" s="343" t="s">
        <v>2526</v>
      </c>
      <c r="J139" s="2878" t="s">
        <v>259</v>
      </c>
      <c r="K139" s="2879"/>
      <c r="L139" s="280"/>
      <c r="M139" s="2997" t="s">
        <v>460</v>
      </c>
      <c r="N139" s="2998"/>
      <c r="P139" s="2878" t="s">
        <v>260</v>
      </c>
      <c r="Q139" s="2879"/>
      <c r="S139" s="2878" t="s">
        <v>261</v>
      </c>
      <c r="T139" s="2879"/>
      <c r="V139" s="344" t="str">
        <f>B139</f>
        <v>DEVELOPMENT BUDGET  (cont'd)</v>
      </c>
      <c r="AZ139" s="1982"/>
      <c r="BA139" s="1708">
        <v>139</v>
      </c>
    </row>
    <row r="140" spans="1:53" s="144" customFormat="1" ht="18" customHeight="1" thickBot="1">
      <c r="G140" s="2993" t="s">
        <v>95</v>
      </c>
      <c r="H140" s="2994"/>
      <c r="J140" s="2880"/>
      <c r="K140" s="2881"/>
      <c r="L140" s="280"/>
      <c r="M140" s="2999"/>
      <c r="N140" s="3000"/>
      <c r="P140" s="2880"/>
      <c r="Q140" s="2881"/>
      <c r="S140" s="2880"/>
      <c r="T140" s="2881"/>
      <c r="V140" s="253" t="s">
        <v>2449</v>
      </c>
      <c r="X140" s="253"/>
      <c r="AZ140" s="1982"/>
      <c r="BA140" s="1708">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82"/>
      <c r="BA141" s="1708">
        <v>141</v>
      </c>
    </row>
    <row r="142" spans="1:53" s="144" customFormat="1" ht="12.6" customHeight="1">
      <c r="B142" s="144" t="s">
        <v>569</v>
      </c>
      <c r="C142" s="246"/>
      <c r="G142" s="2800">
        <v>249950</v>
      </c>
      <c r="H142" s="2801"/>
      <c r="J142" s="2800">
        <v>249950</v>
      </c>
      <c r="K142" s="2801"/>
      <c r="L142" s="282"/>
      <c r="M142" s="2800"/>
      <c r="N142" s="2801"/>
      <c r="P142" s="2800"/>
      <c r="Q142" s="2801"/>
      <c r="S142" s="2800"/>
      <c r="T142" s="2801"/>
      <c r="V142" s="849"/>
      <c r="W142" s="2915"/>
      <c r="X142" s="2916"/>
      <c r="AZ142" s="1982"/>
      <c r="BA142" s="1708">
        <v>142</v>
      </c>
    </row>
    <row r="143" spans="1:53" s="144" customFormat="1" ht="12.6" customHeight="1" thickBot="1">
      <c r="A143" s="303" t="str">
        <f>IF(AND(G143&gt;0,OR(C143="",C143="&lt;Enter detailed description here; use Comments section if needed&gt;")),"X","")</f>
        <v/>
      </c>
      <c r="B143" s="147" t="s">
        <v>6284</v>
      </c>
      <c r="C143" s="2984" t="s">
        <v>6725</v>
      </c>
      <c r="D143" s="2984"/>
      <c r="E143" s="2984"/>
      <c r="F143" s="2985"/>
      <c r="G143" s="2792"/>
      <c r="H143" s="2793"/>
      <c r="J143" s="2792"/>
      <c r="K143" s="2793"/>
      <c r="L143" s="828"/>
      <c r="M143" s="2792"/>
      <c r="N143" s="2793"/>
      <c r="P143" s="2792"/>
      <c r="Q143" s="2793"/>
      <c r="S143" s="2792"/>
      <c r="T143" s="2793"/>
      <c r="U143" s="302" t="str">
        <f>IF(AND(G143&gt;0,OR(C143="",C143="&lt;Enter detailed description here; use Comments section if needed&gt;")),"NO DESCRIPTION PROVIDED - please enter detailed description in Other box at left; use Comments section below if needed.","")</f>
        <v/>
      </c>
      <c r="V143" s="849"/>
      <c r="W143" s="2917"/>
      <c r="X143" s="2918"/>
      <c r="AZ143" s="1982"/>
      <c r="BA143" s="1708">
        <v>143</v>
      </c>
    </row>
    <row r="144" spans="1:53" s="144" customFormat="1" ht="12.6" customHeight="1" thickTop="1">
      <c r="C144" s="246"/>
      <c r="F144" s="281" t="s">
        <v>184</v>
      </c>
      <c r="G144" s="2901">
        <f>SUM(G142:G143)</f>
        <v>249950</v>
      </c>
      <c r="H144" s="2902"/>
      <c r="J144" s="2901">
        <f>SUM(J142:J143)</f>
        <v>249950</v>
      </c>
      <c r="K144" s="2902"/>
      <c r="L144" s="828"/>
      <c r="M144" s="2901">
        <f>SUM(M142:M143)</f>
        <v>0</v>
      </c>
      <c r="N144" s="2902"/>
      <c r="P144" s="2901">
        <f>SUM(P142:P143)</f>
        <v>0</v>
      </c>
      <c r="Q144" s="2902"/>
      <c r="S144" s="2901">
        <f>SUM(S142:S143)</f>
        <v>0</v>
      </c>
      <c r="T144" s="2902"/>
      <c r="V144" s="851">
        <f>SUM(V142:V143)</f>
        <v>0</v>
      </c>
      <c r="W144" s="2919"/>
      <c r="X144" s="2920"/>
      <c r="AZ144" s="1982"/>
      <c r="BA144" s="1708">
        <v>144</v>
      </c>
    </row>
    <row r="145" spans="1:53" s="144" customFormat="1" ht="15" customHeight="1" thickBot="1">
      <c r="C145" s="246"/>
      <c r="H145" s="288"/>
      <c r="I145" s="288"/>
      <c r="V145" s="852"/>
      <c r="W145" s="847"/>
      <c r="X145" s="848"/>
      <c r="AZ145" s="1982"/>
      <c r="BA145" s="1708">
        <v>145</v>
      </c>
    </row>
    <row r="146" spans="1:53" s="144" customFormat="1" ht="18.75" customHeight="1" thickBot="1">
      <c r="B146" s="1717" t="s">
        <v>6498</v>
      </c>
      <c r="E146" s="658"/>
      <c r="F146" s="1313"/>
      <c r="G146" s="2886">
        <f>G18+G24+G28+G36+G41+G46+G55+G73+G86+G92+G103+G114+G120+G127+G135+G144</f>
        <v>36348071</v>
      </c>
      <c r="H146" s="2887"/>
      <c r="J146" s="2886">
        <f>J18+J24+J28+J36+J41+J46+J55+J73+J86+J92+J103+J114+J120+J127+J135+J144</f>
        <v>33363630</v>
      </c>
      <c r="K146" s="2887"/>
      <c r="M146" s="2886">
        <f>M18+M24+M28+M36+M41+M46+M55+M73+M86+M92+M103+M114+M120+M127+M135+M144</f>
        <v>0</v>
      </c>
      <c r="N146" s="2887"/>
      <c r="P146" s="2886">
        <f>P18+P24+P28+P36+P41+P46+P55+P73+P86+P92+P103+P114+P120+P127+P135+P144</f>
        <v>0</v>
      </c>
      <c r="Q146" s="2887"/>
      <c r="S146" s="2886">
        <f>S18+S24+S28+S36+S41+S46+S55+S73+S86+S92+S103+S114+S120+S127+S135+S144</f>
        <v>2984441</v>
      </c>
      <c r="T146" s="2887"/>
      <c r="V146" s="855">
        <f>V18+V24+V28+V36+V41+V46+V55+V73+V86+V92+V103+V114+V120+V127+V135+V144</f>
        <v>0</v>
      </c>
      <c r="W146" s="2929"/>
      <c r="X146" s="2920"/>
      <c r="AZ146" s="1982"/>
      <c r="BA146" s="1708">
        <v>146</v>
      </c>
    </row>
    <row r="147" spans="1:53" s="144" customFormat="1" ht="12" customHeight="1">
      <c r="C147" s="246"/>
      <c r="H147" s="288"/>
      <c r="I147" s="288"/>
      <c r="V147" s="852"/>
      <c r="AZ147" s="1982"/>
      <c r="BA147" s="1708">
        <v>147</v>
      </c>
    </row>
    <row r="148" spans="1:53" s="144" customFormat="1" ht="14.1" customHeight="1">
      <c r="B148" s="391" t="s">
        <v>2491</v>
      </c>
      <c r="C148" s="389"/>
      <c r="D148" s="2898">
        <f>IF('Part V-Revenues &amp; Expenses'!$P$67=0,0,G146/'Part V-Revenues &amp; Expenses'!$P$67)</f>
        <v>302900.59166666667</v>
      </c>
      <c r="E148" s="2898"/>
      <c r="F148" s="390" t="s">
        <v>2490</v>
      </c>
      <c r="G148" s="2899">
        <f>IF('Part V-Revenues &amp; Expenses'!$K$175=0,0,G146/'Part V-Revenues &amp; Expenses'!$K$175)</f>
        <v>233.55439825226497</v>
      </c>
      <c r="H148" s="2900"/>
      <c r="I148" s="293"/>
      <c r="V148" s="852"/>
      <c r="AZ148" s="1982"/>
      <c r="BA148" s="1708">
        <v>148</v>
      </c>
    </row>
    <row r="149" spans="1:53" s="144" customFormat="1" ht="21" customHeight="1" thickBot="1">
      <c r="B149" s="1710"/>
      <c r="C149" s="1711"/>
      <c r="D149" s="1712"/>
      <c r="E149" s="1712"/>
      <c r="F149" s="1713"/>
      <c r="G149" s="1509"/>
      <c r="H149" s="1509"/>
      <c r="I149" s="293"/>
      <c r="V149" s="852"/>
      <c r="AZ149" s="1982"/>
      <c r="BA149" s="1708">
        <v>149</v>
      </c>
    </row>
    <row r="150" spans="1:53" s="144" customFormat="1" ht="26.1" customHeight="1">
      <c r="A150" s="343" t="s">
        <v>689</v>
      </c>
      <c r="B150" s="345" t="s">
        <v>1342</v>
      </c>
      <c r="C150" s="375"/>
      <c r="D150" s="828"/>
      <c r="E150" s="828"/>
      <c r="F150" s="828"/>
      <c r="I150" s="295"/>
      <c r="J150" s="2878" t="s">
        <v>259</v>
      </c>
      <c r="K150" s="2879"/>
      <c r="M150" s="2878" t="s">
        <v>94</v>
      </c>
      <c r="N150" s="2879"/>
      <c r="P150" s="2878" t="s">
        <v>260</v>
      </c>
      <c r="Q150" s="2879"/>
      <c r="V150" s="852"/>
      <c r="W150" s="344" t="str">
        <f>B150</f>
        <v>TAX CREDIT CALCULATION - BASIS METHOD</v>
      </c>
      <c r="AZ150" s="1982"/>
      <c r="BA150" s="1708">
        <v>150</v>
      </c>
    </row>
    <row r="151" spans="1:53" s="144" customFormat="1" ht="15" customHeight="1" thickBot="1">
      <c r="B151" s="222" t="s">
        <v>1895</v>
      </c>
      <c r="D151" s="828"/>
      <c r="E151" s="828"/>
      <c r="I151" s="295"/>
      <c r="J151" s="2880"/>
      <c r="K151" s="2881"/>
      <c r="L151" s="375"/>
      <c r="M151" s="2880"/>
      <c r="N151" s="2881"/>
      <c r="P151" s="2880"/>
      <c r="Q151" s="2881"/>
      <c r="V151" s="852"/>
      <c r="W151" s="144" t="str">
        <f>B151</f>
        <v>Subtractions From Eligible Basis</v>
      </c>
      <c r="X151" s="253"/>
      <c r="AZ151" s="1982"/>
      <c r="BA151" s="1708">
        <v>151</v>
      </c>
    </row>
    <row r="152" spans="1:53" s="144" customFormat="1" ht="6" customHeight="1">
      <c r="D152" s="246"/>
      <c r="E152" s="246"/>
      <c r="I152" s="288"/>
      <c r="J152" s="288"/>
      <c r="K152" s="294"/>
      <c r="L152" s="246"/>
      <c r="V152" s="852"/>
      <c r="AZ152" s="1982"/>
      <c r="BA152" s="1708">
        <v>152</v>
      </c>
    </row>
    <row r="153" spans="1:53" s="144" customFormat="1" ht="14.1" customHeight="1">
      <c r="B153" s="246" t="s">
        <v>138</v>
      </c>
      <c r="I153" s="295"/>
      <c r="J153" s="2882">
        <v>0</v>
      </c>
      <c r="K153" s="2883"/>
      <c r="P153" s="2882"/>
      <c r="Q153" s="2883"/>
      <c r="V153" s="849"/>
      <c r="W153" s="2915"/>
      <c r="X153" s="2916"/>
      <c r="AZ153" s="1982"/>
      <c r="BA153" s="1708">
        <v>153</v>
      </c>
    </row>
    <row r="154" spans="1:53" s="144" customFormat="1" ht="14.1" customHeight="1">
      <c r="B154" s="144" t="s">
        <v>1999</v>
      </c>
      <c r="I154" s="295"/>
      <c r="J154" s="2884">
        <v>0</v>
      </c>
      <c r="K154" s="2885"/>
      <c r="P154" s="2884"/>
      <c r="Q154" s="2885"/>
      <c r="V154" s="849"/>
      <c r="W154" s="2915"/>
      <c r="X154" s="2916"/>
      <c r="AZ154" s="1982"/>
      <c r="BA154" s="1708">
        <v>154</v>
      </c>
    </row>
    <row r="155" spans="1:53" s="144" customFormat="1" ht="14.1" customHeight="1">
      <c r="B155" s="144" t="s">
        <v>1727</v>
      </c>
      <c r="I155" s="295"/>
      <c r="J155" s="2884">
        <v>0</v>
      </c>
      <c r="K155" s="2885"/>
      <c r="P155" s="2884"/>
      <c r="Q155" s="2885"/>
      <c r="V155" s="849"/>
      <c r="W155" s="2915"/>
      <c r="X155" s="2916"/>
      <c r="AZ155" s="1982"/>
      <c r="BA155" s="1708">
        <v>155</v>
      </c>
    </row>
    <row r="156" spans="1:53" s="144" customFormat="1" ht="14.1" customHeight="1">
      <c r="B156" s="144" t="s">
        <v>1728</v>
      </c>
      <c r="I156" s="295"/>
      <c r="J156" s="2884">
        <v>0</v>
      </c>
      <c r="K156" s="2885"/>
      <c r="P156" s="2884"/>
      <c r="Q156" s="2885"/>
      <c r="V156" s="849"/>
      <c r="W156" s="2915"/>
      <c r="X156" s="2916"/>
      <c r="AZ156" s="1982"/>
      <c r="BA156" s="1708">
        <v>156</v>
      </c>
    </row>
    <row r="157" spans="1:53" s="144" customFormat="1" ht="14.1" customHeight="1">
      <c r="B157" s="144" t="s">
        <v>243</v>
      </c>
      <c r="I157" s="295"/>
      <c r="J157" s="2884">
        <v>0</v>
      </c>
      <c r="K157" s="2885"/>
      <c r="P157" s="2884"/>
      <c r="Q157" s="2885"/>
      <c r="V157" s="849"/>
      <c r="W157" s="2915"/>
      <c r="X157" s="2916"/>
      <c r="AZ157" s="1982"/>
      <c r="BA157" s="1708">
        <v>157</v>
      </c>
    </row>
    <row r="158" spans="1:53" s="144" customFormat="1" ht="14.1" customHeight="1" thickBot="1">
      <c r="B158" s="144" t="s">
        <v>1497</v>
      </c>
      <c r="C158" s="2869" t="s">
        <v>2225</v>
      </c>
      <c r="D158" s="2869"/>
      <c r="E158" s="2869"/>
      <c r="F158" s="2869"/>
      <c r="G158" s="2869"/>
      <c r="H158" s="2869"/>
      <c r="I158" s="2870"/>
      <c r="J158" s="2982"/>
      <c r="K158" s="2983"/>
      <c r="P158" s="2982"/>
      <c r="Q158" s="2983"/>
      <c r="V158" s="849"/>
      <c r="W158" s="2917"/>
      <c r="X158" s="2918"/>
      <c r="AZ158" s="1982"/>
      <c r="BA158" s="1708">
        <v>158</v>
      </c>
    </row>
    <row r="159" spans="1:53" s="144" customFormat="1" ht="14.1" customHeight="1" thickBot="1">
      <c r="B159" s="243" t="s">
        <v>1729</v>
      </c>
      <c r="C159" s="250"/>
      <c r="J159" s="2738">
        <f>SUM(J153:K158)</f>
        <v>0</v>
      </c>
      <c r="K159" s="2739"/>
      <c r="P159" s="2738">
        <f>SUM(P153:Q158)</f>
        <v>0</v>
      </c>
      <c r="Q159" s="2739"/>
      <c r="V159" s="851">
        <f>SUM(V153:V158)</f>
        <v>0</v>
      </c>
      <c r="W159" s="2919"/>
      <c r="X159" s="2920"/>
      <c r="AZ159" s="1982"/>
      <c r="BA159" s="1708">
        <v>159</v>
      </c>
    </row>
    <row r="160" spans="1:53" s="144" customFormat="1" ht="3" customHeight="1">
      <c r="V160" s="852"/>
      <c r="AZ160" s="1982"/>
      <c r="BA160" s="1708">
        <v>160</v>
      </c>
    </row>
    <row r="161" spans="1:53" s="144" customFormat="1" ht="15" customHeight="1">
      <c r="B161" s="243" t="s">
        <v>2161</v>
      </c>
      <c r="V161" s="852"/>
      <c r="W161" s="144" t="str">
        <f>B161</f>
        <v>Eligible Basis Calculation</v>
      </c>
      <c r="AZ161" s="1982"/>
      <c r="BA161" s="1708">
        <v>161</v>
      </c>
    </row>
    <row r="162" spans="1:53" s="144" customFormat="1" ht="14.1" customHeight="1">
      <c r="B162" s="144" t="s">
        <v>1666</v>
      </c>
      <c r="J162" s="2944">
        <f>J146</f>
        <v>33363630</v>
      </c>
      <c r="K162" s="2946"/>
      <c r="M162" s="3032">
        <f>M146</f>
        <v>0</v>
      </c>
      <c r="N162" s="3033"/>
      <c r="P162" s="2944">
        <f>P146</f>
        <v>0</v>
      </c>
      <c r="Q162" s="2946"/>
      <c r="R162" s="2904" t="s">
        <v>3777</v>
      </c>
      <c r="S162" s="2905"/>
      <c r="T162" s="2905"/>
      <c r="V162" s="849"/>
      <c r="W162" s="2915"/>
      <c r="X162" s="2916"/>
      <c r="AZ162" s="1982"/>
      <c r="BA162" s="1708">
        <v>162</v>
      </c>
    </row>
    <row r="163" spans="1:53" s="144" customFormat="1" ht="14.1" customHeight="1">
      <c r="B163" s="144" t="s">
        <v>2053</v>
      </c>
      <c r="J163" s="2947">
        <f>J159</f>
        <v>0</v>
      </c>
      <c r="K163" s="2949"/>
      <c r="M163" s="2957"/>
      <c r="N163" s="2957"/>
      <c r="P163" s="2947">
        <f>P159</f>
        <v>0</v>
      </c>
      <c r="Q163" s="2949"/>
      <c r="R163" s="2904"/>
      <c r="S163" s="2905"/>
      <c r="T163" s="2905"/>
      <c r="U163" s="1171"/>
      <c r="V163" s="849"/>
      <c r="W163" s="2915"/>
      <c r="X163" s="2916"/>
      <c r="AZ163" s="1982"/>
      <c r="BA163" s="1708">
        <v>163</v>
      </c>
    </row>
    <row r="164" spans="1:53" s="144" customFormat="1" ht="14.1" customHeight="1">
      <c r="B164" s="144" t="s">
        <v>2054</v>
      </c>
      <c r="J164" s="2947">
        <f>J162-J163</f>
        <v>33363630</v>
      </c>
      <c r="K164" s="2949"/>
      <c r="M164" s="2956">
        <f>M162</f>
        <v>0</v>
      </c>
      <c r="N164" s="2958"/>
      <c r="P164" s="2947">
        <f>P162-P163</f>
        <v>0</v>
      </c>
      <c r="Q164" s="2949"/>
      <c r="R164" s="2904"/>
      <c r="S164" s="2905"/>
      <c r="T164" s="2905"/>
      <c r="U164" s="1171"/>
      <c r="V164" s="849"/>
      <c r="W164" s="2915"/>
      <c r="X164" s="2916"/>
      <c r="AZ164" s="1982"/>
      <c r="BA164" s="1708">
        <v>164</v>
      </c>
    </row>
    <row r="165" spans="1:53" s="144" customFormat="1" ht="14.1" customHeight="1">
      <c r="B165" s="144" t="s">
        <v>1391</v>
      </c>
      <c r="G165" s="248" t="s">
        <v>1594</v>
      </c>
      <c r="H165" s="2963" t="s">
        <v>6930</v>
      </c>
      <c r="I165" s="2964"/>
      <c r="J165" s="2965">
        <v>1.3</v>
      </c>
      <c r="K165" s="2966"/>
      <c r="M165" s="2967"/>
      <c r="N165" s="2967"/>
      <c r="P165" s="2965"/>
      <c r="Q165" s="2966"/>
      <c r="R165" s="2906" t="s">
        <v>3208</v>
      </c>
      <c r="S165" s="2907"/>
      <c r="T165" s="2908"/>
      <c r="U165" s="1172"/>
      <c r="V165" s="849"/>
      <c r="W165" s="2915"/>
      <c r="X165" s="2916"/>
      <c r="AZ165" s="1982"/>
      <c r="BA165" s="1708">
        <v>165</v>
      </c>
    </row>
    <row r="166" spans="1:53" s="144" customFormat="1" ht="14.1" customHeight="1">
      <c r="B166" s="144" t="s">
        <v>1904</v>
      </c>
      <c r="J166" s="2947">
        <f>J164*J165</f>
        <v>43372719</v>
      </c>
      <c r="K166" s="2949"/>
      <c r="M166" s="2944">
        <f>+M164</f>
        <v>0</v>
      </c>
      <c r="N166" s="2946"/>
      <c r="P166" s="2947">
        <f>P164*P165</f>
        <v>0</v>
      </c>
      <c r="Q166" s="2949"/>
      <c r="R166" s="2909"/>
      <c r="S166" s="2910"/>
      <c r="T166" s="2911"/>
      <c r="U166" s="1172"/>
      <c r="V166" s="849"/>
      <c r="W166" s="2915"/>
      <c r="X166" s="2916"/>
      <c r="AZ166" s="1982"/>
      <c r="BA166" s="1708">
        <v>166</v>
      </c>
    </row>
    <row r="167" spans="1:53" s="144" customFormat="1" ht="14.1" customHeight="1">
      <c r="B167" s="144" t="s">
        <v>2340</v>
      </c>
      <c r="J167" s="2968">
        <f>MIN('Part V-Revenues &amp; Expenses'!$P$63/'Part V-Revenues &amp; Expenses'!$P$65,'Part V-Revenues &amp; Expenses'!$P$164/'Part V-Revenues &amp; Expenses'!$P$166)</f>
        <v>1</v>
      </c>
      <c r="K167" s="2969"/>
      <c r="M167" s="2968">
        <f>MIN('Part V-Revenues &amp; Expenses'!$P$63/'Part V-Revenues &amp; Expenses'!$P$65,'Part V-Revenues &amp; Expenses'!$P$164/'Part V-Revenues &amp; Expenses'!$P$166)</f>
        <v>1</v>
      </c>
      <c r="N167" s="2969"/>
      <c r="P167" s="2968">
        <f>MIN('Part V-Revenues &amp; Expenses'!$P$63/'Part V-Revenues &amp; Expenses'!$P$65,'Part V-Revenues &amp; Expenses'!$P$164/'Part V-Revenues &amp; Expenses'!$P$166)</f>
        <v>1</v>
      </c>
      <c r="Q167" s="2969"/>
      <c r="R167" s="2912"/>
      <c r="S167" s="2913"/>
      <c r="T167" s="2914"/>
      <c r="V167" s="849"/>
      <c r="W167" s="2915"/>
      <c r="X167" s="2916"/>
      <c r="AZ167" s="1982"/>
      <c r="BA167" s="1708">
        <v>167</v>
      </c>
    </row>
    <row r="168" spans="1:53" s="144" customFormat="1" ht="14.1" customHeight="1">
      <c r="B168" s="144" t="s">
        <v>1896</v>
      </c>
      <c r="J168" s="2947">
        <f>J166*J167</f>
        <v>43372719</v>
      </c>
      <c r="K168" s="2949"/>
      <c r="M168" s="2947">
        <f>M166*M167</f>
        <v>0</v>
      </c>
      <c r="N168" s="2949"/>
      <c r="P168" s="2947">
        <f>P166*P167</f>
        <v>0</v>
      </c>
      <c r="Q168" s="2949"/>
      <c r="V168" s="849"/>
      <c r="W168" s="2915"/>
      <c r="X168" s="2916"/>
      <c r="AZ168" s="1982"/>
      <c r="BA168" s="1708">
        <v>168</v>
      </c>
    </row>
    <row r="169" spans="1:53" s="144" customFormat="1" ht="14.1" customHeight="1">
      <c r="B169" s="144" t="s">
        <v>1897</v>
      </c>
      <c r="J169" s="2965">
        <v>0.04</v>
      </c>
      <c r="K169" s="2966"/>
      <c r="M169" s="2965">
        <v>0.04</v>
      </c>
      <c r="N169" s="2966"/>
      <c r="P169" s="2965"/>
      <c r="Q169" s="2966"/>
      <c r="V169" s="849"/>
      <c r="W169" s="2915"/>
      <c r="X169" s="2916"/>
      <c r="AZ169" s="1982"/>
      <c r="BA169" s="1708">
        <v>169</v>
      </c>
    </row>
    <row r="170" spans="1:53" s="144" customFormat="1" ht="14.1" customHeight="1" thickBot="1">
      <c r="B170" s="144" t="s">
        <v>2341</v>
      </c>
      <c r="J170" s="2970">
        <f>J168*J169</f>
        <v>1734908.76</v>
      </c>
      <c r="K170" s="2971"/>
      <c r="M170" s="2970">
        <f>M168*M169</f>
        <v>0</v>
      </c>
      <c r="N170" s="2971"/>
      <c r="P170" s="2970">
        <f>P168*P169</f>
        <v>0</v>
      </c>
      <c r="Q170" s="2971"/>
      <c r="V170" s="856"/>
      <c r="W170" s="2917"/>
      <c r="X170" s="2918"/>
      <c r="AZ170" s="1982"/>
      <c r="BA170" s="1708">
        <v>170</v>
      </c>
    </row>
    <row r="171" spans="1:53" s="144" customFormat="1" ht="14.1" customHeight="1" thickBot="1">
      <c r="B171" s="243" t="s">
        <v>1340</v>
      </c>
      <c r="J171" s="2738">
        <f>ROUNDDOWN(J170+M170+P170,0)</f>
        <v>1734908</v>
      </c>
      <c r="K171" s="2936"/>
      <c r="L171" s="2936"/>
      <c r="M171" s="2936"/>
      <c r="N171" s="2936"/>
      <c r="O171" s="2936"/>
      <c r="P171" s="2936"/>
      <c r="Q171" s="2739"/>
      <c r="V171" s="851"/>
      <c r="W171" s="2921"/>
      <c r="X171" s="2922"/>
      <c r="AZ171" s="1982"/>
      <c r="BA171" s="1708">
        <v>171</v>
      </c>
    </row>
    <row r="172" spans="1:53" s="144" customFormat="1" ht="6" customHeight="1">
      <c r="B172" s="296"/>
      <c r="L172" s="297"/>
      <c r="M172" s="297"/>
      <c r="N172" s="297"/>
      <c r="O172" s="297"/>
      <c r="V172" s="852"/>
      <c r="AZ172" s="1982"/>
      <c r="BA172" s="1708">
        <v>172</v>
      </c>
    </row>
    <row r="173" spans="1:53" s="144" customFormat="1" ht="14.1" customHeight="1">
      <c r="A173" s="344" t="s">
        <v>691</v>
      </c>
      <c r="B173" s="344" t="s">
        <v>1343</v>
      </c>
      <c r="H173" s="288"/>
      <c r="I173" s="288"/>
      <c r="M173" s="371"/>
      <c r="V173" s="852"/>
      <c r="AZ173" s="1982"/>
      <c r="BA173" s="1708">
        <v>173</v>
      </c>
    </row>
    <row r="174" spans="1:53" s="144" customFormat="1" ht="3" customHeight="1">
      <c r="H174" s="288"/>
      <c r="I174" s="288"/>
      <c r="M174" s="371"/>
      <c r="O174" s="2972"/>
      <c r="P174" s="2972"/>
      <c r="Q174" s="2972"/>
      <c r="R174" s="2972"/>
      <c r="S174" s="2972"/>
      <c r="T174" s="2972"/>
      <c r="U174" s="2972"/>
      <c r="V174" s="2972"/>
      <c r="AZ174" s="1982"/>
      <c r="BA174" s="1708">
        <v>174</v>
      </c>
    </row>
    <row r="175" spans="1:53" s="144" customFormat="1" ht="15" customHeight="1" thickBot="1">
      <c r="B175" s="243" t="s">
        <v>167</v>
      </c>
      <c r="V175" s="852"/>
      <c r="W175" s="344" t="str">
        <f>B173</f>
        <v>TAX CREDIT CALCULATION - GAP METHOD</v>
      </c>
      <c r="AZ175" s="1982"/>
      <c r="BA175" s="1708">
        <v>175</v>
      </c>
    </row>
    <row r="176" spans="1:53" s="144" customFormat="1" ht="15" customHeight="1">
      <c r="B176" s="144" t="s">
        <v>3940</v>
      </c>
      <c r="J176" s="2944">
        <f>G146</f>
        <v>36348071</v>
      </c>
      <c r="K176" s="2945"/>
      <c r="L176" s="2946"/>
      <c r="N176" s="2974" t="s">
        <v>6720</v>
      </c>
      <c r="O176" s="2975"/>
      <c r="P176" s="2975"/>
      <c r="Q176" s="2976"/>
      <c r="S176" s="2940" t="s">
        <v>3191</v>
      </c>
      <c r="T176" s="2941"/>
      <c r="V176" s="849"/>
      <c r="W176" s="2915"/>
      <c r="X176" s="2916"/>
      <c r="AZ176" s="1982"/>
      <c r="BA176" s="1708">
        <v>176</v>
      </c>
    </row>
    <row r="177" spans="1:53" s="144" customFormat="1" ht="14.1" customHeight="1">
      <c r="B177" s="144" t="s">
        <v>252</v>
      </c>
      <c r="J177" s="2947">
        <f>'Part II-Sources of Funds'!$I$60-'Part II-Sources of Funds'!$I$44-'Part II-Sources of Funds'!$I$45-'Part II-Sources of Funds'!$I$51-'Part II-Sources of Funds'!$I$52</f>
        <v>10500000</v>
      </c>
      <c r="K177" s="2948"/>
      <c r="L177" s="2949"/>
      <c r="M177" s="1984"/>
      <c r="N177" s="2977"/>
      <c r="O177" s="2905"/>
      <c r="P177" s="2905"/>
      <c r="Q177" s="2978"/>
      <c r="S177" s="2942"/>
      <c r="T177" s="2943"/>
      <c r="V177" s="849"/>
      <c r="W177" s="2915"/>
      <c r="X177" s="2916"/>
      <c r="AZ177" s="1982"/>
      <c r="BA177" s="1708">
        <v>177</v>
      </c>
    </row>
    <row r="178" spans="1:53" s="144" customFormat="1" ht="14.1" customHeight="1">
      <c r="B178" s="144" t="s">
        <v>2065</v>
      </c>
      <c r="J178" s="2950">
        <f>+J176-J177</f>
        <v>25848071</v>
      </c>
      <c r="K178" s="2951"/>
      <c r="L178" s="2952"/>
      <c r="M178" s="1984"/>
      <c r="N178" s="2979"/>
      <c r="O178" s="2980"/>
      <c r="P178" s="2980"/>
      <c r="Q178" s="2981"/>
      <c r="S178" s="2942"/>
      <c r="T178" s="2943"/>
      <c r="V178" s="849"/>
      <c r="W178" s="2915"/>
      <c r="X178" s="2916"/>
      <c r="AZ178" s="1982"/>
      <c r="BA178" s="1708">
        <v>178</v>
      </c>
    </row>
    <row r="179" spans="1:53" s="144" customFormat="1" ht="14.1" customHeight="1" thickBot="1">
      <c r="B179" s="144" t="s">
        <v>1210</v>
      </c>
      <c r="J179" s="2763" t="str">
        <f>"/ 10"</f>
        <v>/ 10</v>
      </c>
      <c r="K179" s="2763"/>
      <c r="L179" s="2763"/>
      <c r="M179" s="223"/>
      <c r="N179" s="2953">
        <f>'Part II-Sources of Funds'!$I$44</f>
        <v>0</v>
      </c>
      <c r="O179" s="2954"/>
      <c r="P179" s="2954"/>
      <c r="Q179" s="2955"/>
      <c r="S179" s="329" t="s">
        <v>1549</v>
      </c>
      <c r="T179" s="330"/>
      <c r="V179" s="849"/>
      <c r="W179" s="2915"/>
      <c r="X179" s="2916"/>
      <c r="AZ179" s="1982"/>
      <c r="BA179" s="1708">
        <v>179</v>
      </c>
    </row>
    <row r="180" spans="1:53" s="144" customFormat="1" ht="14.1" customHeight="1">
      <c r="B180" s="144" t="s">
        <v>1211</v>
      </c>
      <c r="J180" s="2956">
        <f>J178/10</f>
        <v>2584807.1</v>
      </c>
      <c r="K180" s="2957"/>
      <c r="L180" s="2958"/>
      <c r="N180" s="369"/>
      <c r="O180" s="369"/>
      <c r="P180" s="369"/>
      <c r="Q180" s="369"/>
      <c r="R180" s="369"/>
      <c r="V180" s="849"/>
      <c r="W180" s="2915"/>
      <c r="X180" s="2916"/>
      <c r="AZ180" s="1982"/>
      <c r="BA180" s="1708">
        <v>180</v>
      </c>
    </row>
    <row r="181" spans="1:53" s="144" customFormat="1" ht="14.1" customHeight="1">
      <c r="M181" s="145"/>
      <c r="N181" s="2777" t="s">
        <v>1212</v>
      </c>
      <c r="O181" s="2777"/>
      <c r="Q181" s="2777" t="s">
        <v>1672</v>
      </c>
      <c r="R181" s="2777"/>
      <c r="V181" s="849"/>
      <c r="W181" s="2915"/>
      <c r="X181" s="2916"/>
      <c r="Z181" s="1821" t="s">
        <v>1647</v>
      </c>
      <c r="AZ181" s="1982"/>
      <c r="BA181" s="1708">
        <v>181</v>
      </c>
    </row>
    <row r="182" spans="1:53" s="144" customFormat="1" ht="14.1" customHeight="1" thickBot="1">
      <c r="B182" s="144" t="s">
        <v>1390</v>
      </c>
      <c r="J182" s="2931">
        <f>N182+Q182</f>
        <v>1.4889999999999999</v>
      </c>
      <c r="K182" s="2932"/>
      <c r="L182" s="2933"/>
      <c r="M182" s="248" t="s">
        <v>1213</v>
      </c>
      <c r="N182" s="2934">
        <v>0.8</v>
      </c>
      <c r="O182" s="2935"/>
      <c r="P182" s="248" t="s">
        <v>570</v>
      </c>
      <c r="Q182" s="2934">
        <v>0.68899999999999995</v>
      </c>
      <c r="R182" s="2935"/>
      <c r="V182" s="849"/>
      <c r="W182" s="2915"/>
      <c r="X182" s="2916"/>
      <c r="Z182" s="1822">
        <f>'DCA Underwriting Assumptions'!Q113</f>
        <v>1035000</v>
      </c>
      <c r="AZ182" s="1982"/>
      <c r="BA182" s="1708">
        <v>182</v>
      </c>
    </row>
    <row r="183" spans="1:53" s="144" customFormat="1" ht="14.1" customHeight="1" thickBot="1">
      <c r="B183" s="243" t="s">
        <v>1341</v>
      </c>
      <c r="J183" s="2738">
        <f>ROUNDDOWN(IF(J182=0,"",J180/J182),0)</f>
        <v>1735934</v>
      </c>
      <c r="K183" s="2936"/>
      <c r="L183" s="2739"/>
      <c r="M183" s="145"/>
      <c r="V183" s="849"/>
      <c r="W183" s="2915"/>
      <c r="X183" s="2916"/>
      <c r="Z183" s="1822">
        <f>'DCA Underwriting Assumptions'!Q114</f>
        <v>1150000</v>
      </c>
      <c r="AZ183" s="1982"/>
      <c r="BA183" s="1708">
        <v>183</v>
      </c>
    </row>
    <row r="184" spans="1:53" s="144" customFormat="1" ht="6" customHeight="1">
      <c r="J184" s="298"/>
      <c r="K184" s="298"/>
      <c r="L184" s="298"/>
      <c r="M184" s="145"/>
      <c r="N184" s="248"/>
      <c r="O184" s="248"/>
      <c r="V184" s="852"/>
      <c r="W184" s="1653"/>
      <c r="X184" s="1653"/>
      <c r="AZ184" s="1982"/>
      <c r="BA184" s="1708">
        <v>184</v>
      </c>
    </row>
    <row r="185" spans="1:53" s="144" customFormat="1" ht="14.1" customHeight="1">
      <c r="A185" s="344" t="s">
        <v>1667</v>
      </c>
      <c r="B185" s="344" t="s">
        <v>3939</v>
      </c>
      <c r="H185" s="288"/>
      <c r="I185" s="288"/>
      <c r="V185" s="852"/>
      <c r="AZ185" s="1982"/>
      <c r="BA185" s="1708">
        <v>185</v>
      </c>
    </row>
    <row r="186" spans="1:53" s="144" customFormat="1" ht="3" customHeight="1">
      <c r="H186" s="288"/>
      <c r="I186" s="288"/>
      <c r="Q186" s="430"/>
      <c r="R186" s="430"/>
      <c r="S186" s="867"/>
      <c r="T186" s="867"/>
      <c r="U186" s="393"/>
      <c r="V186" s="393"/>
      <c r="AZ186" s="744"/>
      <c r="BA186" s="1708">
        <v>186</v>
      </c>
    </row>
    <row r="187" spans="1:53" s="144" customFormat="1" ht="16.350000000000001" customHeight="1">
      <c r="B187" s="243" t="s">
        <v>6719</v>
      </c>
      <c r="J187" s="2937">
        <v>1734863</v>
      </c>
      <c r="K187" s="2938"/>
      <c r="L187" s="2939"/>
      <c r="Q187" s="147" t="s">
        <v>6256</v>
      </c>
      <c r="R187" s="147"/>
      <c r="S187" s="3030" t="str">
        <f>'Part VIII Scoring Criteria'!$M$59</f>
        <v>N/A-4%</v>
      </c>
      <c r="T187" s="3031"/>
      <c r="U187" s="1624" t="str">
        <f>IF(OR(S187="Atlanta Metro", "Other Metro"), "Metro", IF(S187="Rural","Rural",""))</f>
        <v/>
      </c>
      <c r="V187" s="849"/>
      <c r="W187" s="2915"/>
      <c r="X187" s="2916"/>
      <c r="AZ187" s="744"/>
      <c r="BA187" s="1708">
        <v>187</v>
      </c>
    </row>
    <row r="188" spans="1:53" s="144" customFormat="1" ht="3" customHeight="1">
      <c r="J188" s="298"/>
      <c r="K188" s="298"/>
      <c r="L188" s="298"/>
      <c r="M188" s="145"/>
      <c r="N188" s="248"/>
      <c r="O188" s="248"/>
      <c r="Q188" s="147"/>
      <c r="R188" s="147"/>
      <c r="S188" s="241"/>
      <c r="T188" s="241"/>
      <c r="V188" s="852"/>
      <c r="W188" s="847"/>
      <c r="X188" s="848"/>
      <c r="AZ188" s="744"/>
      <c r="BA188" s="1708">
        <v>188</v>
      </c>
    </row>
    <row r="189" spans="1:53" s="144" customFormat="1" ht="16.350000000000001" customHeight="1">
      <c r="B189" s="243" t="s">
        <v>4079</v>
      </c>
      <c r="J189" s="2937">
        <v>1734863</v>
      </c>
      <c r="K189" s="2938"/>
      <c r="L189" s="2939"/>
      <c r="M189" s="2973" t="str">
        <f>IF(J187=0,"",IF(J189&gt;J187,"Request can't exceed Maximum - REVISE (Try Round Down)!",""))</f>
        <v/>
      </c>
      <c r="N189" s="2973"/>
      <c r="O189" s="2973"/>
      <c r="P189" s="2973"/>
      <c r="Q189" s="241" t="s">
        <v>6553</v>
      </c>
      <c r="R189" s="147"/>
      <c r="S189" s="3030" t="str">
        <f>'Part VIII Scoring Criteria'!$M$54</f>
        <v>Preservation</v>
      </c>
      <c r="T189" s="3031"/>
      <c r="V189" s="849"/>
      <c r="W189" s="2915"/>
      <c r="X189" s="2916"/>
      <c r="AZ189" s="744"/>
      <c r="BA189" s="1708">
        <v>189</v>
      </c>
    </row>
    <row r="190" spans="1:53" s="144" customFormat="1" ht="3" customHeight="1">
      <c r="J190" s="298"/>
      <c r="K190" s="298"/>
      <c r="L190" s="298"/>
      <c r="M190" s="2973"/>
      <c r="N190" s="2973"/>
      <c r="O190" s="2973"/>
      <c r="P190" s="2973"/>
      <c r="Q190" s="147"/>
      <c r="R190" s="147"/>
      <c r="S190" s="241"/>
      <c r="T190" s="241"/>
      <c r="V190" s="852"/>
      <c r="W190" s="847"/>
      <c r="X190" s="848"/>
      <c r="AZ190" s="744"/>
      <c r="BA190" s="1708">
        <v>190</v>
      </c>
    </row>
    <row r="191" spans="1:53" s="144" customFormat="1" ht="16.350000000000001" customHeight="1">
      <c r="A191" s="344"/>
      <c r="B191" s="344" t="s">
        <v>4080</v>
      </c>
      <c r="D191" s="145"/>
      <c r="E191" s="145"/>
      <c r="F191" s="246"/>
      <c r="J191" s="2959">
        <f>IF(J189="",0,+MIN(J187,J189))</f>
        <v>1734863</v>
      </c>
      <c r="K191" s="2960"/>
      <c r="L191" s="2961"/>
      <c r="M191" s="2973"/>
      <c r="N191" s="2973"/>
      <c r="O191" s="2973"/>
      <c r="P191" s="2973"/>
      <c r="Q191" s="236" t="s">
        <v>3931</v>
      </c>
      <c r="R191" s="236"/>
      <c r="S191" s="165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4"/>
      <c r="V191" s="849"/>
      <c r="W191" s="2915"/>
      <c r="X191" s="2916"/>
      <c r="AZ191" s="744"/>
      <c r="BA191" s="1708">
        <v>191</v>
      </c>
    </row>
    <row r="192" spans="1:53" ht="3" customHeight="1">
      <c r="BA192" s="1708">
        <v>192</v>
      </c>
    </row>
    <row r="193" spans="1:53" ht="6" customHeight="1">
      <c r="BA193" s="1708">
        <v>193</v>
      </c>
    </row>
    <row r="194" spans="1:53" ht="12" customHeight="1">
      <c r="A194" s="243" t="s">
        <v>1669</v>
      </c>
      <c r="B194" s="253" t="s">
        <v>530</v>
      </c>
      <c r="N194" s="243" t="s">
        <v>496</v>
      </c>
      <c r="O194" s="243" t="s">
        <v>74</v>
      </c>
      <c r="AZ194" s="1982"/>
      <c r="BA194" s="1708">
        <v>194</v>
      </c>
    </row>
    <row r="195" spans="1:53" ht="287.25" customHeight="1">
      <c r="A195" s="2718" t="s">
        <v>6981</v>
      </c>
      <c r="B195" s="2718"/>
      <c r="C195" s="2718"/>
      <c r="D195" s="2718"/>
      <c r="E195" s="2718"/>
      <c r="F195" s="2718"/>
      <c r="G195" s="2718"/>
      <c r="H195" s="2718"/>
      <c r="I195" s="2718"/>
      <c r="J195" s="2718"/>
      <c r="K195" s="2718"/>
      <c r="L195" s="2718"/>
      <c r="M195" s="2718"/>
      <c r="N195" s="2962"/>
      <c r="O195" s="2962"/>
      <c r="P195" s="2962"/>
      <c r="Q195" s="2962"/>
      <c r="R195" s="2962"/>
      <c r="S195" s="2962"/>
      <c r="T195" s="2962"/>
      <c r="V195" s="752"/>
      <c r="W195" s="2716" t="s">
        <v>2453</v>
      </c>
      <c r="X195" s="2716"/>
      <c r="AZ195" s="1982"/>
      <c r="BA195" s="1708">
        <v>195</v>
      </c>
    </row>
    <row r="196" spans="1:53" ht="11.25" customHeight="1">
      <c r="AZ196" s="1982"/>
      <c r="BA196" s="1747"/>
    </row>
    <row r="197" spans="1:53" ht="12" customHeight="1">
      <c r="BA197" s="1747"/>
    </row>
    <row r="198" spans="1:53" ht="12" customHeight="1">
      <c r="AZ198" s="1982"/>
    </row>
    <row r="199" spans="1:53" ht="14.45" customHeight="1">
      <c r="BA199" s="1747"/>
    </row>
    <row r="200" spans="1:53" s="144" customFormat="1" ht="14.45" customHeight="1">
      <c r="AZ200" s="1982"/>
      <c r="BA200" s="1741"/>
    </row>
    <row r="201" spans="1:53" s="144" customFormat="1" ht="14.45" customHeight="1">
      <c r="AZ201" s="1982"/>
      <c r="BA201" s="1747"/>
    </row>
    <row r="202" spans="1:53" s="144" customFormat="1" ht="14.45" customHeight="1">
      <c r="AZ202" s="1982"/>
      <c r="BA202" s="1747"/>
    </row>
    <row r="203" spans="1:53" ht="14.45" customHeight="1">
      <c r="AZ203" s="1982"/>
      <c r="BA203" s="1747"/>
    </row>
    <row r="204" spans="1:53" s="144" customFormat="1" ht="14.45" customHeight="1">
      <c r="A204" s="222"/>
      <c r="AZ204" s="1982"/>
      <c r="BA204" s="1747"/>
    </row>
    <row r="205" spans="1:53" ht="14.45" customHeight="1">
      <c r="AZ205" s="1982"/>
      <c r="BA205" s="1747"/>
    </row>
    <row r="206" spans="1:53" s="144" customFormat="1" ht="14.45" customHeight="1">
      <c r="AZ206" s="1982"/>
      <c r="BA206" s="1747"/>
    </row>
    <row r="207" spans="1:53" s="144" customFormat="1" ht="14.45" customHeight="1">
      <c r="A207" s="222"/>
      <c r="AZ207" s="1982"/>
      <c r="BA207" s="1747"/>
    </row>
    <row r="208" spans="1:53" s="144" customFormat="1" ht="14.45" customHeight="1">
      <c r="A208" s="375"/>
      <c r="AZ208" s="1982"/>
      <c r="BA208" s="1747"/>
    </row>
    <row r="209" spans="1:53" s="144" customFormat="1" ht="14.45" customHeight="1">
      <c r="AZ209" s="744"/>
      <c r="BA209" s="1747"/>
    </row>
    <row r="210" spans="1:53" s="144" customFormat="1" ht="14.45" customHeight="1">
      <c r="A210" s="260"/>
      <c r="AZ210" s="744"/>
      <c r="BA210" s="1741"/>
    </row>
    <row r="211" spans="1:53" s="144" customFormat="1" ht="14.45" customHeight="1">
      <c r="A211" s="260"/>
      <c r="AZ211" s="744"/>
      <c r="BA211" s="1741"/>
    </row>
    <row r="212" spans="1:53" s="144" customFormat="1" ht="14.45" customHeight="1">
      <c r="A212" s="260"/>
      <c r="AZ212" s="744"/>
      <c r="BA212" s="1741"/>
    </row>
    <row r="213" spans="1:53" s="144" customFormat="1" ht="14.45" customHeight="1">
      <c r="AZ213" s="744"/>
      <c r="BA213" s="1741"/>
    </row>
    <row r="214" spans="1:53" s="144" customFormat="1" ht="14.45" customHeight="1">
      <c r="AZ214" s="744"/>
      <c r="BA214" s="1741"/>
    </row>
    <row r="215" spans="1:53" ht="14.45" customHeight="1"/>
    <row r="216" spans="1:53" ht="14.45" customHeight="1"/>
    <row r="217" spans="1:53" ht="14.45" customHeight="1">
      <c r="AZ217" s="1982"/>
    </row>
    <row r="218" spans="1:53" ht="14.45" customHeight="1">
      <c r="BA218" s="1747"/>
    </row>
    <row r="219" spans="1:53" ht="14.45" customHeight="1"/>
    <row r="220" spans="1:53" ht="14.45" customHeight="1"/>
    <row r="221" spans="1:53" ht="14.45" customHeight="1"/>
    <row r="222" spans="1:53" ht="14.45" customHeight="1"/>
    <row r="223" spans="1:53" s="144" customFormat="1" ht="14.45" customHeight="1">
      <c r="AZ223" s="744"/>
      <c r="BA223" s="1741"/>
    </row>
    <row r="224" spans="1:53" ht="14.45" customHeight="1"/>
    <row r="225" spans="11:12" ht="14.45" customHeight="1"/>
    <row r="226" spans="11:12" ht="14.45" customHeight="1"/>
    <row r="227" spans="11:12" ht="14.45" customHeight="1"/>
    <row r="228" spans="11:12" ht="14.45" customHeight="1"/>
    <row r="229" spans="11:12" ht="14.45" customHeight="1"/>
    <row r="230" spans="11:12" ht="14.45" customHeight="1"/>
    <row r="231" spans="11:12" ht="14.45" customHeight="1"/>
    <row r="232" spans="11:12" ht="14.45" customHeight="1"/>
    <row r="233" spans="11:12" ht="14.45" customHeight="1"/>
    <row r="234" spans="11:12" ht="14.45" customHeight="1"/>
    <row r="235" spans="11:12" ht="14.45" customHeight="1"/>
    <row r="236" spans="11:12" ht="14.45" customHeight="1"/>
    <row r="237" spans="11:12" ht="14.45" customHeight="1">
      <c r="K237" s="1682"/>
      <c r="L237" s="144"/>
    </row>
    <row r="238" spans="11:12" ht="14.45" customHeight="1">
      <c r="K238" s="1682"/>
      <c r="L238" s="144"/>
    </row>
    <row r="239" spans="11:12" ht="12.75" customHeight="1">
      <c r="K239" s="1682"/>
      <c r="L239" s="144"/>
    </row>
    <row r="240" spans="11:12">
      <c r="K240" s="1682"/>
      <c r="L240" s="144"/>
    </row>
    <row r="241" spans="11:12">
      <c r="K241" s="1682"/>
      <c r="L241" s="144"/>
    </row>
    <row r="242" spans="11:12">
      <c r="K242" s="1682"/>
      <c r="L242" s="144"/>
    </row>
    <row r="243" spans="11:12">
      <c r="K243" s="1682"/>
      <c r="L243" s="144"/>
    </row>
    <row r="244" spans="11:12">
      <c r="K244" s="1682"/>
      <c r="L244" s="144"/>
    </row>
    <row r="245" spans="11:12" ht="12.75" customHeight="1">
      <c r="K245" s="1682"/>
      <c r="L245" s="144"/>
    </row>
    <row r="246" spans="11:12">
      <c r="K246" s="1682"/>
      <c r="L246" s="144"/>
    </row>
  </sheetData>
  <sheetProtection algorithmName="SHA-512" hashValue="adc4JYte7b62SWPsMB8e2UdIPgaKhzmR9abJnlzEeczKvYIbT9ECxIXQGAur376DhPiIKA2kXN9Dx7vuKQcMTA==" saltValue="eF+a6a2DPriAbPNqnTwojQ=="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37" priority="17" stopIfTrue="1" operator="greaterThan">
      <formula>$E38</formula>
    </cfRule>
  </conditionalFormatting>
  <conditionalFormatting sqref="G39">
    <cfRule type="cellIs" dxfId="136" priority="18" stopIfTrue="1" operator="greaterThan">
      <formula>$E$39</formula>
    </cfRule>
  </conditionalFormatting>
  <conditionalFormatting sqref="G40">
    <cfRule type="cellIs" dxfId="135" priority="19" stopIfTrue="1" operator="greaterThan">
      <formula>$E$40</formula>
    </cfRule>
  </conditionalFormatting>
  <conditionalFormatting sqref="G55:H55">
    <cfRule type="cellIs" dxfId="134" priority="7" operator="greaterThan">
      <formula>$E$55</formula>
    </cfRule>
  </conditionalFormatting>
  <conditionalFormatting sqref="J38:K38 M38:N38 P38:Q38">
    <cfRule type="cellIs" dxfId="133" priority="14" operator="greaterThan">
      <formula>$G$38</formula>
    </cfRule>
  </conditionalFormatting>
  <conditionalFormatting sqref="J39:K40 M39:N40 P39:Q40">
    <cfRule type="cellIs" dxfId="132" priority="13" operator="greaterThan">
      <formula>$G$40</formula>
    </cfRule>
  </conditionalFormatting>
  <conditionalFormatting sqref="J191:L191">
    <cfRule type="cellIs" dxfId="131" priority="15" stopIfTrue="1" operator="greaterThan">
      <formula>$J$187</formula>
    </cfRule>
  </conditionalFormatting>
  <conditionalFormatting sqref="O174:V174">
    <cfRule type="cellIs" dxfId="130"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K20" sqref="K20"/>
    </sheetView>
  </sheetViews>
  <sheetFormatPr defaultColWidth="9.140625" defaultRowHeight="12.75"/>
  <cols>
    <col min="1" max="1" width="7.140625" style="432" customWidth="1"/>
    <col min="2" max="2" width="12.85546875" style="432" customWidth="1"/>
    <col min="3" max="3" width="7.85546875" style="432" customWidth="1"/>
    <col min="4" max="4" width="12.85546875" style="432" customWidth="1"/>
    <col min="5" max="5" width="0.85546875" style="432" customWidth="1"/>
    <col min="6" max="6" width="46.85546875" style="432" customWidth="1"/>
    <col min="7" max="7" width="0.85546875" style="432" customWidth="1"/>
    <col min="8" max="8" width="46.85546875" style="432" customWidth="1"/>
    <col min="9" max="16384" width="9.140625" style="432"/>
  </cols>
  <sheetData>
    <row r="1" spans="1:14" ht="15.75">
      <c r="A1" s="3049" t="str">
        <f>CONCATENATE("PART THREE (B) -  OTHER COSTS","  -  ",'Part I-Project Identification'!$O$7," - ",'Part I-Project Identification'!$F$29,"  -  ",'Part I-Project Identification'!$F$30,"  -  ",'Part I-Project Identification'!$J$30,",  ","County")</f>
        <v>PART THREE (B) -  OTHER COSTS  -  2022-522 - Harrison Village Apartments  -  Gainesville  -  Hall,  County</v>
      </c>
      <c r="B1" s="3050"/>
      <c r="C1" s="3050"/>
      <c r="D1" s="3050"/>
      <c r="E1" s="3050"/>
      <c r="F1" s="3050"/>
      <c r="G1" s="3050"/>
      <c r="H1" s="3050"/>
      <c r="I1" s="722"/>
      <c r="J1" s="722"/>
      <c r="K1" s="722"/>
      <c r="L1" s="722"/>
      <c r="M1" s="722"/>
      <c r="N1" s="722"/>
    </row>
    <row r="2" spans="1:14" ht="9" customHeight="1"/>
    <row r="3" spans="1:14" ht="57" customHeight="1">
      <c r="A3" s="3051" t="s">
        <v>3218</v>
      </c>
      <c r="B3" s="3052"/>
      <c r="C3" s="3052"/>
      <c r="D3" s="3052"/>
      <c r="E3" s="3052"/>
      <c r="F3" s="3052"/>
      <c r="G3" s="3052"/>
      <c r="H3" s="3053"/>
    </row>
    <row r="4" spans="1:14" ht="6" customHeight="1"/>
    <row r="5" spans="1:14" ht="38.25" customHeight="1">
      <c r="A5" s="3054" t="s">
        <v>3280</v>
      </c>
      <c r="B5" s="3054"/>
      <c r="C5" s="3054"/>
      <c r="D5" s="3054"/>
      <c r="F5" s="723" t="s">
        <v>3210</v>
      </c>
      <c r="G5" s="439"/>
      <c r="H5" s="723" t="s">
        <v>3211</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046" t="str">
        <f>'Part III-A-Uses of Funds'!$C$15</f>
        <v>&lt;&lt; Enter description here; provide detail &amp; justification in tab Part III-b &gt;&gt;</v>
      </c>
      <c r="B9" s="3047"/>
      <c r="C9" s="3047"/>
      <c r="D9" s="3048"/>
      <c r="F9" s="3043"/>
      <c r="G9" s="726"/>
      <c r="H9" s="3043"/>
    </row>
    <row r="10" spans="1:14" s="725" customFormat="1" ht="41.25" customHeight="1">
      <c r="A10" s="3037"/>
      <c r="B10" s="3038"/>
      <c r="C10" s="3038"/>
      <c r="D10" s="3039"/>
      <c r="F10" s="3044"/>
      <c r="G10" s="726"/>
      <c r="H10" s="3044"/>
    </row>
    <row r="11" spans="1:14" s="725" customFormat="1" ht="4.5" customHeight="1">
      <c r="F11" s="3044"/>
      <c r="G11" s="726"/>
      <c r="H11" s="3044"/>
    </row>
    <row r="12" spans="1:14" s="725" customFormat="1" ht="15" customHeight="1">
      <c r="A12" s="735" t="s">
        <v>3213</v>
      </c>
      <c r="B12" s="734">
        <f>'Part III-A-Uses of Funds'!$G$15</f>
        <v>0</v>
      </c>
      <c r="C12" s="735" t="s">
        <v>1666</v>
      </c>
      <c r="D12" s="734">
        <f>'Part III-A-Uses of Funds'!$J$15+'Part III-A-Uses of Funds'!$M$15+'Part III-A-Uses of Funds'!$P$15</f>
        <v>0</v>
      </c>
      <c r="F12" s="3044"/>
      <c r="G12" s="726"/>
      <c r="H12" s="3044"/>
    </row>
    <row r="13" spans="1:14" s="725" customFormat="1" ht="6" customHeight="1">
      <c r="A13" s="726"/>
      <c r="B13" s="727"/>
      <c r="C13" s="726"/>
      <c r="D13" s="726"/>
      <c r="F13" s="3044"/>
      <c r="G13" s="728"/>
      <c r="H13" s="3044"/>
    </row>
    <row r="14" spans="1:14" s="725" customFormat="1" ht="41.25" customHeight="1">
      <c r="A14" s="3046" t="str">
        <f>'Part III-A-Uses of Funds'!$C$16</f>
        <v>&lt;&lt; Enter description here; provide detail &amp; justification in tab Part III-b &gt;&gt;</v>
      </c>
      <c r="B14" s="3047"/>
      <c r="C14" s="3047"/>
      <c r="D14" s="3048"/>
      <c r="F14" s="3044"/>
      <c r="G14" s="726"/>
      <c r="H14" s="3044"/>
    </row>
    <row r="15" spans="1:14" s="725" customFormat="1" ht="41.25" customHeight="1">
      <c r="A15" s="3037"/>
      <c r="B15" s="3038"/>
      <c r="C15" s="3038"/>
      <c r="D15" s="3039"/>
      <c r="F15" s="3044"/>
      <c r="G15" s="726"/>
      <c r="H15" s="3044"/>
    </row>
    <row r="16" spans="1:14" s="725" customFormat="1" ht="4.5" customHeight="1">
      <c r="F16" s="3044"/>
      <c r="G16" s="726"/>
      <c r="H16" s="3044"/>
    </row>
    <row r="17" spans="1:8" s="725" customFormat="1" ht="15" customHeight="1">
      <c r="A17" s="735" t="s">
        <v>3213</v>
      </c>
      <c r="B17" s="734">
        <f>'Part III-A-Uses of Funds'!$G$16</f>
        <v>0</v>
      </c>
      <c r="C17" s="735" t="s">
        <v>1666</v>
      </c>
      <c r="D17" s="734">
        <f>'Part III-A-Uses of Funds'!$J$16+'Part III-A-Uses of Funds'!$M$16+'Part III-A-Uses of Funds'!$P$16</f>
        <v>0</v>
      </c>
      <c r="F17" s="3044"/>
      <c r="G17" s="726"/>
      <c r="H17" s="3044"/>
    </row>
    <row r="18" spans="1:8" s="725" customFormat="1" ht="6" customHeight="1">
      <c r="A18" s="726"/>
      <c r="B18" s="727"/>
      <c r="C18" s="726"/>
      <c r="D18" s="726"/>
      <c r="F18" s="3044"/>
      <c r="G18" s="728"/>
      <c r="H18" s="3044"/>
    </row>
    <row r="19" spans="1:8" s="725" customFormat="1" ht="41.25" customHeight="1">
      <c r="A19" s="3046" t="str">
        <f>'Part III-A-Uses of Funds'!$C$17</f>
        <v>&lt;&lt; Enter description here; provide detail &amp; justification in tab Part III-b &gt;&gt;</v>
      </c>
      <c r="B19" s="3047"/>
      <c r="C19" s="3047"/>
      <c r="D19" s="3048"/>
      <c r="F19" s="3044"/>
      <c r="G19" s="726"/>
      <c r="H19" s="3044"/>
    </row>
    <row r="20" spans="1:8" s="725" customFormat="1" ht="41.25" customHeight="1">
      <c r="A20" s="3037"/>
      <c r="B20" s="3038"/>
      <c r="C20" s="3038"/>
      <c r="D20" s="3039"/>
      <c r="F20" s="3044"/>
      <c r="G20" s="726"/>
      <c r="H20" s="3044"/>
    </row>
    <row r="21" spans="1:8" s="725" customFormat="1" ht="4.5" customHeight="1">
      <c r="F21" s="3044"/>
      <c r="G21" s="726"/>
      <c r="H21" s="3044"/>
    </row>
    <row r="22" spans="1:8" s="725" customFormat="1" ht="15" customHeight="1">
      <c r="A22" s="735" t="s">
        <v>3213</v>
      </c>
      <c r="B22" s="734">
        <f>'Part III-A-Uses of Funds'!$G$17</f>
        <v>0</v>
      </c>
      <c r="C22" s="735" t="s">
        <v>1666</v>
      </c>
      <c r="D22" s="734">
        <f>'Part III-A-Uses of Funds'!$J$17+'Part III-A-Uses of Funds'!$M$17+'Part III-A-Uses of Funds'!$P$17</f>
        <v>0</v>
      </c>
      <c r="F22" s="3044"/>
      <c r="G22" s="726"/>
      <c r="H22" s="3044"/>
    </row>
    <row r="23" spans="1:8" s="725" customFormat="1" ht="6" customHeight="1">
      <c r="A23" s="726"/>
      <c r="B23" s="727"/>
      <c r="C23" s="726"/>
      <c r="D23" s="726"/>
      <c r="F23" s="3045"/>
      <c r="G23" s="728"/>
      <c r="H23" s="3045"/>
    </row>
    <row r="24" spans="1:8" s="725" customFormat="1">
      <c r="A24" s="736" t="s">
        <v>3212</v>
      </c>
      <c r="B24" s="726"/>
      <c r="C24" s="726"/>
      <c r="D24" s="726"/>
      <c r="E24" s="726"/>
      <c r="F24" s="726"/>
      <c r="G24" s="726"/>
    </row>
    <row r="25" spans="1:8" s="725" customFormat="1" ht="41.25" customHeight="1">
      <c r="A25" s="3046" t="str">
        <f>'Part III-A-Uses of Funds'!$C$46</f>
        <v>Builders Risk Insurance</v>
      </c>
      <c r="B25" s="3047"/>
      <c r="C25" s="3047"/>
      <c r="D25" s="3048"/>
      <c r="E25" s="726"/>
      <c r="F25" s="3040" t="s">
        <v>6998</v>
      </c>
      <c r="G25" s="726"/>
      <c r="H25" s="3040" t="s">
        <v>7017</v>
      </c>
    </row>
    <row r="26" spans="1:8" s="725" customFormat="1" ht="41.25" customHeight="1">
      <c r="A26" s="3037"/>
      <c r="B26" s="3038"/>
      <c r="C26" s="3038"/>
      <c r="D26" s="3039"/>
      <c r="E26" s="726"/>
      <c r="F26" s="3041"/>
      <c r="G26" s="726"/>
      <c r="H26" s="3041"/>
    </row>
    <row r="27" spans="1:8" s="725" customFormat="1" ht="4.5" customHeight="1">
      <c r="A27" s="726"/>
      <c r="B27" s="726"/>
      <c r="C27" s="726"/>
      <c r="D27" s="726"/>
      <c r="E27" s="726"/>
      <c r="F27" s="3041"/>
      <c r="G27" s="726"/>
      <c r="H27" s="3041"/>
    </row>
    <row r="28" spans="1:8" s="725" customFormat="1" ht="25.5">
      <c r="A28" s="735" t="s">
        <v>3213</v>
      </c>
      <c r="B28" s="734">
        <f>'Part III-A-Uses of Funds'!$G$46</f>
        <v>209575</v>
      </c>
      <c r="C28" s="735" t="s">
        <v>1666</v>
      </c>
      <c r="D28" s="734">
        <f>'Part III-A-Uses of Funds'!$J$46+'Part III-A-Uses of Funds'!$M$46+'Part III-A-Uses of Funds'!$P$46</f>
        <v>209575</v>
      </c>
      <c r="E28" s="726"/>
      <c r="F28" s="3041"/>
      <c r="G28" s="726"/>
      <c r="H28" s="3041"/>
    </row>
    <row r="29" spans="1:8" s="725" customFormat="1" ht="6" customHeight="1">
      <c r="A29" s="726"/>
      <c r="B29" s="727"/>
      <c r="C29" s="726"/>
      <c r="D29" s="726"/>
      <c r="E29" s="726"/>
      <c r="F29" s="3042"/>
      <c r="G29" s="728"/>
      <c r="H29" s="3042"/>
    </row>
    <row r="30" spans="1:8" s="725" customFormat="1">
      <c r="A30" s="736" t="s">
        <v>675</v>
      </c>
      <c r="B30" s="726"/>
      <c r="C30" s="726"/>
      <c r="D30" s="726"/>
      <c r="E30" s="726"/>
      <c r="F30" s="726"/>
      <c r="G30" s="726"/>
    </row>
    <row r="31" spans="1:8" s="725" customFormat="1" ht="41.25" customHeight="1">
      <c r="A31" s="3034" t="str">
        <f>'Part III-A-Uses of Funds'!$C$71</f>
        <v>&lt;&lt; Enter description here; provide detail &amp; justification in tab Part III-b &gt;&gt;</v>
      </c>
      <c r="B31" s="3035"/>
      <c r="C31" s="3035"/>
      <c r="D31" s="3036"/>
      <c r="E31" s="726"/>
      <c r="F31" s="3043"/>
      <c r="G31" s="726"/>
      <c r="H31" s="3043"/>
    </row>
    <row r="32" spans="1:8" s="725" customFormat="1" ht="41.25" customHeight="1">
      <c r="A32" s="3037"/>
      <c r="B32" s="3038"/>
      <c r="C32" s="3038"/>
      <c r="D32" s="3039"/>
      <c r="E32" s="726"/>
      <c r="F32" s="3044"/>
      <c r="G32" s="726"/>
      <c r="H32" s="3044"/>
    </row>
    <row r="33" spans="1:8" s="725" customFormat="1" ht="4.5" customHeight="1">
      <c r="A33" s="726"/>
      <c r="B33" s="726"/>
      <c r="C33" s="726"/>
      <c r="D33" s="726"/>
      <c r="E33" s="726"/>
      <c r="F33" s="3044"/>
      <c r="G33" s="726"/>
      <c r="H33" s="3044"/>
    </row>
    <row r="34" spans="1:8" s="725" customFormat="1" ht="14.25" customHeight="1">
      <c r="A34" s="735" t="s">
        <v>3213</v>
      </c>
      <c r="B34" s="734">
        <f>'Part III-A-Uses of Funds'!$G$71</f>
        <v>0</v>
      </c>
      <c r="C34" s="735" t="s">
        <v>1666</v>
      </c>
      <c r="D34" s="734">
        <f>'Part III-A-Uses of Funds'!$J$71+'Part III-A-Uses of Funds'!$M$71+'Part III-A-Uses of Funds'!$P$71</f>
        <v>0</v>
      </c>
      <c r="E34" s="726"/>
      <c r="F34" s="3044"/>
      <c r="G34" s="726"/>
      <c r="H34" s="3044"/>
    </row>
    <row r="35" spans="1:8" s="725" customFormat="1" ht="6" customHeight="1">
      <c r="D35" s="726"/>
      <c r="E35" s="726"/>
      <c r="F35" s="3044"/>
      <c r="G35" s="728"/>
      <c r="H35" s="3044"/>
    </row>
    <row r="36" spans="1:8" s="725" customFormat="1" ht="41.25" customHeight="1">
      <c r="A36" s="3034" t="str">
        <f>'Part III-A-Uses of Funds'!$C$72</f>
        <v>&lt;&lt; Enter description here; provide detail &amp; justification in tab Part III-b &gt;&gt;</v>
      </c>
      <c r="B36" s="3035"/>
      <c r="C36" s="3035"/>
      <c r="D36" s="3036"/>
      <c r="E36" s="726"/>
      <c r="F36" s="3044"/>
      <c r="G36" s="726"/>
      <c r="H36" s="3044"/>
    </row>
    <row r="37" spans="1:8" s="725" customFormat="1" ht="41.25" customHeight="1">
      <c r="A37" s="3037"/>
      <c r="B37" s="3038"/>
      <c r="C37" s="3038"/>
      <c r="D37" s="3039"/>
      <c r="E37" s="726"/>
      <c r="F37" s="3044"/>
      <c r="G37" s="726"/>
      <c r="H37" s="3044"/>
    </row>
    <row r="38" spans="1:8" s="725" customFormat="1" ht="4.5" customHeight="1">
      <c r="A38" s="726"/>
      <c r="B38" s="726"/>
      <c r="C38" s="726"/>
      <c r="D38" s="726"/>
      <c r="E38" s="726"/>
      <c r="F38" s="3044"/>
      <c r="G38" s="726"/>
      <c r="H38" s="3044"/>
    </row>
    <row r="39" spans="1:8" s="725" customFormat="1" ht="14.25" customHeight="1">
      <c r="A39" s="735" t="s">
        <v>3213</v>
      </c>
      <c r="B39" s="734">
        <f>'Part III-A-Uses of Funds'!$G$72</f>
        <v>0</v>
      </c>
      <c r="C39" s="735" t="s">
        <v>1666</v>
      </c>
      <c r="D39" s="734">
        <f>'Part III-A-Uses of Funds'!$J$72+'Part III-A-Uses of Funds'!$M$72+'Part III-A-Uses of Funds'!$P$72</f>
        <v>0</v>
      </c>
      <c r="E39" s="726"/>
      <c r="F39" s="3044"/>
      <c r="G39" s="726"/>
      <c r="H39" s="3044"/>
    </row>
    <row r="40" spans="1:8" s="725" customFormat="1" ht="6" customHeight="1">
      <c r="D40" s="726"/>
      <c r="E40" s="726"/>
      <c r="F40" s="3045"/>
      <c r="G40" s="728"/>
      <c r="H40" s="3045"/>
    </row>
    <row r="41" spans="1:8" s="725" customFormat="1">
      <c r="A41" s="736" t="s">
        <v>449</v>
      </c>
      <c r="B41" s="726"/>
      <c r="C41" s="726"/>
      <c r="D41" s="726"/>
      <c r="E41" s="730"/>
      <c r="F41" s="730"/>
      <c r="G41" s="726"/>
    </row>
    <row r="42" spans="1:8" s="725" customFormat="1" ht="41.25" customHeight="1">
      <c r="A42" s="3034" t="str">
        <f>'Part III-A-Uses of Funds'!$C$85</f>
        <v>&lt;&lt; Enter description here; provide detail &amp; justification in tab Part III-b &gt;&gt;</v>
      </c>
      <c r="B42" s="3035"/>
      <c r="C42" s="3035"/>
      <c r="D42" s="3036"/>
      <c r="F42" s="3040"/>
      <c r="G42" s="726"/>
      <c r="H42" s="3040"/>
    </row>
    <row r="43" spans="1:8" s="725" customFormat="1" ht="41.25" customHeight="1">
      <c r="A43" s="3037"/>
      <c r="B43" s="3038"/>
      <c r="C43" s="3038"/>
      <c r="D43" s="3039"/>
      <c r="E43" s="726"/>
      <c r="F43" s="3041"/>
      <c r="G43" s="726"/>
      <c r="H43" s="3041"/>
    </row>
    <row r="44" spans="1:8" s="725" customFormat="1" ht="4.5" customHeight="1">
      <c r="A44" s="726"/>
      <c r="B44" s="726"/>
      <c r="C44" s="726"/>
      <c r="D44" s="726"/>
      <c r="E44" s="726"/>
      <c r="F44" s="3041"/>
      <c r="G44" s="726"/>
      <c r="H44" s="3041"/>
    </row>
    <row r="45" spans="1:8" s="725" customFormat="1" ht="13.5" customHeight="1">
      <c r="A45" s="735" t="s">
        <v>3213</v>
      </c>
      <c r="B45" s="734">
        <f>'Part III-A-Uses of Funds'!$G$85</f>
        <v>0</v>
      </c>
      <c r="C45" s="735" t="s">
        <v>1666</v>
      </c>
      <c r="D45" s="734">
        <f>'Part III-A-Uses of Funds'!$J$85+'Part III-A-Uses of Funds'!$M$85+'Part III-A-Uses of Funds'!$P$85</f>
        <v>0</v>
      </c>
      <c r="E45" s="726"/>
      <c r="F45" s="3041"/>
      <c r="G45" s="726"/>
      <c r="H45" s="3041"/>
    </row>
    <row r="46" spans="1:8" s="725" customFormat="1" ht="6" customHeight="1">
      <c r="A46" s="726"/>
      <c r="B46" s="727"/>
      <c r="C46" s="726"/>
      <c r="D46" s="726"/>
      <c r="E46" s="726"/>
      <c r="F46" s="3042"/>
      <c r="G46" s="728"/>
      <c r="H46" s="3042"/>
    </row>
    <row r="47" spans="1:8" s="725" customFormat="1">
      <c r="A47" s="736" t="s">
        <v>677</v>
      </c>
      <c r="B47" s="726"/>
      <c r="C47" s="726"/>
      <c r="D47" s="726"/>
      <c r="E47" s="726"/>
      <c r="F47" s="726"/>
      <c r="G47" s="726"/>
    </row>
    <row r="48" spans="1:8" s="725" customFormat="1" ht="41.25" customHeight="1">
      <c r="A48" s="3034" t="str">
        <f>'Part III-A-Uses of Funds'!$C$102</f>
        <v>&lt;&lt; Enter description here; provide detail &amp; justification in tab Part III-b &gt;&gt;</v>
      </c>
      <c r="B48" s="3035"/>
      <c r="C48" s="3035"/>
      <c r="D48" s="3036"/>
      <c r="F48" s="3040"/>
      <c r="G48" s="726"/>
    </row>
    <row r="49" spans="1:7" s="725" customFormat="1" ht="41.25" customHeight="1">
      <c r="A49" s="3037"/>
      <c r="B49" s="3038"/>
      <c r="C49" s="3038"/>
      <c r="D49" s="3039"/>
      <c r="E49" s="726"/>
      <c r="F49" s="3041"/>
      <c r="G49" s="726"/>
    </row>
    <row r="50" spans="1:7" s="725" customFormat="1" ht="3" customHeight="1">
      <c r="A50" s="726"/>
      <c r="B50" s="726"/>
      <c r="C50" s="726"/>
      <c r="D50" s="726"/>
      <c r="E50" s="726"/>
      <c r="F50" s="3041"/>
      <c r="G50" s="726"/>
    </row>
    <row r="51" spans="1:7" s="725" customFormat="1" ht="13.5" customHeight="1">
      <c r="A51" s="735" t="s">
        <v>3213</v>
      </c>
      <c r="B51" s="734">
        <f>'Part III-A-Uses of Funds'!$G$102</f>
        <v>0</v>
      </c>
      <c r="C51" s="729"/>
      <c r="D51" s="729"/>
      <c r="E51" s="726"/>
      <c r="F51" s="3041"/>
      <c r="G51" s="726"/>
    </row>
    <row r="52" spans="1:7" s="725" customFormat="1" ht="3.75" customHeight="1">
      <c r="A52" s="726"/>
      <c r="B52" s="726"/>
      <c r="C52" s="726"/>
      <c r="D52" s="726"/>
      <c r="E52" s="726"/>
      <c r="F52" s="3042"/>
      <c r="G52" s="728"/>
    </row>
    <row r="53" spans="1:7" s="725" customFormat="1">
      <c r="A53" s="736" t="s">
        <v>3214</v>
      </c>
      <c r="B53" s="726"/>
      <c r="C53" s="726"/>
      <c r="D53" s="726"/>
      <c r="E53" s="726"/>
      <c r="F53" s="726"/>
      <c r="G53" s="726"/>
    </row>
    <row r="54" spans="1:7" s="725" customFormat="1" ht="41.25" customHeight="1">
      <c r="A54" s="3034" t="str">
        <f>'Part III-A-Uses of Funds'!$C$112</f>
        <v>&lt;&lt; Enter description here; provide detail &amp; justification in tab Part III-b &gt;&gt;</v>
      </c>
      <c r="B54" s="3035"/>
      <c r="C54" s="3035"/>
      <c r="D54" s="3036"/>
      <c r="F54" s="3043"/>
      <c r="G54" s="726"/>
    </row>
    <row r="55" spans="1:7" s="725" customFormat="1" ht="41.25" customHeight="1">
      <c r="A55" s="3037"/>
      <c r="B55" s="3038"/>
      <c r="C55" s="3038"/>
      <c r="D55" s="3039"/>
      <c r="E55" s="726"/>
      <c r="F55" s="3044"/>
      <c r="G55" s="726"/>
    </row>
    <row r="56" spans="1:7" s="725" customFormat="1" ht="3" customHeight="1">
      <c r="A56" s="726"/>
      <c r="B56" s="726"/>
      <c r="C56" s="726"/>
      <c r="D56" s="726"/>
      <c r="E56" s="726"/>
      <c r="F56" s="3044"/>
      <c r="G56" s="726"/>
    </row>
    <row r="57" spans="1:7" s="725" customFormat="1" ht="25.5">
      <c r="A57" s="735" t="s">
        <v>3213</v>
      </c>
      <c r="B57" s="734">
        <f>'Part III-A-Uses of Funds'!$G$112</f>
        <v>0</v>
      </c>
      <c r="C57" s="729"/>
      <c r="D57" s="729"/>
      <c r="E57" s="726"/>
      <c r="F57" s="3044"/>
      <c r="G57" s="726"/>
    </row>
    <row r="58" spans="1:7" s="725" customFormat="1" ht="3.75" customHeight="1">
      <c r="A58" s="724"/>
      <c r="B58" s="724"/>
      <c r="C58" s="724"/>
      <c r="D58" s="724"/>
      <c r="E58" s="724"/>
      <c r="F58" s="3044"/>
      <c r="G58" s="728"/>
    </row>
    <row r="59" spans="1:7" s="725" customFormat="1" ht="41.25" customHeight="1">
      <c r="A59" s="3034" t="str">
        <f>'Part III-A-Uses of Funds'!$C$113</f>
        <v>&lt;&lt; Enter description here; provide detail &amp; justification in tab Part III-b &gt;&gt;</v>
      </c>
      <c r="B59" s="3035"/>
      <c r="C59" s="3035"/>
      <c r="D59" s="3036"/>
      <c r="F59" s="3044"/>
      <c r="G59" s="726"/>
    </row>
    <row r="60" spans="1:7" s="725" customFormat="1" ht="41.25" customHeight="1">
      <c r="A60" s="3037"/>
      <c r="B60" s="3038"/>
      <c r="C60" s="3038"/>
      <c r="D60" s="3039"/>
      <c r="E60" s="726"/>
      <c r="F60" s="3044"/>
      <c r="G60" s="726"/>
    </row>
    <row r="61" spans="1:7" s="725" customFormat="1" ht="3" customHeight="1">
      <c r="A61" s="726"/>
      <c r="B61" s="726"/>
      <c r="C61" s="726"/>
      <c r="D61" s="726"/>
      <c r="E61" s="726"/>
      <c r="F61" s="3044"/>
      <c r="G61" s="726"/>
    </row>
    <row r="62" spans="1:7" s="725" customFormat="1" ht="25.5">
      <c r="A62" s="735" t="s">
        <v>3213</v>
      </c>
      <c r="B62" s="734">
        <f>'Part III-A-Uses of Funds'!$G$113</f>
        <v>0</v>
      </c>
      <c r="C62" s="729"/>
      <c r="D62" s="729"/>
      <c r="E62" s="726"/>
      <c r="F62" s="3044"/>
      <c r="G62" s="726"/>
    </row>
    <row r="63" spans="1:7" s="725" customFormat="1" ht="3.75" customHeight="1">
      <c r="A63" s="724"/>
      <c r="B63" s="724"/>
      <c r="C63" s="724"/>
      <c r="D63" s="724"/>
      <c r="E63" s="724"/>
      <c r="F63" s="3045"/>
      <c r="G63" s="728"/>
    </row>
    <row r="64" spans="1:7" s="725" customFormat="1">
      <c r="A64" s="736" t="s">
        <v>3215</v>
      </c>
      <c r="B64" s="726"/>
      <c r="C64" s="726"/>
      <c r="D64" s="726"/>
      <c r="E64" s="726"/>
      <c r="F64" s="726"/>
      <c r="G64" s="726"/>
    </row>
    <row r="65" spans="1:8" s="725" customFormat="1" ht="41.25" customHeight="1">
      <c r="A65" s="3034" t="str">
        <f>'Part III-A-Uses of Funds'!$C$119</f>
        <v>&lt;&lt; Enter description here; provide detail &amp; justification in tab Part III-b &gt;&gt;</v>
      </c>
      <c r="B65" s="3035"/>
      <c r="C65" s="3035"/>
      <c r="D65" s="3036"/>
      <c r="F65" s="3040"/>
      <c r="G65" s="726"/>
    </row>
    <row r="66" spans="1:8" s="725" customFormat="1" ht="41.25" customHeight="1">
      <c r="A66" s="3037"/>
      <c r="B66" s="3038"/>
      <c r="C66" s="3038"/>
      <c r="D66" s="3039"/>
      <c r="E66" s="726"/>
      <c r="F66" s="3041"/>
      <c r="G66" s="726"/>
    </row>
    <row r="67" spans="1:8" s="725" customFormat="1" ht="3" customHeight="1">
      <c r="A67" s="726"/>
      <c r="B67" s="726"/>
      <c r="C67" s="726"/>
      <c r="D67" s="726"/>
      <c r="E67" s="726"/>
      <c r="F67" s="3041"/>
      <c r="G67" s="726"/>
    </row>
    <row r="68" spans="1:8" s="725" customFormat="1" ht="25.5">
      <c r="A68" s="735" t="s">
        <v>3213</v>
      </c>
      <c r="B68" s="734">
        <f>'Part III-A-Uses of Funds'!$G$119</f>
        <v>0</v>
      </c>
      <c r="C68" s="729"/>
      <c r="D68" s="729"/>
      <c r="E68" s="726"/>
      <c r="F68" s="3041"/>
      <c r="G68" s="726"/>
    </row>
    <row r="69" spans="1:8" s="725" customFormat="1" ht="3.75" customHeight="1">
      <c r="A69" s="726"/>
      <c r="B69" s="727"/>
      <c r="C69" s="726"/>
      <c r="D69" s="726"/>
      <c r="E69" s="726"/>
      <c r="F69" s="3042"/>
      <c r="G69" s="728"/>
    </row>
    <row r="70" spans="1:8" s="725" customFormat="1">
      <c r="A70" s="736" t="s">
        <v>1232</v>
      </c>
      <c r="B70" s="726"/>
      <c r="C70" s="726"/>
      <c r="D70" s="726"/>
      <c r="E70" s="726"/>
      <c r="F70" s="726"/>
      <c r="G70" s="726"/>
    </row>
    <row r="71" spans="1:8" s="725" customFormat="1" ht="41.25" customHeight="1">
      <c r="A71" s="3034" t="str">
        <f>'Part III-A-Uses of Funds'!$C$134</f>
        <v>&lt;&lt; Enter description here; provide detail &amp; justification in tab Part III-b &gt;&gt;</v>
      </c>
      <c r="B71" s="3035"/>
      <c r="C71" s="3035"/>
      <c r="D71" s="3036"/>
      <c r="F71" s="3040"/>
      <c r="G71" s="726"/>
      <c r="H71" s="3040"/>
    </row>
    <row r="72" spans="1:8" s="725" customFormat="1" ht="41.25" customHeight="1">
      <c r="A72" s="3037"/>
      <c r="B72" s="3038"/>
      <c r="C72" s="3038"/>
      <c r="D72" s="3039"/>
      <c r="E72" s="726"/>
      <c r="F72" s="3041"/>
      <c r="G72" s="726"/>
      <c r="H72" s="3041"/>
    </row>
    <row r="73" spans="1:8" s="725" customFormat="1" ht="4.5" customHeight="1">
      <c r="A73" s="726"/>
      <c r="B73" s="726"/>
      <c r="C73" s="726"/>
      <c r="D73" s="726"/>
      <c r="E73" s="726"/>
      <c r="F73" s="3041"/>
      <c r="G73" s="726"/>
      <c r="H73" s="3041"/>
    </row>
    <row r="74" spans="1:8" s="725" customFormat="1" ht="12.75" customHeight="1">
      <c r="A74" s="735" t="s">
        <v>3213</v>
      </c>
      <c r="B74" s="734">
        <f>'Part III-A-Uses of Funds'!$G$134</f>
        <v>0</v>
      </c>
      <c r="C74" s="735" t="s">
        <v>1666</v>
      </c>
      <c r="D74" s="734">
        <f>'Part III-A-Uses of Funds'!$J$134+'Part III-A-Uses of Funds'!$M$134+'Part III-A-Uses of Funds'!$P$134</f>
        <v>0</v>
      </c>
      <c r="E74" s="726"/>
      <c r="F74" s="3041"/>
      <c r="G74" s="726"/>
      <c r="H74" s="3041"/>
    </row>
    <row r="75" spans="1:8" s="725" customFormat="1" ht="6" customHeight="1">
      <c r="A75" s="726"/>
      <c r="B75" s="727"/>
      <c r="C75" s="726"/>
      <c r="D75" s="726"/>
      <c r="E75" s="726"/>
      <c r="F75" s="3042"/>
      <c r="G75" s="728"/>
      <c r="H75" s="3042"/>
    </row>
    <row r="76" spans="1:8" s="725" customFormat="1">
      <c r="A76" s="736" t="s">
        <v>3216</v>
      </c>
      <c r="B76" s="727"/>
      <c r="C76" s="726"/>
      <c r="D76" s="726"/>
      <c r="E76" s="726"/>
      <c r="F76" s="726"/>
      <c r="G76" s="728"/>
    </row>
    <row r="77" spans="1:8" s="725" customFormat="1" ht="41.25" customHeight="1">
      <c r="A77" s="3034" t="str">
        <f>'Part III-A-Uses of Funds'!$C$143</f>
        <v>&lt;&lt; Enter description here; provide detail &amp; justification in tab Part III-b &gt;&gt;</v>
      </c>
      <c r="B77" s="3035"/>
      <c r="C77" s="3035"/>
      <c r="D77" s="3036"/>
      <c r="F77" s="3040"/>
      <c r="G77" s="726"/>
      <c r="H77" s="3040"/>
    </row>
    <row r="78" spans="1:8" s="725" customFormat="1" ht="41.25" customHeight="1">
      <c r="A78" s="3037"/>
      <c r="B78" s="3038"/>
      <c r="C78" s="3038"/>
      <c r="D78" s="3039"/>
      <c r="E78" s="726"/>
      <c r="F78" s="3041"/>
      <c r="G78" s="726"/>
      <c r="H78" s="3041"/>
    </row>
    <row r="79" spans="1:8" s="725" customFormat="1" ht="4.5" customHeight="1">
      <c r="A79" s="726"/>
      <c r="B79" s="726"/>
      <c r="C79" s="726"/>
      <c r="D79" s="726"/>
      <c r="E79" s="726"/>
      <c r="F79" s="3041"/>
      <c r="G79" s="726"/>
      <c r="H79" s="3041"/>
    </row>
    <row r="80" spans="1:8" s="725" customFormat="1" ht="12.75" customHeight="1">
      <c r="A80" s="735" t="s">
        <v>3213</v>
      </c>
      <c r="B80" s="734">
        <f>'Part III-A-Uses of Funds'!$G$143</f>
        <v>0</v>
      </c>
      <c r="C80" s="735" t="s">
        <v>1666</v>
      </c>
      <c r="D80" s="734">
        <f>'Part III-A-Uses of Funds'!$J$143+'Part III-A-Uses of Funds'!$M$143+'Part III-A-Uses of Funds'!$P$143</f>
        <v>0</v>
      </c>
      <c r="E80" s="731"/>
      <c r="F80" s="3041"/>
      <c r="G80" s="726"/>
      <c r="H80" s="3041"/>
    </row>
    <row r="81" spans="4:8" s="725" customFormat="1" ht="6" customHeight="1">
      <c r="D81" s="732"/>
      <c r="E81" s="733"/>
      <c r="F81" s="3042"/>
      <c r="G81" s="728"/>
      <c r="H81" s="3042"/>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8" zoomScaleNormal="100" workbookViewId="0">
      <selection activeCell="U31" sqref="U31"/>
    </sheetView>
  </sheetViews>
  <sheetFormatPr defaultColWidth="8.85546875" defaultRowHeight="12.75"/>
  <cols>
    <col min="1" max="1" width="2.140625" customWidth="1"/>
    <col min="4" max="4" width="12.85546875" customWidth="1"/>
    <col min="5" max="5" width="9.42578125" customWidth="1"/>
    <col min="6" max="7" width="9.85546875" customWidth="1"/>
    <col min="8" max="8" width="8.140625" customWidth="1"/>
    <col min="9" max="13" width="10.85546875" customWidth="1"/>
    <col min="14" max="14" width="3" customWidth="1"/>
    <col min="18" max="18" width="8.85546875" customWidth="1"/>
  </cols>
  <sheetData>
    <row r="1" spans="1:25" s="6" customFormat="1" ht="14.1" customHeight="1">
      <c r="A1" s="3077" t="str">
        <f>CONCATENATE("PART FOUR - UTILITY ALLOWANCES","  -  ",'Part I-Project Identification'!$O$7," ",'Part I-Project Identification'!$F$29,", ",'Part I-Project Identification'!F30,", ",'Part I-Project Identification'!J30," County")</f>
        <v>PART FOUR - UTILITY ALLOWANCES  -  2022-522 Harrison Village Apartments, Gainesville, Hall County</v>
      </c>
      <c r="B1" s="3078"/>
      <c r="C1" s="3078"/>
      <c r="D1" s="3078"/>
      <c r="E1" s="3078"/>
      <c r="F1" s="3078"/>
      <c r="G1" s="3078"/>
      <c r="H1" s="3078"/>
      <c r="I1" s="3078"/>
      <c r="J1" s="3078"/>
      <c r="K1" s="3078"/>
      <c r="L1" s="3078"/>
      <c r="M1" s="3078"/>
      <c r="N1" s="4"/>
      <c r="O1" s="4"/>
      <c r="P1" s="4"/>
      <c r="Q1" s="4"/>
    </row>
    <row r="2" spans="1:25" s="6" customFormat="1" ht="7.5" customHeight="1"/>
    <row r="3" spans="1:25" s="6" customFormat="1" ht="12.75" customHeight="1">
      <c r="B3" s="3080" t="str">
        <f>'Part I-Project Identification'!$A$6</f>
        <v>Sept 20, 2022 Core Application - 4% Only</v>
      </c>
      <c r="C3" s="3080"/>
      <c r="D3" s="3080"/>
      <c r="E3" s="3080"/>
      <c r="F3" s="4" t="s">
        <v>6741</v>
      </c>
      <c r="I3" s="2" t="str">
        <f>VLOOKUP('Part I-Project Identification'!$J$30,'DCA Underwriting Assumptions'!$G$136:$H$295,2)</f>
        <v>North</v>
      </c>
    </row>
    <row r="4" spans="1:25" s="6" customFormat="1" ht="6" customHeight="1"/>
    <row r="5" spans="1:25">
      <c r="A5" s="206" t="s">
        <v>6505</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2060</v>
      </c>
      <c r="F7" s="1" t="s">
        <v>2318</v>
      </c>
      <c r="G7" s="1"/>
      <c r="H7" s="1"/>
      <c r="I7" s="3079" t="s">
        <v>6931</v>
      </c>
      <c r="J7" s="3071"/>
      <c r="K7" s="3071"/>
      <c r="L7" s="3071"/>
      <c r="M7" s="3072"/>
      <c r="O7" s="839"/>
      <c r="P7" s="839"/>
      <c r="Q7" s="839"/>
      <c r="R7" s="839"/>
      <c r="S7" s="839"/>
      <c r="T7" s="839"/>
      <c r="U7" s="839"/>
      <c r="V7" s="393"/>
      <c r="W7" s="393"/>
      <c r="X7" s="393"/>
      <c r="Y7" s="393"/>
    </row>
    <row r="8" spans="1:25" s="6" customFormat="1" ht="13.35" customHeight="1">
      <c r="A8" s="10"/>
      <c r="F8" s="1" t="s">
        <v>593</v>
      </c>
      <c r="G8" s="1"/>
      <c r="H8" s="26"/>
      <c r="I8" s="3073">
        <v>44743</v>
      </c>
      <c r="J8" s="3074"/>
      <c r="K8" s="5" t="s">
        <v>505</v>
      </c>
      <c r="L8" s="3075" t="s">
        <v>6300</v>
      </c>
      <c r="M8" s="307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062" t="s">
        <v>567</v>
      </c>
      <c r="G10" s="3062"/>
      <c r="I10" s="3062" t="s">
        <v>193</v>
      </c>
      <c r="J10" s="3062"/>
      <c r="K10" s="3062"/>
      <c r="L10" s="3062"/>
      <c r="M10" s="3062"/>
      <c r="O10" s="839"/>
      <c r="P10" s="839"/>
      <c r="Q10" s="839"/>
      <c r="R10" s="839"/>
      <c r="S10" s="839"/>
      <c r="T10" s="839"/>
      <c r="U10" s="839"/>
    </row>
    <row r="11" spans="1:25" s="10" customFormat="1" ht="13.5" customHeight="1">
      <c r="B11" s="10" t="s">
        <v>742</v>
      </c>
      <c r="D11" s="10" t="s">
        <v>1495</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3" t="s">
        <v>1716</v>
      </c>
      <c r="C12" s="1274"/>
      <c r="D12" s="3063" t="s">
        <v>6924</v>
      </c>
      <c r="E12" s="3064"/>
      <c r="F12" s="207" t="s">
        <v>416</v>
      </c>
      <c r="G12" s="207"/>
      <c r="H12" s="804"/>
      <c r="I12" s="1268"/>
      <c r="J12" s="1268">
        <v>9</v>
      </c>
      <c r="K12" s="1268">
        <v>11</v>
      </c>
      <c r="L12" s="1268">
        <v>16</v>
      </c>
      <c r="M12" s="1268">
        <v>20</v>
      </c>
      <c r="O12" s="839"/>
      <c r="P12" s="839"/>
      <c r="Q12" s="839"/>
      <c r="R12" s="839"/>
      <c r="S12" s="839"/>
      <c r="T12" s="839"/>
      <c r="U12" s="839"/>
    </row>
    <row r="13" spans="1:25" s="6" customFormat="1" ht="12" customHeight="1">
      <c r="B13" s="1275" t="s">
        <v>1493</v>
      </c>
      <c r="C13" s="1276"/>
      <c r="D13" s="3065" t="s">
        <v>1492</v>
      </c>
      <c r="E13" s="3066"/>
      <c r="F13" s="208" t="s">
        <v>416</v>
      </c>
      <c r="G13" s="208"/>
      <c r="H13" s="803"/>
      <c r="I13" s="1269"/>
      <c r="J13" s="1269">
        <v>8</v>
      </c>
      <c r="K13" s="1269">
        <v>10</v>
      </c>
      <c r="L13" s="1270">
        <v>12</v>
      </c>
      <c r="M13" s="1270">
        <v>15</v>
      </c>
      <c r="O13" s="3055" t="s">
        <v>3279</v>
      </c>
      <c r="P13" s="3055"/>
      <c r="Q13" s="3055"/>
    </row>
    <row r="14" spans="1:25" s="6" customFormat="1" ht="12" customHeight="1">
      <c r="B14" s="1277" t="s">
        <v>1494</v>
      </c>
      <c r="C14" s="1278"/>
      <c r="D14" s="3065" t="s">
        <v>1492</v>
      </c>
      <c r="E14" s="3066"/>
      <c r="F14" s="208" t="s">
        <v>416</v>
      </c>
      <c r="G14" s="208"/>
      <c r="H14" s="203"/>
      <c r="I14" s="1269"/>
      <c r="J14" s="1269">
        <v>14</v>
      </c>
      <c r="K14" s="1269">
        <v>19</v>
      </c>
      <c r="L14" s="1270">
        <v>24</v>
      </c>
      <c r="M14" s="1270">
        <v>29</v>
      </c>
      <c r="O14" s="3055"/>
      <c r="P14" s="3055"/>
      <c r="Q14" s="3055"/>
    </row>
    <row r="15" spans="1:25" s="6" customFormat="1" ht="12" customHeight="1">
      <c r="B15" s="1279" t="s">
        <v>440</v>
      </c>
      <c r="C15" s="1280"/>
      <c r="D15" s="1279" t="s">
        <v>1492</v>
      </c>
      <c r="E15" s="204"/>
      <c r="F15" s="208" t="s">
        <v>416</v>
      </c>
      <c r="G15" s="208"/>
      <c r="H15" s="802"/>
      <c r="I15" s="1269"/>
      <c r="J15" s="1269">
        <v>7</v>
      </c>
      <c r="K15" s="1269">
        <v>9</v>
      </c>
      <c r="L15" s="1270">
        <v>12</v>
      </c>
      <c r="M15" s="1270">
        <v>14</v>
      </c>
      <c r="O15" s="3055"/>
      <c r="P15" s="3055"/>
      <c r="Q15" s="3055"/>
    </row>
    <row r="16" spans="1:25" s="6" customFormat="1" ht="12" customHeight="1">
      <c r="B16" s="1281" t="s">
        <v>3273</v>
      </c>
      <c r="C16" s="1276"/>
      <c r="D16" s="1275" t="s">
        <v>1492</v>
      </c>
      <c r="E16" s="801"/>
      <c r="F16" s="208"/>
      <c r="G16" s="208"/>
      <c r="H16" s="803"/>
      <c r="I16" s="1269"/>
      <c r="J16" s="1269"/>
      <c r="K16" s="1269"/>
      <c r="L16" s="1270"/>
      <c r="M16" s="1270"/>
      <c r="O16" s="3055"/>
      <c r="P16" s="3055"/>
      <c r="Q16" s="3055"/>
    </row>
    <row r="17" spans="1:25" s="6" customFormat="1" ht="12" customHeight="1">
      <c r="B17" s="1281" t="s">
        <v>3274</v>
      </c>
      <c r="C17" s="1276"/>
      <c r="D17" s="1275" t="s">
        <v>1492</v>
      </c>
      <c r="E17" s="801"/>
      <c r="F17" s="208"/>
      <c r="G17" s="208"/>
      <c r="H17" s="803"/>
      <c r="I17" s="1269"/>
      <c r="J17" s="1269"/>
      <c r="K17" s="1269"/>
      <c r="L17" s="1270"/>
      <c r="M17" s="1270"/>
      <c r="O17" s="3055"/>
      <c r="P17" s="3055"/>
      <c r="Q17" s="3055"/>
    </row>
    <row r="18" spans="1:25" s="6" customFormat="1" ht="12" customHeight="1">
      <c r="B18" s="1282" t="s">
        <v>3275</v>
      </c>
      <c r="C18" s="1278"/>
      <c r="D18" s="1277" t="s">
        <v>1492</v>
      </c>
      <c r="E18" s="801"/>
      <c r="F18" s="208" t="s">
        <v>416</v>
      </c>
      <c r="G18" s="208"/>
      <c r="H18" s="203"/>
      <c r="I18" s="1269"/>
      <c r="J18" s="1269">
        <v>22</v>
      </c>
      <c r="K18" s="1269">
        <v>28</v>
      </c>
      <c r="L18" s="1270">
        <v>34</v>
      </c>
      <c r="M18" s="1270">
        <v>44</v>
      </c>
      <c r="O18" s="3055"/>
      <c r="P18" s="3055"/>
      <c r="Q18" s="3055"/>
    </row>
    <row r="19" spans="1:25" s="6" customFormat="1" ht="12" customHeight="1">
      <c r="B19" s="1279" t="s">
        <v>1293</v>
      </c>
      <c r="C19" s="1280"/>
      <c r="D19" s="1285" t="s">
        <v>3080</v>
      </c>
      <c r="E19" s="1267" t="s">
        <v>2652</v>
      </c>
      <c r="F19" s="208"/>
      <c r="G19" s="208" t="s">
        <v>416</v>
      </c>
      <c r="H19" s="802"/>
      <c r="I19" s="1269"/>
      <c r="J19" s="1269"/>
      <c r="K19" s="1269"/>
      <c r="L19" s="1270"/>
      <c r="M19" s="1270"/>
      <c r="O19" s="3055"/>
      <c r="P19" s="3055"/>
      <c r="Q19" s="3055"/>
    </row>
    <row r="20" spans="1:25" s="6" customFormat="1" ht="12" customHeight="1">
      <c r="B20" s="1283" t="s">
        <v>1715</v>
      </c>
      <c r="C20" s="1284"/>
      <c r="D20" s="205"/>
      <c r="E20" s="187"/>
      <c r="F20" s="208"/>
      <c r="G20" s="208" t="s">
        <v>416</v>
      </c>
      <c r="H20" s="803"/>
      <c r="I20" s="1269"/>
      <c r="J20" s="1269"/>
      <c r="K20" s="1269"/>
      <c r="L20" s="1270"/>
      <c r="M20" s="1270"/>
      <c r="O20" s="3055"/>
      <c r="P20" s="3055"/>
      <c r="Q20" s="3055"/>
    </row>
    <row r="21" spans="1:25" s="6" customFormat="1" ht="12" customHeight="1">
      <c r="B21" s="1283" t="s">
        <v>690</v>
      </c>
      <c r="C21" s="3067"/>
      <c r="D21" s="3068"/>
      <c r="E21" s="3069"/>
      <c r="F21" s="209"/>
      <c r="G21" s="209"/>
      <c r="H21" s="805"/>
      <c r="I21" s="1271"/>
      <c r="J21" s="1271"/>
      <c r="K21" s="1271"/>
      <c r="L21" s="1272"/>
      <c r="M21" s="1272"/>
      <c r="O21" s="3055"/>
      <c r="P21" s="3055"/>
      <c r="Q21" s="3055"/>
    </row>
    <row r="22" spans="1:25" s="6" customFormat="1">
      <c r="B22" s="10" t="s">
        <v>957</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60</v>
      </c>
      <c r="K22" s="119">
        <f>IF(SUM(K12:K21)=0,0,IF(OR($D12="&lt;&lt;Select Fuel &gt;&gt;",$D13="&lt;&lt;Select Fuel &gt;&gt;",$D14="&lt;&lt;Select Fuel &gt;&gt;"),"Select Fuel",IF($E19="&lt;Select&gt;","Submeter?",SUM(K12:K21))))</f>
        <v>77</v>
      </c>
      <c r="L22" s="119">
        <f>IF(SUM(L12:L21)=0,0,IF(OR($D12="&lt;&lt;Select Fuel &gt;&gt;",$D13="&lt;&lt;Select Fuel &gt;&gt;",$D14="&lt;&lt;Select Fuel &gt;&gt;"),"Select Fuel",IF($E19="&lt;Select&gt;","Submeter?",SUM(L12:L21))))</f>
        <v>98</v>
      </c>
      <c r="M22" s="119">
        <f>IF(SUM(M12:M21)=0,0,IF(OR($D12="&lt;&lt;Select Fuel &gt;&gt;",$D13="&lt;&lt;Select Fuel &gt;&gt;",$D14="&lt;&lt;Select Fuel &gt;&gt;"),"Select Fuel",IF($E19="&lt;Select&gt;","Submeter?",SUM(M12:M21))))</f>
        <v>122</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2061</v>
      </c>
      <c r="F24" s="1" t="s">
        <v>2318</v>
      </c>
      <c r="G24" s="1"/>
      <c r="H24" s="1"/>
      <c r="I24" s="3070"/>
      <c r="J24" s="3071"/>
      <c r="K24" s="3071"/>
      <c r="L24" s="3071"/>
      <c r="M24" s="3072"/>
      <c r="O24" s="839"/>
      <c r="P24" s="839"/>
      <c r="Q24" s="839"/>
      <c r="R24" s="839"/>
      <c r="S24" s="839"/>
      <c r="T24" s="839"/>
      <c r="U24" s="839"/>
      <c r="V24" s="393"/>
      <c r="W24" s="393"/>
      <c r="X24" s="393"/>
      <c r="Y24" s="393"/>
    </row>
    <row r="25" spans="1:25" s="6" customFormat="1" ht="13.35" customHeight="1">
      <c r="A25" s="10"/>
      <c r="B25" s="10"/>
      <c r="F25" s="1" t="s">
        <v>593</v>
      </c>
      <c r="G25" s="1"/>
      <c r="H25" s="26"/>
      <c r="I25" s="3073"/>
      <c r="J25" s="3074"/>
      <c r="K25" s="5" t="s">
        <v>505</v>
      </c>
      <c r="L25" s="3075"/>
      <c r="M25" s="307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062" t="s">
        <v>567</v>
      </c>
      <c r="G27" s="3062"/>
      <c r="I27" s="3062" t="s">
        <v>193</v>
      </c>
      <c r="J27" s="3062"/>
      <c r="K27" s="3062"/>
      <c r="L27" s="3062"/>
      <c r="M27" s="3062"/>
      <c r="O27" s="839"/>
      <c r="P27" s="839"/>
      <c r="Q27" s="839"/>
      <c r="R27" s="839"/>
      <c r="S27" s="839"/>
      <c r="T27" s="839"/>
      <c r="U27" s="839"/>
      <c r="V27" s="393"/>
      <c r="W27" s="393"/>
      <c r="X27" s="393"/>
      <c r="Y27" s="393"/>
    </row>
    <row r="28" spans="1:25" s="10" customFormat="1">
      <c r="B28" s="10" t="s">
        <v>742</v>
      </c>
      <c r="D28" s="10" t="s">
        <v>1495</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3" t="s">
        <v>1716</v>
      </c>
      <c r="C29" s="1274"/>
      <c r="D29" s="3063" t="s">
        <v>1690</v>
      </c>
      <c r="E29" s="3064"/>
      <c r="F29" s="207"/>
      <c r="G29" s="207"/>
      <c r="H29" s="804"/>
      <c r="I29" s="1268"/>
      <c r="J29" s="1268"/>
      <c r="K29" s="1268"/>
      <c r="L29" s="1268"/>
      <c r="M29" s="1268"/>
      <c r="O29" s="839"/>
      <c r="P29" s="839"/>
      <c r="Q29" s="839"/>
      <c r="R29" s="839"/>
      <c r="S29" s="839"/>
      <c r="T29" s="839"/>
      <c r="U29" s="839"/>
      <c r="V29" s="10"/>
      <c r="W29" s="10"/>
      <c r="X29" s="10"/>
      <c r="Y29" s="10"/>
    </row>
    <row r="30" spans="1:25" s="6" customFormat="1" ht="12" customHeight="1">
      <c r="B30" s="1275" t="s">
        <v>1493</v>
      </c>
      <c r="C30" s="1276"/>
      <c r="D30" s="3065" t="s">
        <v>1690</v>
      </c>
      <c r="E30" s="3066"/>
      <c r="F30" s="208"/>
      <c r="G30" s="208"/>
      <c r="H30" s="803"/>
      <c r="I30" s="1269"/>
      <c r="J30" s="1269"/>
      <c r="K30" s="1269"/>
      <c r="L30" s="1270"/>
      <c r="M30" s="1270"/>
      <c r="O30" s="839"/>
      <c r="P30" s="839"/>
      <c r="Q30" s="839"/>
      <c r="R30" s="839"/>
      <c r="S30" s="839"/>
      <c r="T30" s="839"/>
      <c r="U30" s="839"/>
    </row>
    <row r="31" spans="1:25" s="6" customFormat="1" ht="12" customHeight="1">
      <c r="B31" s="1277" t="s">
        <v>1494</v>
      </c>
      <c r="C31" s="1278"/>
      <c r="D31" s="3065" t="s">
        <v>1690</v>
      </c>
      <c r="E31" s="3066"/>
      <c r="F31" s="208"/>
      <c r="G31" s="208"/>
      <c r="H31" s="203"/>
      <c r="I31" s="1269"/>
      <c r="J31" s="1269"/>
      <c r="K31" s="1269"/>
      <c r="L31" s="1270"/>
      <c r="M31" s="1270"/>
      <c r="O31" s="3055" t="s">
        <v>3279</v>
      </c>
      <c r="P31" s="3055"/>
      <c r="Q31" s="3055"/>
    </row>
    <row r="32" spans="1:25" s="6" customFormat="1" ht="12" customHeight="1">
      <c r="B32" s="1279" t="s">
        <v>440</v>
      </c>
      <c r="C32" s="1280"/>
      <c r="D32" s="1279" t="s">
        <v>1492</v>
      </c>
      <c r="E32" s="204"/>
      <c r="F32" s="208"/>
      <c r="G32" s="208"/>
      <c r="H32" s="802"/>
      <c r="I32" s="1269"/>
      <c r="J32" s="1269"/>
      <c r="K32" s="1269"/>
      <c r="L32" s="1270"/>
      <c r="M32" s="1270"/>
      <c r="O32" s="3055"/>
      <c r="P32" s="3055"/>
      <c r="Q32" s="3055"/>
    </row>
    <row r="33" spans="1:19" s="6" customFormat="1" ht="12" customHeight="1">
      <c r="B33" s="1281" t="s">
        <v>3273</v>
      </c>
      <c r="C33" s="1276"/>
      <c r="D33" s="1275" t="s">
        <v>1492</v>
      </c>
      <c r="E33" s="801"/>
      <c r="F33" s="208"/>
      <c r="G33" s="208"/>
      <c r="H33" s="803"/>
      <c r="I33" s="1269"/>
      <c r="J33" s="1269"/>
      <c r="K33" s="1269"/>
      <c r="L33" s="1270"/>
      <c r="M33" s="1270"/>
      <c r="O33" s="3055"/>
      <c r="P33" s="3055"/>
      <c r="Q33" s="3055"/>
    </row>
    <row r="34" spans="1:19" s="6" customFormat="1" ht="12" customHeight="1">
      <c r="B34" s="1281" t="s">
        <v>3274</v>
      </c>
      <c r="C34" s="1276"/>
      <c r="D34" s="1275" t="s">
        <v>1492</v>
      </c>
      <c r="E34" s="801"/>
      <c r="F34" s="208"/>
      <c r="G34" s="208"/>
      <c r="H34" s="803"/>
      <c r="I34" s="1269"/>
      <c r="J34" s="1269"/>
      <c r="K34" s="1269"/>
      <c r="L34" s="1270"/>
      <c r="M34" s="1270"/>
      <c r="O34" s="3055"/>
      <c r="P34" s="3055"/>
      <c r="Q34" s="3055"/>
    </row>
    <row r="35" spans="1:19" s="6" customFormat="1" ht="12" customHeight="1">
      <c r="B35" s="1282" t="s">
        <v>3275</v>
      </c>
      <c r="C35" s="1278"/>
      <c r="D35" s="1277" t="s">
        <v>1492</v>
      </c>
      <c r="E35" s="801"/>
      <c r="F35" s="208"/>
      <c r="G35" s="208"/>
      <c r="H35" s="203"/>
      <c r="I35" s="1269"/>
      <c r="J35" s="1269"/>
      <c r="K35" s="1269"/>
      <c r="L35" s="1270"/>
      <c r="M35" s="1270"/>
      <c r="O35" s="3055"/>
      <c r="P35" s="3055"/>
      <c r="Q35" s="3055"/>
    </row>
    <row r="36" spans="1:19" s="6" customFormat="1" ht="12" customHeight="1">
      <c r="B36" s="1279" t="s">
        <v>1293</v>
      </c>
      <c r="C36" s="1280"/>
      <c r="D36" s="1285" t="s">
        <v>3080</v>
      </c>
      <c r="E36" s="1267" t="s">
        <v>194</v>
      </c>
      <c r="F36" s="208"/>
      <c r="G36" s="208"/>
      <c r="H36" s="802"/>
      <c r="I36" s="1269"/>
      <c r="J36" s="1269"/>
      <c r="K36" s="1269"/>
      <c r="L36" s="1270"/>
      <c r="M36" s="1270"/>
      <c r="O36" s="3055"/>
      <c r="P36" s="3055"/>
      <c r="Q36" s="3055"/>
    </row>
    <row r="37" spans="1:19" s="6" customFormat="1" ht="12" customHeight="1">
      <c r="B37" s="1283" t="s">
        <v>1715</v>
      </c>
      <c r="C37" s="1284"/>
      <c r="D37" s="205"/>
      <c r="E37" s="187"/>
      <c r="F37" s="208"/>
      <c r="G37" s="208"/>
      <c r="H37" s="803"/>
      <c r="I37" s="1269"/>
      <c r="J37" s="1269"/>
      <c r="K37" s="1269"/>
      <c r="L37" s="1270"/>
      <c r="M37" s="1270"/>
      <c r="O37" s="3055"/>
      <c r="P37" s="3055"/>
      <c r="Q37" s="3055"/>
    </row>
    <row r="38" spans="1:19" s="6" customFormat="1" ht="12" customHeight="1">
      <c r="B38" s="1283" t="s">
        <v>690</v>
      </c>
      <c r="C38" s="3067"/>
      <c r="D38" s="3068"/>
      <c r="E38" s="3069"/>
      <c r="F38" s="209"/>
      <c r="G38" s="209"/>
      <c r="H38" s="805"/>
      <c r="I38" s="1271"/>
      <c r="J38" s="1271"/>
      <c r="K38" s="1271"/>
      <c r="L38" s="1272"/>
      <c r="M38" s="1272"/>
      <c r="O38" s="3055"/>
      <c r="P38" s="3055"/>
      <c r="Q38" s="3055"/>
    </row>
    <row r="39" spans="1:19" s="6" customFormat="1">
      <c r="B39" s="10" t="s">
        <v>957</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055"/>
      <c r="P39" s="3055"/>
      <c r="Q39" s="3055"/>
    </row>
    <row r="40" spans="1:19" ht="6" customHeight="1">
      <c r="A40" s="6"/>
    </row>
    <row r="41" spans="1:19" s="6" customFormat="1">
      <c r="B41" s="44" t="s">
        <v>3081</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056" t="s">
        <v>7000</v>
      </c>
      <c r="C43" s="3057"/>
      <c r="D43" s="3057"/>
      <c r="E43" s="3057"/>
      <c r="F43" s="3057"/>
      <c r="G43" s="3057"/>
      <c r="H43" s="3057"/>
      <c r="I43" s="3057"/>
      <c r="J43" s="3057"/>
      <c r="K43" s="3057"/>
      <c r="L43" s="3057"/>
      <c r="M43" s="3058"/>
      <c r="N43"/>
      <c r="O43" s="2533" t="s">
        <v>2453</v>
      </c>
      <c r="P43" s="2533"/>
      <c r="Q43" s="2533"/>
      <c r="R43" s="2533"/>
      <c r="S43" s="2533"/>
    </row>
    <row r="44" spans="1:19" s="6" customFormat="1" ht="3" customHeight="1">
      <c r="M44"/>
      <c r="N44"/>
      <c r="O44" s="2533"/>
      <c r="P44" s="2533"/>
      <c r="Q44" s="2533"/>
      <c r="R44" s="2533"/>
      <c r="S44" s="2533"/>
    </row>
    <row r="45" spans="1:19" s="6" customFormat="1" ht="12" customHeight="1">
      <c r="A45" s="10"/>
      <c r="B45" s="10" t="s">
        <v>1711</v>
      </c>
      <c r="M45"/>
      <c r="N45"/>
      <c r="O45" s="2533"/>
      <c r="P45" s="2533"/>
      <c r="Q45" s="2533"/>
      <c r="R45" s="2533"/>
      <c r="S45" s="2533"/>
    </row>
    <row r="46" spans="1:19" s="6" customFormat="1" ht="24.75" customHeight="1">
      <c r="B46" s="3059"/>
      <c r="C46" s="3060"/>
      <c r="D46" s="3060"/>
      <c r="E46" s="3060"/>
      <c r="F46" s="3060"/>
      <c r="G46" s="3060"/>
      <c r="H46" s="3060"/>
      <c r="I46" s="3060"/>
      <c r="J46" s="3060"/>
      <c r="K46" s="3060"/>
      <c r="L46" s="3060"/>
      <c r="M46" s="3061"/>
      <c r="N46"/>
      <c r="O46" s="2533"/>
      <c r="P46" s="2533"/>
      <c r="Q46" s="2533"/>
      <c r="R46" s="2533"/>
      <c r="S46" s="2533"/>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29" priority="5" operator="equal">
      <formula>"Select Fuel"</formula>
    </cfRule>
    <cfRule type="cellIs" dxfId="128" priority="7" operator="equal">
      <formula>"&lt;&lt;Select Fuel &gt;&gt;"</formula>
    </cfRule>
    <cfRule type="cellIs" dxfId="127" priority="8" operator="equal">
      <formula>"""&lt;&lt;Select Fuel &gt;&gt;"""</formula>
    </cfRule>
  </conditionalFormatting>
  <conditionalFormatting sqref="I39:M39">
    <cfRule type="cellIs" dxfId="126" priority="1" operator="equal">
      <formula>"Select Fuel"</formula>
    </cfRule>
    <cfRule type="cellIs" dxfId="125" priority="3" operator="equal">
      <formula>"&lt;&lt;Select Fuel &gt;&gt;"</formula>
    </cfRule>
    <cfRule type="cellIs" dxfId="124"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39</vt:i4>
      </vt:variant>
    </vt:vector>
  </HeadingPairs>
  <TitlesOfParts>
    <vt:vector size="70"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Renee Sandell</cp:lastModifiedBy>
  <cp:lastPrinted>2022-10-06T20:30:56Z</cp:lastPrinted>
  <dcterms:created xsi:type="dcterms:W3CDTF">2005-09-15T20:51:37Z</dcterms:created>
  <dcterms:modified xsi:type="dcterms:W3CDTF">2023-06-12T16:53:46Z</dcterms:modified>
</cp:coreProperties>
</file>